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D:\桌面\中乐六星酒店\"/>
    </mc:Choice>
  </mc:AlternateContent>
  <xr:revisionPtr revIDLastSave="0" documentId="13_ncr:1_{F5221D53-BF6E-4311-B43F-D9FB149ECCC5}" xr6:coauthVersionLast="45" xr6:coauthVersionMax="45" xr10:uidLastSave="{00000000-0000-0000-0000-000000000000}"/>
  <bookViews>
    <workbookView xWindow="-120" yWindow="-120" windowWidth="19440" windowHeight="15000" tabRatio="878"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信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 (办公)" sheetId="78" r:id="rId38"/>
    <sheet name="收益法（汇总）" sheetId="70" r:id="rId39"/>
    <sheet name="比较法-办公" sheetId="34" state="hidden" r:id="rId40"/>
    <sheet name="收益法 (办公) (2)" sheetId="79"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3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37">'收益法 (办公)'!$A$1:$F$43,'收益法 (办公)'!$H$3:$M$29,'收益法 (办公)'!$A$46:$F$71,'收益法 (办公)'!$I$46:$N$65</definedName>
    <definedName name="_xlnm.Print_Area" localSheetId="40">'收益法 (办公) (2)'!$A$1:$F$43,'收益法 (办公) (2)'!$H$3:$M$29,'收益法 (办公) (2)'!$A$46:$F$71,'收益法 (办公) (2)'!$I$46:$N$65</definedName>
    <definedName name="_xlnm.Print_Area" localSheetId="24">'收益法 (元)'!$A$1:$F$43,'收益法 (元)'!$H$3:$M$29,'收益法 (元)'!$A$45:$F$71,'收益法 (元)'!$I$46:$N$65</definedName>
    <definedName name="_xlnm.Print_Area" localSheetId="38">'收益法（汇总）'!$A$1:$F$13</definedName>
    <definedName name="_xlnm.Print_Area" localSheetId="14">'数据-汇总表'!$A$1:$I$32</definedName>
    <definedName name="_xlnm.Print_Area" localSheetId="11">'数据-基础表'!$A$1:$M$13</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6" i="77" l="1"/>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4" i="77"/>
  <c r="M36"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4" i="77"/>
  <c r="Q7" i="1"/>
  <c r="L7" i="1"/>
  <c r="W7" i="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F60" i="78"/>
  <c r="Q59" i="78"/>
  <c r="K59" i="78"/>
  <c r="P74" i="78" s="1"/>
  <c r="F59" i="78"/>
  <c r="Q58" i="78"/>
  <c r="Q51" i="78"/>
  <c r="J50" i="78"/>
  <c r="J51" i="78" s="1"/>
  <c r="M47" i="78"/>
  <c r="D46" i="78"/>
  <c r="F34" i="78"/>
  <c r="F62" i="78" s="1"/>
  <c r="F33" i="78"/>
  <c r="F61" i="78" s="1"/>
  <c r="F32" i="78"/>
  <c r="F31" i="78"/>
  <c r="F28" i="78"/>
  <c r="C28" i="78" s="1"/>
  <c r="F23" i="78"/>
  <c r="F21" i="78"/>
  <c r="M20" i="78"/>
  <c r="F20" i="78"/>
  <c r="M19" i="78"/>
  <c r="M18" i="78"/>
  <c r="F18" i="78"/>
  <c r="M17" i="78"/>
  <c r="F17" i="78"/>
  <c r="F15" i="78"/>
  <c r="G1" i="78"/>
  <c r="U20" i="1"/>
  <c r="G60" i="43"/>
  <c r="G61" i="43"/>
  <c r="G62" i="43"/>
  <c r="G63" i="43"/>
  <c r="G64" i="43"/>
  <c r="G65" i="43"/>
  <c r="G66" i="43"/>
  <c r="G67" i="43"/>
  <c r="G59" i="43"/>
  <c r="Y7" i="1"/>
  <c r="Y6" i="1"/>
  <c r="P18" i="1"/>
  <c r="O18" i="1"/>
  <c r="M27" i="78"/>
  <c r="F16" i="78"/>
  <c r="M23" i="78"/>
  <c r="F26" i="78"/>
  <c r="F6" i="78"/>
  <c r="M9" i="78"/>
  <c r="D24" i="79" l="1"/>
  <c r="P61" i="79"/>
  <c r="D22" i="79"/>
  <c r="C27" i="78"/>
  <c r="D23" i="78"/>
  <c r="D22" i="78"/>
  <c r="D24" i="78"/>
  <c r="P61" i="78"/>
  <c r="M13" i="3"/>
  <c r="G20" i="6" s="1"/>
  <c r="K13" i="3"/>
  <c r="F19" i="6" s="1"/>
  <c r="G36" i="77"/>
  <c r="E36" i="77"/>
  <c r="I13" i="3" s="1"/>
  <c r="F20" i="6" s="1"/>
  <c r="F36" i="77"/>
  <c r="G4" i="77"/>
  <c r="D36" i="77"/>
  <c r="D3" i="4"/>
  <c r="C76" i="79"/>
  <c r="M22" i="79"/>
  <c r="F37" i="79"/>
  <c r="F13" i="79"/>
  <c r="F8" i="79"/>
  <c r="F36" i="79"/>
  <c r="L48" i="78"/>
  <c r="M6" i="78"/>
  <c r="F37" i="78"/>
  <c r="M28" i="78"/>
  <c r="J15" i="78"/>
  <c r="M28" i="79"/>
  <c r="F6" i="79"/>
  <c r="J15" i="79"/>
  <c r="M24" i="79"/>
  <c r="F38" i="79"/>
  <c r="F16" i="79"/>
  <c r="F8" i="78"/>
  <c r="F36" i="78"/>
  <c r="F42" i="78"/>
  <c r="M8" i="78"/>
  <c r="F42" i="79"/>
  <c r="M8" i="79"/>
  <c r="F26" i="79"/>
  <c r="F40" i="79"/>
  <c r="M6" i="79"/>
  <c r="M23" i="79"/>
  <c r="M24" i="78"/>
  <c r="M26" i="78"/>
  <c r="L47" i="78"/>
  <c r="F9" i="78"/>
  <c r="L47" i="79"/>
  <c r="F9" i="79"/>
  <c r="M27" i="79"/>
  <c r="L48" i="79"/>
  <c r="M9" i="79"/>
  <c r="M26" i="79"/>
  <c r="F40" i="78"/>
  <c r="F13" i="78"/>
  <c r="C76" i="78"/>
  <c r="M22" i="78"/>
  <c r="F38" i="78"/>
  <c r="F37" i="6" l="1"/>
  <c r="U2" i="43"/>
  <c r="U3" i="43" s="1"/>
  <c r="F36" i="6"/>
  <c r="Y19" i="1"/>
  <c r="Y20" i="1"/>
  <c r="D37" i="43"/>
  <c r="F38" i="6"/>
  <c r="F64" i="79"/>
  <c r="F66" i="79"/>
  <c r="F51" i="79"/>
  <c r="F68" i="79"/>
  <c r="L57" i="79"/>
  <c r="L56" i="79"/>
  <c r="J60" i="79"/>
  <c r="Q48" i="79" s="1"/>
  <c r="J53" i="79"/>
  <c r="J57" i="79"/>
  <c r="J55" i="79" s="1"/>
  <c r="J58" i="79" s="1"/>
  <c r="Q50" i="79" s="1"/>
  <c r="I54" i="79"/>
  <c r="L60" i="79"/>
  <c r="J59" i="79"/>
  <c r="C27" i="79"/>
  <c r="F65" i="79"/>
  <c r="N59" i="79"/>
  <c r="L59" i="79"/>
  <c r="L58" i="79"/>
  <c r="M59" i="79"/>
  <c r="Q71" i="79"/>
  <c r="F66" i="78"/>
  <c r="N59" i="78"/>
  <c r="L59" i="78"/>
  <c r="L58" i="78"/>
  <c r="M59" i="78"/>
  <c r="Q71" i="78"/>
  <c r="F65" i="78"/>
  <c r="F64" i="78"/>
  <c r="F51" i="78"/>
  <c r="F68" i="78"/>
  <c r="L57" i="78"/>
  <c r="L56" i="78"/>
  <c r="J53" i="78"/>
  <c r="J59" i="78"/>
  <c r="I54" i="78"/>
  <c r="J57" i="78"/>
  <c r="J55" i="78" s="1"/>
  <c r="J58" i="78" s="1"/>
  <c r="Q50" i="78" s="1"/>
  <c r="J60" i="78"/>
  <c r="Q48" i="78" s="1"/>
  <c r="L60" i="78"/>
  <c r="AH5" i="71"/>
  <c r="AG5" i="71"/>
  <c r="AE5" i="71"/>
  <c r="AF5" i="71" s="1"/>
  <c r="AD5" i="71"/>
  <c r="Q5" i="71"/>
  <c r="P5" i="71"/>
  <c r="O5" i="71"/>
  <c r="N5" i="71"/>
  <c r="F39" i="6" l="1"/>
  <c r="Y21" i="1"/>
  <c r="AA19" i="1" s="1"/>
  <c r="L46" i="79"/>
  <c r="Q60" i="79"/>
  <c r="Q73" i="79"/>
  <c r="F1" i="79"/>
  <c r="Q52" i="79"/>
  <c r="Q61" i="79"/>
  <c r="Q74" i="79"/>
  <c r="Q66" i="79"/>
  <c r="Q57" i="79"/>
  <c r="Q60" i="78"/>
  <c r="Q73" i="78"/>
  <c r="Q66" i="78"/>
  <c r="Q57" i="78"/>
  <c r="L46" i="78"/>
  <c r="F1" i="78"/>
  <c r="Q52" i="78"/>
  <c r="Q61" i="78"/>
  <c r="Q7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P17" i="71"/>
  <c r="E16" i="71"/>
  <c r="E15" i="71" s="1"/>
  <c r="E14" i="71" s="1"/>
  <c r="O17" i="71"/>
  <c r="N17" i="71"/>
  <c r="V16"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B61" i="72" s="1"/>
  <c r="A14" i="62"/>
  <c r="B60" i="72" s="1"/>
  <c r="A13" i="62"/>
  <c r="B59" i="72" s="1"/>
  <c r="A19" i="62"/>
  <c r="B65" i="72" s="1"/>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B54" i="72" s="1"/>
  <c r="E111" i="9"/>
  <c r="A126" i="9"/>
  <c r="A12" i="52" s="1"/>
  <c r="B56" i="72" s="1"/>
  <c r="E109" i="9"/>
  <c r="A124" i="9"/>
  <c r="A10" i="52" s="1"/>
  <c r="B55" i="72" s="1"/>
  <c r="B44" i="72"/>
  <c r="B42" i="72"/>
  <c r="B69" i="72"/>
  <c r="B68" i="72"/>
  <c r="B63" i="72"/>
  <c r="B62"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s="1"/>
  <c r="F56" i="71" s="1"/>
  <c r="V56" i="71" s="1"/>
  <c r="P53" i="71"/>
  <c r="E54" i="71"/>
  <c r="E55" i="71" s="1"/>
  <c r="O53" i="71"/>
  <c r="C54" i="71"/>
  <c r="D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Q48" i="71"/>
  <c r="P48" i="71"/>
  <c r="O48" i="71"/>
  <c r="N48" i="71"/>
  <c r="Q47" i="71"/>
  <c r="P47" i="71"/>
  <c r="O47" i="71"/>
  <c r="N47" i="71"/>
  <c r="Q46" i="71"/>
  <c r="P46" i="71"/>
  <c r="O46" i="71"/>
  <c r="N46" i="71"/>
  <c r="C46" i="71"/>
  <c r="D46" i="71" s="1"/>
  <c r="Q45" i="71"/>
  <c r="F46" i="71"/>
  <c r="F47" i="71" s="1"/>
  <c r="F48" i="71" s="1"/>
  <c r="V48" i="71" s="1"/>
  <c r="P45" i="71"/>
  <c r="E46" i="71" s="1"/>
  <c r="E47" i="71" s="1"/>
  <c r="O45" i="71"/>
  <c r="N45" i="71"/>
  <c r="B46" i="71"/>
  <c r="B47" i="71" s="1"/>
  <c r="B48" i="71"/>
  <c r="S48" i="71" s="1"/>
  <c r="D45" i="71"/>
  <c r="Q44" i="71"/>
  <c r="P44" i="71"/>
  <c r="O44" i="71"/>
  <c r="N44" i="71"/>
  <c r="Q43" i="71"/>
  <c r="P43" i="71"/>
  <c r="O43" i="71"/>
  <c r="N43" i="71"/>
  <c r="Q42" i="71"/>
  <c r="P42" i="71"/>
  <c r="O42" i="71"/>
  <c r="N42" i="71"/>
  <c r="Q41" i="71"/>
  <c r="F42" i="71"/>
  <c r="F43" i="71" s="1"/>
  <c r="P41" i="71"/>
  <c r="E42" i="71"/>
  <c r="E43" i="71" s="1"/>
  <c r="E44" i="71"/>
  <c r="U44" i="71" s="1"/>
  <c r="O41" i="71"/>
  <c r="C42" i="71" s="1"/>
  <c r="D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c r="U36" i="71" s="1"/>
  <c r="O33" i="71"/>
  <c r="C34" i="71" s="1"/>
  <c r="C35" i="71" s="1"/>
  <c r="D35" i="71" s="1"/>
  <c r="N33" i="71"/>
  <c r="B34" i="71" s="1"/>
  <c r="B35" i="71" s="1"/>
  <c r="B36" i="71" s="1"/>
  <c r="S36" i="71" s="1"/>
  <c r="D33" i="71"/>
  <c r="Q32" i="71"/>
  <c r="P32" i="71"/>
  <c r="O32" i="71"/>
  <c r="N32" i="71"/>
  <c r="AB31" i="71"/>
  <c r="Q31" i="71"/>
  <c r="P31" i="71"/>
  <c r="O31" i="71"/>
  <c r="Y31" i="71" s="1"/>
  <c r="Z31" i="7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N28" i="71"/>
  <c r="Q27" i="71"/>
  <c r="AB27" i="71" s="1"/>
  <c r="P27" i="71"/>
  <c r="O27" i="71"/>
  <c r="N27" i="71"/>
  <c r="Q26" i="71"/>
  <c r="AB26" i="71"/>
  <c r="P26" i="71"/>
  <c r="O26" i="71"/>
  <c r="Y26" i="71" s="1"/>
  <c r="Z26" i="71" s="1"/>
  <c r="N26" i="71"/>
  <c r="Q25" i="71"/>
  <c r="F26" i="71" s="1"/>
  <c r="F27" i="71" s="1"/>
  <c r="F28" i="71" s="1"/>
  <c r="V28" i="71" s="1"/>
  <c r="P25" i="71"/>
  <c r="O25" i="71"/>
  <c r="N25" i="71"/>
  <c r="D25" i="71"/>
  <c r="Q24" i="71"/>
  <c r="P24" i="71"/>
  <c r="O24" i="71"/>
  <c r="N24" i="71"/>
  <c r="Q23" i="71"/>
  <c r="AB23" i="71" s="1"/>
  <c r="P23" i="71"/>
  <c r="O23" i="71"/>
  <c r="N23" i="71"/>
  <c r="X21" i="71" s="1"/>
  <c r="Q22" i="71"/>
  <c r="AB22" i="71"/>
  <c r="P22" i="71"/>
  <c r="O22" i="71"/>
  <c r="Y22" i="71" s="1"/>
  <c r="Z22" i="71" s="1"/>
  <c r="N22" i="71"/>
  <c r="Q21" i="71"/>
  <c r="P21" i="71"/>
  <c r="O21" i="71"/>
  <c r="N21" i="71"/>
  <c r="D21" i="71"/>
  <c r="O20" i="71"/>
  <c r="N20" i="71"/>
  <c r="B22" i="71"/>
  <c r="B23" i="71"/>
  <c r="E22" i="71"/>
  <c r="E23" i="71" s="1"/>
  <c r="E24" i="71"/>
  <c r="U24" i="71" s="1"/>
  <c r="B26" i="71"/>
  <c r="B27" i="71"/>
  <c r="B30" i="71"/>
  <c r="B31" i="71" s="1"/>
  <c r="B32" i="71"/>
  <c r="S32" i="71" s="1"/>
  <c r="X29" i="71"/>
  <c r="E30" i="71"/>
  <c r="E31" i="71"/>
  <c r="N60" i="71"/>
  <c r="E26" i="71"/>
  <c r="E27" i="71"/>
  <c r="E28" i="71" s="1"/>
  <c r="U28" i="71"/>
  <c r="C22" i="71"/>
  <c r="D22" i="71" s="1"/>
  <c r="X23" i="71"/>
  <c r="C26" i="71"/>
  <c r="C27" i="71" s="1"/>
  <c r="D27" i="71" s="1"/>
  <c r="AB25" i="71"/>
  <c r="AA26" i="71"/>
  <c r="AA27" i="71"/>
  <c r="X28" i="71"/>
  <c r="AA28" i="71"/>
  <c r="Y29" i="71"/>
  <c r="Z29" i="71" s="1"/>
  <c r="AB29" i="71"/>
  <c r="X30" i="71"/>
  <c r="AA30" i="71"/>
  <c r="F44" i="71"/>
  <c r="V44" i="71" s="1"/>
  <c r="C20" i="71"/>
  <c r="C19" i="71" s="1"/>
  <c r="C18" i="71" s="1"/>
  <c r="D18" i="71" s="1"/>
  <c r="X17" i="71"/>
  <c r="C23" i="71"/>
  <c r="D23" i="71" s="1"/>
  <c r="D30" i="71"/>
  <c r="D34" i="71"/>
  <c r="C43" i="71"/>
  <c r="D43" i="71" s="1"/>
  <c r="P20" i="71"/>
  <c r="E48" i="71"/>
  <c r="U48" i="71" s="1"/>
  <c r="E51" i="71"/>
  <c r="E52" i="71" s="1"/>
  <c r="U52" i="71" s="1"/>
  <c r="E56" i="71"/>
  <c r="U56" i="71" s="1"/>
  <c r="E59" i="71"/>
  <c r="E58" i="71" s="1"/>
  <c r="P58" i="71" s="1"/>
  <c r="Q20" i="71"/>
  <c r="C47" i="71"/>
  <c r="D47" i="71" s="1"/>
  <c r="C51" i="71"/>
  <c r="D51" i="71" s="1"/>
  <c r="C55" i="71"/>
  <c r="C56" i="71" s="1"/>
  <c r="T56" i="71" s="1"/>
  <c r="N59" i="71"/>
  <c r="O60" i="71"/>
  <c r="C59" i="71"/>
  <c r="O59" i="71" s="1"/>
  <c r="C63" i="71"/>
  <c r="D63" i="71" s="1"/>
  <c r="E63" i="71"/>
  <c r="E62" i="71"/>
  <c r="D64" i="71"/>
  <c r="C67" i="71"/>
  <c r="C66" i="71" s="1"/>
  <c r="E67" i="71"/>
  <c r="E66" i="71"/>
  <c r="C71" i="71"/>
  <c r="C70" i="71" s="1"/>
  <c r="D70" i="71" s="1"/>
  <c r="E71" i="71"/>
  <c r="E70" i="71"/>
  <c r="D72" i="71"/>
  <c r="C75" i="71"/>
  <c r="D75" i="71" s="1"/>
  <c r="C79" i="71"/>
  <c r="T20" i="71"/>
  <c r="F20" i="71"/>
  <c r="F19" i="71"/>
  <c r="F18" i="71" s="1"/>
  <c r="AB17" i="71"/>
  <c r="AB19" i="71"/>
  <c r="E20" i="71"/>
  <c r="AA17" i="71"/>
  <c r="D20" i="71"/>
  <c r="U20" i="71" s="1"/>
  <c r="D59" i="71"/>
  <c r="C74" i="71"/>
  <c r="D74" i="71" s="1"/>
  <c r="D67" i="71"/>
  <c r="D66" i="71"/>
  <c r="N58" i="71"/>
  <c r="D79" i="71"/>
  <c r="C78" i="71"/>
  <c r="D78" i="71" s="1"/>
  <c r="D71" i="71"/>
  <c r="C62" i="71"/>
  <c r="D62" i="71" s="1"/>
  <c r="C52" i="71"/>
  <c r="T52" i="71" s="1"/>
  <c r="C48" i="71"/>
  <c r="T48" i="71" s="1"/>
  <c r="C44" i="71"/>
  <c r="T44" i="71" s="1"/>
  <c r="C36" i="71"/>
  <c r="T36" i="71" s="1"/>
  <c r="C28" i="71"/>
  <c r="T28" i="71" s="1"/>
  <c r="C24" i="71"/>
  <c r="T24" i="71" s="1"/>
  <c r="D19" i="71"/>
  <c r="D24" i="71"/>
  <c r="D28" i="71"/>
  <c r="D36" i="71"/>
  <c r="D44"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T35" i="4" s="1"/>
  <c r="A19" i="51" s="1"/>
  <c r="B14" i="72" s="1"/>
  <c r="I15" i="4"/>
  <c r="H15" i="4"/>
  <c r="G15" i="4"/>
  <c r="E15" i="4"/>
  <c r="D15" i="4"/>
  <c r="F7" i="1"/>
  <c r="L21" i="4"/>
  <c r="F19" i="4"/>
  <c r="F2" i="52"/>
  <c r="B50" i="72" s="1"/>
  <c r="D2" i="52"/>
  <c r="B46" i="72" s="1"/>
  <c r="B8" i="53"/>
  <c r="B23" i="72" s="1"/>
  <c r="L4" i="9"/>
  <c r="A24" i="51" s="1"/>
  <c r="B18" i="72" s="1"/>
  <c r="B17" i="72"/>
  <c r="B15" i="72"/>
  <c r="A3" i="51"/>
  <c r="C8" i="11"/>
  <c r="B40" i="48"/>
  <c r="B3" i="72"/>
  <c r="I2" i="43"/>
  <c r="N1" i="43" s="1"/>
  <c r="F35" i="4"/>
  <c r="J55" i="39"/>
  <c r="H34" i="43"/>
  <c r="H35" i="43"/>
  <c r="H36" i="43"/>
  <c r="H37" i="43"/>
  <c r="H38" i="43"/>
  <c r="H39" i="43"/>
  <c r="H33" i="43"/>
  <c r="J20" i="43"/>
  <c r="C18" i="43"/>
  <c r="F15" i="43"/>
  <c r="E15" i="43"/>
  <c r="D15" i="43"/>
  <c r="C15" i="43"/>
  <c r="C10" i="43"/>
  <c r="C11" i="43" s="1"/>
  <c r="E10" i="43" s="1"/>
  <c r="C9" i="43"/>
  <c r="A7" i="43"/>
  <c r="F33" i="15"/>
  <c r="F61" i="15" s="1"/>
  <c r="M19" i="15"/>
  <c r="BR13" i="3"/>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E20" i="6"/>
  <c r="K7" i="1" s="1"/>
  <c r="E21" i="6"/>
  <c r="K8" i="1"/>
  <c r="M8" i="1" s="1"/>
  <c r="O8" i="1" s="1"/>
  <c r="P8" i="1" s="1"/>
  <c r="F23" i="15"/>
  <c r="D24" i="15"/>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F13" i="34"/>
  <c r="AA13" i="34" s="1"/>
  <c r="J29" i="34"/>
  <c r="F29" i="34"/>
  <c r="S29" i="34"/>
  <c r="H29" i="34"/>
  <c r="AB29" i="34"/>
  <c r="J31" i="34"/>
  <c r="AC31" i="34"/>
  <c r="H31" i="34"/>
  <c r="AB31" i="34"/>
  <c r="F31" i="34"/>
  <c r="S31" i="34"/>
  <c r="H45" i="34"/>
  <c r="U45" i="34"/>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31" i="34"/>
  <c r="J36" i="37"/>
  <c r="AC36" i="37"/>
  <c r="G105" i="37"/>
  <c r="AB11" i="35"/>
  <c r="J10" i="36"/>
  <c r="AC10" i="36" s="1"/>
  <c r="AB30" i="21"/>
  <c r="AA14" i="37"/>
  <c r="W31" i="34"/>
  <c r="AC13" i="36"/>
  <c r="W13"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W37" i="34"/>
  <c r="AB37" i="34"/>
  <c r="AC36" i="34"/>
  <c r="AA13" i="33"/>
  <c r="AC31" i="33"/>
  <c r="AC45" i="33"/>
  <c r="U11" i="33"/>
  <c r="U19" i="21"/>
  <c r="W44" i="21"/>
  <c r="U26" i="21"/>
  <c r="AC46" i="21"/>
  <c r="AB38" i="21"/>
  <c r="F43" i="33"/>
  <c r="AA43" i="33"/>
  <c r="W15" i="34"/>
  <c r="AC15" i="34"/>
  <c r="W16" i="35"/>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59" i="34" s="1"/>
  <c r="D59" i="34" s="1"/>
  <c r="E59" i="34" s="1"/>
  <c r="F59" i="34" s="1"/>
  <c r="G59" i="34" s="1"/>
  <c r="H59" i="34" s="1"/>
  <c r="I59" i="34" s="1"/>
  <c r="J59" i="34" s="1"/>
  <c r="K59" i="34" s="1"/>
  <c r="C7" i="36"/>
  <c r="W35" i="40"/>
  <c r="A118" i="9"/>
  <c r="A4" i="52"/>
  <c r="B41" i="72" s="1"/>
  <c r="J11" i="39"/>
  <c r="W11" i="39" s="1"/>
  <c r="F11" i="39"/>
  <c r="AA11" i="39"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AZ317" i="3"/>
  <c r="AZ333" i="3"/>
  <c r="BQ5" i="3"/>
  <c r="AC5" i="3"/>
  <c r="AZ549" i="3"/>
  <c r="AZ506" i="3"/>
  <c r="AZ496" i="3"/>
  <c r="G548" i="3"/>
  <c r="G538" i="3"/>
  <c r="G520" i="3"/>
  <c r="G502" i="3"/>
  <c r="BS5" i="3"/>
  <c r="BP5" i="3"/>
  <c r="BN5" i="3"/>
  <c r="AZ343" i="3"/>
  <c r="BK5" i="3"/>
  <c r="BI5" i="3"/>
  <c r="BG5" i="3"/>
  <c r="BE5" i="3"/>
  <c r="G17" i="3"/>
  <c r="BA17" i="3"/>
  <c r="BT5" i="3"/>
  <c r="AZ350" i="3"/>
  <c r="AZ352" i="3"/>
  <c r="AZ360" i="3"/>
  <c r="AZ368" i="3"/>
  <c r="BA15" i="3"/>
  <c r="AZ15" i="3"/>
  <c r="BB5" i="3"/>
  <c r="BR5" i="3"/>
  <c r="G28" i="6" s="1"/>
  <c r="AZ380" i="3"/>
  <c r="AZ388" i="3"/>
  <c r="AZ396" i="3"/>
  <c r="AZ499" i="3"/>
  <c r="AZ509" i="3"/>
  <c r="G509" i="3"/>
  <c r="BL493" i="3"/>
  <c r="AZ491" i="3"/>
  <c r="AZ390" i="3"/>
  <c r="AZ493" i="3"/>
  <c r="U36" i="40"/>
  <c r="F36" i="43"/>
  <c r="F81" i="43"/>
  <c r="H83" i="43" s="1"/>
  <c r="H113" i="43"/>
  <c r="F70" i="43"/>
  <c r="H73" i="43" s="1"/>
  <c r="M11" i="43"/>
  <c r="F6" i="1"/>
  <c r="U17" i="39"/>
  <c r="S14" i="35"/>
  <c r="U43" i="21"/>
  <c r="U35" i="21"/>
  <c r="AC35" i="21"/>
  <c r="U10"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G29" i="6"/>
  <c r="E29" i="6"/>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S25" i="37"/>
  <c r="W27" i="37"/>
  <c r="S26" i="37"/>
  <c r="AC9"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W43" i="21"/>
  <c r="W36" i="21"/>
  <c r="W41" i="21"/>
  <c r="AB39" i="21"/>
  <c r="AA43" i="21"/>
  <c r="S39" i="21"/>
  <c r="AA38" i="21"/>
  <c r="AA36" i="21"/>
  <c r="AC40" i="21"/>
  <c r="J15" i="21"/>
  <c r="W15" i="21" s="1"/>
  <c r="F77" i="21"/>
  <c r="G77" i="21" s="1"/>
  <c r="F23" i="21"/>
  <c r="E85" i="21"/>
  <c r="AC11" i="21"/>
  <c r="AA14" i="21"/>
  <c r="AB8" i="21"/>
  <c r="S8" i="21"/>
  <c r="N8" i="43"/>
  <c r="D120" i="9"/>
  <c r="D121" i="9" s="1"/>
  <c r="D7" i="52" s="1"/>
  <c r="F34" i="67"/>
  <c r="F62" i="67" s="1"/>
  <c r="M20" i="67"/>
  <c r="F34" i="15"/>
  <c r="F62" i="15" s="1"/>
  <c r="G13" i="3"/>
  <c r="G5" i="3" s="1"/>
  <c r="B3" i="3" s="1"/>
  <c r="BL17" i="3"/>
  <c r="AZ17" i="3"/>
  <c r="BL13" i="3"/>
  <c r="J56" i="9"/>
  <c r="J57" i="9" s="1"/>
  <c r="J59" i="9" s="1"/>
  <c r="J61" i="9" s="1"/>
  <c r="U29" i="34"/>
  <c r="E32" i="6"/>
  <c r="L19" i="6"/>
  <c r="K1" i="12"/>
  <c r="F30" i="6"/>
  <c r="E28" i="6"/>
  <c r="E19" i="69"/>
  <c r="E19" i="68"/>
  <c r="E19" i="11"/>
  <c r="G41" i="69"/>
  <c r="G41" i="68"/>
  <c r="G27" i="12"/>
  <c r="G41" i="11"/>
  <c r="G25" i="12"/>
  <c r="C100" i="43"/>
  <c r="E11" i="43"/>
  <c r="E9" i="43"/>
  <c r="E81" i="43"/>
  <c r="B79" i="43" s="1"/>
  <c r="E48" i="43"/>
  <c r="B46" i="43" s="1"/>
  <c r="E70" i="43"/>
  <c r="B68" i="43"/>
  <c r="F100" i="43"/>
  <c r="H17" i="43"/>
  <c r="C17" i="43"/>
  <c r="M9" i="43"/>
  <c r="B19" i="53"/>
  <c r="B37" i="72" s="1"/>
  <c r="C7" i="39"/>
  <c r="C68" i="39"/>
  <c r="C70" i="39" s="1"/>
  <c r="C7" i="35"/>
  <c r="C7" i="33"/>
  <c r="C58" i="33" s="1"/>
  <c r="D58" i="33" s="1"/>
  <c r="C7" i="21"/>
  <c r="C58" i="21" s="1"/>
  <c r="C7" i="40"/>
  <c r="C63" i="40" s="1"/>
  <c r="C65" i="40" s="1"/>
  <c r="M47" i="9"/>
  <c r="G19" i="43"/>
  <c r="O19" i="43" s="1"/>
  <c r="C19" i="43" s="1"/>
  <c r="C46" i="36"/>
  <c r="D46" i="36" s="1"/>
  <c r="E46" i="36" s="1"/>
  <c r="C52" i="37"/>
  <c r="D52" i="37" s="1"/>
  <c r="E52" i="37"/>
  <c r="F52" i="37" s="1"/>
  <c r="G52" i="37" s="1"/>
  <c r="H52" i="37" s="1"/>
  <c r="I52" i="37" s="1"/>
  <c r="C48" i="35"/>
  <c r="D48" i="35" s="1"/>
  <c r="E48" i="35" s="1"/>
  <c r="C4" i="12"/>
  <c r="L20" i="6"/>
  <c r="B6" i="1"/>
  <c r="E6" i="1" s="1"/>
  <c r="S8" i="1"/>
  <c r="AR8" i="1" s="1"/>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K15" i="1"/>
  <c r="AA39" i="40"/>
  <c r="S39" i="40"/>
  <c r="S12" i="33"/>
  <c r="AA12" i="33"/>
  <c r="J32"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AA19" i="37"/>
  <c r="J23" i="37"/>
  <c r="G79" i="37"/>
  <c r="J10" i="37"/>
  <c r="G63" i="37"/>
  <c r="H11" i="37"/>
  <c r="AB10" i="37"/>
  <c r="U10" i="37"/>
  <c r="G70" i="34"/>
  <c r="H11" i="34"/>
  <c r="AB10" i="34"/>
  <c r="U10" i="34"/>
  <c r="J10" i="34"/>
  <c r="AB41" i="33"/>
  <c r="W35" i="33"/>
  <c r="H111" i="33"/>
  <c r="I111" i="33" s="1"/>
  <c r="J111" i="33"/>
  <c r="K111" i="33" s="1"/>
  <c r="L111" i="33" s="1"/>
  <c r="M111" i="33" s="1"/>
  <c r="J36" i="33"/>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A23" i="33" s="1"/>
  <c r="AC23" i="33"/>
  <c r="W23" i="33"/>
  <c r="AA19" i="33"/>
  <c r="H19" i="33"/>
  <c r="G81" i="33"/>
  <c r="G79" i="33"/>
  <c r="H17" i="33"/>
  <c r="F17" i="33"/>
  <c r="W17" i="33"/>
  <c r="U10" i="33"/>
  <c r="AB10" i="33"/>
  <c r="AC10" i="33"/>
  <c r="AC37"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S23" i="33"/>
  <c r="AB19" i="33"/>
  <c r="U19" i="33"/>
  <c r="AA17" i="33"/>
  <c r="S17" i="33"/>
  <c r="U17" i="33"/>
  <c r="AB17" i="33"/>
  <c r="AB23" i="21"/>
  <c r="AC23" i="21"/>
  <c r="W23" i="21"/>
  <c r="AC11" i="37"/>
  <c r="W11" i="37"/>
  <c r="W11" i="34"/>
  <c r="F34" i="11"/>
  <c r="F34" i="68"/>
  <c r="R8" i="1"/>
  <c r="AE8" i="1"/>
  <c r="AG6" i="1"/>
  <c r="H109" i="9"/>
  <c r="D16" i="53" s="1"/>
  <c r="H110" i="9"/>
  <c r="D18" i="53" s="1"/>
  <c r="B35" i="72" s="1"/>
  <c r="D124" i="9"/>
  <c r="H14" i="74" s="1"/>
  <c r="B7" i="74" s="1"/>
  <c r="H112" i="9"/>
  <c r="D21" i="53" s="1"/>
  <c r="B39" i="72" s="1"/>
  <c r="H111" i="9"/>
  <c r="D126" i="9"/>
  <c r="I14" i="74" s="1"/>
  <c r="B8" i="74" s="1"/>
  <c r="D19" i="53"/>
  <c r="B38" i="72"/>
  <c r="D20" i="53"/>
  <c r="B40" i="72"/>
  <c r="AD3" i="71"/>
  <c r="D63" i="40"/>
  <c r="D65" i="40" s="1"/>
  <c r="J1" i="73"/>
  <c r="C13" i="12"/>
  <c r="H77" i="43"/>
  <c r="N12" i="43"/>
  <c r="H70" i="43"/>
  <c r="O17" i="43"/>
  <c r="D68" i="39"/>
  <c r="D70" i="39" s="1"/>
  <c r="D58" i="21"/>
  <c r="E58" i="21" s="1"/>
  <c r="F58" i="21" s="1"/>
  <c r="G58" i="21" s="1"/>
  <c r="AB14" i="71"/>
  <c r="X12" i="71"/>
  <c r="X11" i="71"/>
  <c r="AA12" i="71"/>
  <c r="AA11" i="71"/>
  <c r="X15" i="71"/>
  <c r="Y11" i="71"/>
  <c r="Z11" i="71" s="1"/>
  <c r="AB12" i="71"/>
  <c r="AB11" i="71"/>
  <c r="C94" i="9"/>
  <c r="C92" i="9"/>
  <c r="Y12" i="71"/>
  <c r="Z12" i="71" s="1"/>
  <c r="X3" i="71"/>
  <c r="E13" i="71"/>
  <c r="E12" i="71" s="1"/>
  <c r="E63" i="40"/>
  <c r="F63" i="40" s="1"/>
  <c r="E68" i="39"/>
  <c r="F68" i="39" s="1"/>
  <c r="E70" i="39"/>
  <c r="F5" i="73"/>
  <c r="E10" i="76"/>
  <c r="D2" i="34"/>
  <c r="F43" i="79"/>
  <c r="F7" i="73"/>
  <c r="D2" i="37"/>
  <c r="F7" i="78"/>
  <c r="F7" i="79"/>
  <c r="AO12" i="1"/>
  <c r="B11" i="76"/>
  <c r="D3" i="73"/>
  <c r="AO8" i="1"/>
  <c r="E11" i="76"/>
  <c r="B12" i="76"/>
  <c r="B10" i="76"/>
  <c r="E2" i="68"/>
  <c r="AO11" i="1"/>
  <c r="E13" i="76"/>
  <c r="AO9" i="1"/>
  <c r="E9" i="76"/>
  <c r="F4" i="73"/>
  <c r="B13" i="76"/>
  <c r="F43" i="78"/>
  <c r="AE7" i="1"/>
  <c r="E8" i="76"/>
  <c r="E2" i="69"/>
  <c r="F3" i="73"/>
  <c r="F20" i="31"/>
  <c r="F6" i="73"/>
  <c r="M29" i="79"/>
  <c r="E12" i="76"/>
  <c r="D2" i="33"/>
  <c r="D7" i="73"/>
  <c r="D5" i="73"/>
  <c r="B9" i="76"/>
  <c r="D6" i="73"/>
  <c r="B8" i="76"/>
  <c r="D2" i="36"/>
  <c r="D2" i="35"/>
  <c r="D2" i="21"/>
  <c r="AO10" i="1"/>
  <c r="M29" i="78"/>
  <c r="E7" i="76"/>
  <c r="AO13" i="1"/>
  <c r="B7" i="76"/>
  <c r="D4" i="73"/>
  <c r="T11" i="1" l="1"/>
  <c r="I4" i="6"/>
  <c r="G3" i="43" s="1"/>
  <c r="I101" i="43" s="1"/>
  <c r="I103" i="43" s="1"/>
  <c r="C40" i="11"/>
  <c r="C18" i="9"/>
  <c r="D18" i="9" s="1"/>
  <c r="F50" i="79"/>
  <c r="C49" i="79" s="1"/>
  <c r="C6" i="79"/>
  <c r="M7" i="79"/>
  <c r="J6" i="79" s="1"/>
  <c r="J18" i="79" s="1"/>
  <c r="F71" i="79"/>
  <c r="F71" i="78"/>
  <c r="F50" i="78"/>
  <c r="C49" i="78" s="1"/>
  <c r="M7" i="78"/>
  <c r="J6" i="78" s="1"/>
  <c r="J18" i="78" s="1"/>
  <c r="C6" i="78"/>
  <c r="M7" i="1"/>
  <c r="M6" i="1"/>
  <c r="O6" i="1" s="1"/>
  <c r="P6" i="1" s="1"/>
  <c r="W19" i="1"/>
  <c r="W20" i="1"/>
  <c r="E11" i="6"/>
  <c r="E61" i="39" s="1"/>
  <c r="E59" i="43"/>
  <c r="B57" i="43" s="1"/>
  <c r="C24" i="43" s="1"/>
  <c r="G6" i="1"/>
  <c r="G7" i="1"/>
  <c r="H74" i="43"/>
  <c r="H84" i="43"/>
  <c r="H86" i="43"/>
  <c r="N4" i="43"/>
  <c r="F48" i="43" s="1"/>
  <c r="H52" i="43" s="1"/>
  <c r="N9" i="43"/>
  <c r="M7" i="43"/>
  <c r="N6" i="43"/>
  <c r="F35" i="43"/>
  <c r="E8" i="43"/>
  <c r="C7" i="43" s="1"/>
  <c r="AE10" i="43"/>
  <c r="E17" i="43"/>
  <c r="N17" i="43"/>
  <c r="M6" i="43"/>
  <c r="N10" i="43"/>
  <c r="M10" i="43"/>
  <c r="M4" i="43"/>
  <c r="C6" i="43" s="1"/>
  <c r="M12" i="43"/>
  <c r="F38" i="43"/>
  <c r="K17" i="43"/>
  <c r="M3" i="43"/>
  <c r="F39" i="43"/>
  <c r="F59" i="43"/>
  <c r="M17" i="43"/>
  <c r="L17" i="43"/>
  <c r="N2" i="43"/>
  <c r="N7" i="43"/>
  <c r="M8" i="43"/>
  <c r="M2" i="43"/>
  <c r="N11" i="43"/>
  <c r="M5" i="43"/>
  <c r="N5" i="43"/>
  <c r="F37" i="43"/>
  <c r="N3" i="43"/>
  <c r="F34" i="43"/>
  <c r="F33" i="43"/>
  <c r="M1" i="43"/>
  <c r="J17" i="43"/>
  <c r="I17" i="43"/>
  <c r="D17" i="43"/>
  <c r="H71" i="43"/>
  <c r="H85" i="43"/>
  <c r="H87" i="43"/>
  <c r="H48" i="43"/>
  <c r="H53" i="43"/>
  <c r="H76" i="43"/>
  <c r="H72" i="43"/>
  <c r="H78" i="43"/>
  <c r="H88" i="43"/>
  <c r="H81" i="43"/>
  <c r="H82" i="43"/>
  <c r="C40" i="69"/>
  <c r="B41" i="1"/>
  <c r="F31" i="12" s="1"/>
  <c r="C31" i="12" s="1"/>
  <c r="D93" i="9"/>
  <c r="F32" i="15"/>
  <c r="F60" i="15" s="1"/>
  <c r="F28" i="67"/>
  <c r="C28" i="67" s="1"/>
  <c r="C23" i="12"/>
  <c r="C21" i="69"/>
  <c r="G22" i="11"/>
  <c r="G26" i="12"/>
  <c r="G22" i="68"/>
  <c r="G22" i="69"/>
  <c r="P61" i="15"/>
  <c r="L27" i="6"/>
  <c r="G1" i="67"/>
  <c r="G1" i="15"/>
  <c r="G1" i="68"/>
  <c r="AQ12" i="1"/>
  <c r="AQ8" i="1"/>
  <c r="T13" i="1"/>
  <c r="AR11" i="1"/>
  <c r="AQ13" i="1"/>
  <c r="E8" i="6"/>
  <c r="F27" i="6" s="1"/>
  <c r="D101" i="43"/>
  <c r="D105" i="43" s="1"/>
  <c r="AH11" i="43"/>
  <c r="J22" i="43"/>
  <c r="Y11" i="43"/>
  <c r="Y13" i="43" s="1"/>
  <c r="C36" i="69"/>
  <c r="AQ9" i="1"/>
  <c r="AR10" i="1"/>
  <c r="BA13" i="3"/>
  <c r="AZ13" i="3" s="1"/>
  <c r="E51" i="40"/>
  <c r="O10" i="1"/>
  <c r="P10" i="1" s="1"/>
  <c r="T8" i="1"/>
  <c r="Q16" i="1"/>
  <c r="F27" i="11" s="1"/>
  <c r="C29" i="11" s="1"/>
  <c r="D27" i="11" s="1"/>
  <c r="AI11" i="43"/>
  <c r="AI13" i="43" s="1"/>
  <c r="AJ11" i="43"/>
  <c r="AJ13" i="43" s="1"/>
  <c r="E14" i="6"/>
  <c r="E64" i="39" s="1"/>
  <c r="G30" i="6"/>
  <c r="G31" i="6" s="1"/>
  <c r="E15" i="6"/>
  <c r="E60" i="40" s="1"/>
  <c r="E5" i="6"/>
  <c r="D9" i="69" s="1"/>
  <c r="C9" i="69" s="1"/>
  <c r="E10" i="6"/>
  <c r="E13" i="6"/>
  <c r="E12" i="6"/>
  <c r="H16" i="1"/>
  <c r="O7" i="1"/>
  <c r="P7" i="1" s="1"/>
  <c r="F101" i="43"/>
  <c r="F107" i="43" s="1"/>
  <c r="B113" i="43"/>
  <c r="N101" i="43"/>
  <c r="N107" i="43" s="1"/>
  <c r="C101" i="43"/>
  <c r="N104" i="46"/>
  <c r="H101" i="43"/>
  <c r="H109" i="43" s="1"/>
  <c r="E101" i="43"/>
  <c r="AF11" i="43"/>
  <c r="Z11" i="43"/>
  <c r="AE11" i="43"/>
  <c r="AE13" i="43" s="1"/>
  <c r="S6" i="43"/>
  <c r="S7" i="43"/>
  <c r="T9" i="1"/>
  <c r="E56" i="39"/>
  <c r="E56" i="40"/>
  <c r="G12" i="1"/>
  <c r="G10" i="1"/>
  <c r="G8" i="1"/>
  <c r="G13" i="1"/>
  <c r="G11" i="1"/>
  <c r="G9" i="1"/>
  <c r="B34" i="72"/>
  <c r="D17" i="53"/>
  <c r="B36" i="72" s="1"/>
  <c r="D125" i="9"/>
  <c r="D11" i="52" s="1"/>
  <c r="D10" i="52"/>
  <c r="E65" i="40"/>
  <c r="C24" i="12"/>
  <c r="C36" i="11"/>
  <c r="L59" i="34"/>
  <c r="M59" i="34" s="1"/>
  <c r="N59" i="34" s="1"/>
  <c r="O59" i="34" s="1"/>
  <c r="H7" i="34"/>
  <c r="G68" i="39"/>
  <c r="F70" i="39"/>
  <c r="H58" i="21"/>
  <c r="I58" i="21" s="1"/>
  <c r="J58" i="21" s="1"/>
  <c r="K58" i="21" s="1"/>
  <c r="L58" i="21" s="1"/>
  <c r="M58" i="21" s="1"/>
  <c r="N58" i="21" s="1"/>
  <c r="O58" i="21" s="1"/>
  <c r="F7" i="21"/>
  <c r="J7" i="21"/>
  <c r="G63" i="40"/>
  <c r="F65" i="40"/>
  <c r="E11" i="71"/>
  <c r="E10" i="71" s="1"/>
  <c r="E9" i="71" s="1"/>
  <c r="E8" i="71" s="1"/>
  <c r="V12" i="71"/>
  <c r="J52" i="37"/>
  <c r="K52" i="37" s="1"/>
  <c r="L52" i="37" s="1"/>
  <c r="M52" i="37" s="1"/>
  <c r="N52" i="37" s="1"/>
  <c r="O52" i="37" s="1"/>
  <c r="F48" i="35"/>
  <c r="G48" i="35" s="1"/>
  <c r="H48" i="35" s="1"/>
  <c r="I48" i="35" s="1"/>
  <c r="J48" i="35" s="1"/>
  <c r="K48" i="35" s="1"/>
  <c r="L48" i="35" s="1"/>
  <c r="M48" i="35" s="1"/>
  <c r="N48" i="35" s="1"/>
  <c r="O48" i="35" s="1"/>
  <c r="F7" i="35"/>
  <c r="E58" i="33"/>
  <c r="F58" i="33" s="1"/>
  <c r="G58" i="33" s="1"/>
  <c r="H58" i="33" s="1"/>
  <c r="I58" i="33" s="1"/>
  <c r="J58" i="33" s="1"/>
  <c r="K58" i="33" s="1"/>
  <c r="L58" i="33" s="1"/>
  <c r="M58" i="33" s="1"/>
  <c r="N58" i="33" s="1"/>
  <c r="O58" i="33" s="1"/>
  <c r="F7" i="3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17" i="21"/>
  <c r="W17" i="21"/>
  <c r="AB33" i="21"/>
  <c r="U33" i="21"/>
  <c r="S23" i="21"/>
  <c r="AA23" i="21"/>
  <c r="AZ503" i="3"/>
  <c r="H7" i="21"/>
  <c r="F46" i="36"/>
  <c r="J7" i="37"/>
  <c r="D12" i="52"/>
  <c r="D127" i="9"/>
  <c r="D13" i="52" s="1"/>
  <c r="P11" i="1"/>
  <c r="E30" i="6"/>
  <c r="K14" i="1"/>
  <c r="O12" i="1"/>
  <c r="AZ557" i="3"/>
  <c r="F48" i="9"/>
  <c r="O52" i="9" s="1"/>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H40" i="37"/>
  <c r="J40" i="37"/>
  <c r="F40" i="37"/>
  <c r="F38" i="40"/>
  <c r="J38" i="40"/>
  <c r="H38" i="40"/>
  <c r="BL550" i="3"/>
  <c r="BL5" i="3" s="1"/>
  <c r="AA23" i="37"/>
  <c r="AA11" i="34"/>
  <c r="T10" i="1"/>
  <c r="T12" i="1"/>
  <c r="S43" i="34"/>
  <c r="S32" i="37"/>
  <c r="S20" i="35"/>
  <c r="S27" i="36"/>
  <c r="S30" i="40"/>
  <c r="H75" i="43"/>
  <c r="AC11" i="39"/>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H14" i="33"/>
  <c r="F14" i="33"/>
  <c r="J14" i="33"/>
  <c r="J44" i="33"/>
  <c r="F44" i="33"/>
  <c r="J46" i="33"/>
  <c r="F46" i="33"/>
  <c r="H46" i="33"/>
  <c r="H13" i="34"/>
  <c r="J13" i="34"/>
  <c r="J12" i="36"/>
  <c r="H12" i="36"/>
  <c r="J24" i="36"/>
  <c r="H24" i="36"/>
  <c r="F24" i="36"/>
  <c r="J39" i="37"/>
  <c r="H39" i="37"/>
  <c r="AC31" i="40"/>
  <c r="W31" i="40"/>
  <c r="J39" i="40"/>
  <c r="H39" i="40"/>
  <c r="W38" i="34"/>
  <c r="AC38" i="34"/>
  <c r="U42" i="34"/>
  <c r="AB42" i="34"/>
  <c r="BA551" i="3"/>
  <c r="AZ551" i="3" s="1"/>
  <c r="AZ399" i="3"/>
  <c r="AZ409" i="3"/>
  <c r="AZ416" i="3"/>
  <c r="AZ425" i="3"/>
  <c r="AZ432" i="3"/>
  <c r="AZ445" i="3"/>
  <c r="AZ447" i="3"/>
  <c r="AZ464" i="3"/>
  <c r="AZ467" i="3"/>
  <c r="AZ474" i="3"/>
  <c r="AZ480" i="3"/>
  <c r="AZ482" i="3"/>
  <c r="AZ486" i="3"/>
  <c r="AZ488" i="3"/>
  <c r="AZ216" i="3"/>
  <c r="AZ221" i="3"/>
  <c r="AZ226" i="3"/>
  <c r="AZ230" i="3"/>
  <c r="AZ236" i="3"/>
  <c r="AZ242" i="3"/>
  <c r="AZ252" i="3"/>
  <c r="AZ272" i="3"/>
  <c r="AZ276" i="3"/>
  <c r="AZ289" i="3"/>
  <c r="AZ294" i="3"/>
  <c r="AZ300" i="3"/>
  <c r="AZ118" i="3"/>
  <c r="AZ121" i="3"/>
  <c r="AZ134" i="3"/>
  <c r="AZ137" i="3"/>
  <c r="AZ145" i="3"/>
  <c r="AZ161" i="3"/>
  <c r="AZ177" i="3"/>
  <c r="AZ48" i="3"/>
  <c r="AZ205" i="3"/>
  <c r="AZ18" i="3"/>
  <c r="AZ23" i="3"/>
  <c r="AZ27" i="3"/>
  <c r="AZ52" i="3"/>
  <c r="M108" i="43"/>
  <c r="M100" i="43"/>
  <c r="K108" i="43"/>
  <c r="K100" i="43"/>
  <c r="I108" i="43"/>
  <c r="I100" i="43"/>
  <c r="E108" i="43"/>
  <c r="E100" i="43"/>
  <c r="AZ64" i="3"/>
  <c r="AZ68" i="3"/>
  <c r="AZ108" i="3"/>
  <c r="F3" i="35"/>
  <c r="F40" i="68"/>
  <c r="C21" i="68"/>
  <c r="C40" i="68"/>
  <c r="D108" i="43"/>
  <c r="D100" i="43"/>
  <c r="E19" i="71"/>
  <c r="E18" i="71" s="1"/>
  <c r="V20" i="71"/>
  <c r="AA3" i="71"/>
  <c r="AA18" i="71"/>
  <c r="AA20" i="71"/>
  <c r="X25" i="71"/>
  <c r="X26" i="71"/>
  <c r="X27" i="71"/>
  <c r="AA31" i="71"/>
  <c r="AA29" i="71"/>
  <c r="C39" i="71"/>
  <c r="D39" i="71" s="1"/>
  <c r="D38" i="71"/>
  <c r="T60" i="71"/>
  <c r="D60" i="71"/>
  <c r="V60" i="71"/>
  <c r="F59" i="71"/>
  <c r="Q60" i="71"/>
  <c r="T68" i="71"/>
  <c r="D68" i="71"/>
  <c r="Y13" i="71"/>
  <c r="Z13" i="71" s="1"/>
  <c r="AB13" i="71"/>
  <c r="AB5" i="71"/>
  <c r="D56" i="71"/>
  <c r="D48" i="71"/>
  <c r="P57" i="71"/>
  <c r="P59" i="71"/>
  <c r="D55" i="71"/>
  <c r="C58" i="71"/>
  <c r="AA19" i="71"/>
  <c r="D26" i="71"/>
  <c r="X19" i="71"/>
  <c r="Y25" i="71"/>
  <c r="Z25" i="71" s="1"/>
  <c r="X24" i="71"/>
  <c r="X22" i="71"/>
  <c r="E32" i="71"/>
  <c r="U32" i="71" s="1"/>
  <c r="B28" i="71"/>
  <c r="S28" i="71" s="1"/>
  <c r="AA21" i="71"/>
  <c r="B24" i="71"/>
  <c r="S24" i="71" s="1"/>
  <c r="X16" i="71"/>
  <c r="B20" i="71"/>
  <c r="X18" i="71"/>
  <c r="X20" i="71"/>
  <c r="Y21" i="71"/>
  <c r="Z21" i="71" s="1"/>
  <c r="Y17" i="71"/>
  <c r="Z17" i="71" s="1"/>
  <c r="Y18" i="71"/>
  <c r="Z18" i="71" s="1"/>
  <c r="Y19" i="71"/>
  <c r="Z19" i="71" s="1"/>
  <c r="Y20" i="71"/>
  <c r="Z20" i="71" s="1"/>
  <c r="AB21" i="71"/>
  <c r="AB18" i="71"/>
  <c r="AB20" i="71"/>
  <c r="F22" i="71"/>
  <c r="F23" i="71" s="1"/>
  <c r="F24" i="71" s="1"/>
  <c r="V24" i="71" s="1"/>
  <c r="Y23" i="71"/>
  <c r="Z23" i="71" s="1"/>
  <c r="AA22" i="71"/>
  <c r="AA23" i="71"/>
  <c r="Y24" i="71"/>
  <c r="Z24" i="71" s="1"/>
  <c r="AB24" i="71"/>
  <c r="Y27" i="71"/>
  <c r="Z27" i="71" s="1"/>
  <c r="AA25" i="71"/>
  <c r="AA24" i="71"/>
  <c r="Y28" i="71"/>
  <c r="Z28" i="71" s="1"/>
  <c r="C31" i="71"/>
  <c r="P60" i="71"/>
  <c r="U60" i="71"/>
  <c r="Z12" i="43"/>
  <c r="Z10" i="43"/>
  <c r="AD12" i="43"/>
  <c r="AD10" i="43"/>
  <c r="AF12" i="43"/>
  <c r="AF10" i="43"/>
  <c r="AH12" i="43"/>
  <c r="AH13" i="43" s="1"/>
  <c r="AH10" i="43"/>
  <c r="Y16" i="71"/>
  <c r="Z16" i="71" s="1"/>
  <c r="F16" i="71"/>
  <c r="F15" i="71" s="1"/>
  <c r="F14" i="71" s="1"/>
  <c r="F13" i="71" s="1"/>
  <c r="F12" i="71" s="1"/>
  <c r="F11" i="71" s="1"/>
  <c r="F10" i="71" s="1"/>
  <c r="F9" i="71" s="1"/>
  <c r="AA15" i="71"/>
  <c r="AA16" i="71"/>
  <c r="X14" i="71"/>
  <c r="B16" i="71"/>
  <c r="AA14" i="71"/>
  <c r="AA13" i="71"/>
  <c r="X10" i="71"/>
  <c r="X7" i="71"/>
  <c r="X6" i="71"/>
  <c r="AA7" i="71"/>
  <c r="AA6" i="71"/>
  <c r="X9" i="71"/>
  <c r="AA9" i="71"/>
  <c r="AA5" i="71"/>
  <c r="AC12" i="43"/>
  <c r="AC10" i="43"/>
  <c r="AG12" i="43"/>
  <c r="AG10" i="43"/>
  <c r="Y14" i="71"/>
  <c r="Z14" i="71" s="1"/>
  <c r="Y15" i="71"/>
  <c r="Z15" i="71" s="1"/>
  <c r="C16" i="71"/>
  <c r="AB15" i="71"/>
  <c r="AB16" i="71"/>
  <c r="X13" i="71"/>
  <c r="AA10" i="71"/>
  <c r="Y10" i="71"/>
  <c r="Z10" i="71" s="1"/>
  <c r="AB10" i="71"/>
  <c r="Y6" i="71"/>
  <c r="Z6" i="71" s="1"/>
  <c r="Y9" i="71"/>
  <c r="Z9" i="71" s="1"/>
  <c r="AB9" i="71"/>
  <c r="Y5" i="71"/>
  <c r="Z5" i="71" s="1"/>
  <c r="X5" i="7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F8" i="71"/>
  <c r="F7" i="71" s="1"/>
  <c r="F6" i="71" s="1"/>
  <c r="F5" i="71" s="1"/>
  <c r="AF3" i="71"/>
  <c r="P22" i="43" s="1"/>
  <c r="C36" i="68"/>
  <c r="B10" i="70"/>
  <c r="K1" i="73"/>
  <c r="B20" i="31"/>
  <c r="B21" i="31" s="1"/>
  <c r="I1" i="73"/>
  <c r="B39" i="1" s="1"/>
  <c r="B12" i="70"/>
  <c r="E20" i="43"/>
  <c r="B11" i="70"/>
  <c r="B8" i="70"/>
  <c r="B9" i="70"/>
  <c r="B13" i="70"/>
  <c r="F41" i="79"/>
  <c r="C76" i="67"/>
  <c r="F16" i="67"/>
  <c r="M6" i="67"/>
  <c r="F43" i="67"/>
  <c r="M22" i="67"/>
  <c r="M28" i="67"/>
  <c r="M23" i="67"/>
  <c r="M27" i="67"/>
  <c r="M29" i="15"/>
  <c r="M23" i="15"/>
  <c r="F9" i="15"/>
  <c r="F36" i="15"/>
  <c r="M9" i="15"/>
  <c r="F7" i="15"/>
  <c r="F26" i="15"/>
  <c r="M9" i="67"/>
  <c r="F8" i="67"/>
  <c r="M26" i="67"/>
  <c r="F26" i="67"/>
  <c r="F38" i="67"/>
  <c r="F36" i="67"/>
  <c r="F9" i="67"/>
  <c r="F42" i="67"/>
  <c r="C76" i="15"/>
  <c r="M8" i="15"/>
  <c r="F8" i="15"/>
  <c r="M28" i="15"/>
  <c r="M22" i="15"/>
  <c r="F43" i="15"/>
  <c r="C16" i="79"/>
  <c r="L48" i="67"/>
  <c r="L47" i="67"/>
  <c r="F35" i="67"/>
  <c r="J15" i="67"/>
  <c r="F6" i="67"/>
  <c r="M24" i="67"/>
  <c r="M8" i="67"/>
  <c r="M26" i="15"/>
  <c r="F42" i="15"/>
  <c r="F13" i="15"/>
  <c r="F16" i="15"/>
  <c r="M24" i="15"/>
  <c r="L47" i="15"/>
  <c r="F40" i="15"/>
  <c r="C16" i="78"/>
  <c r="M29" i="67"/>
  <c r="F7" i="67"/>
  <c r="F37" i="67"/>
  <c r="F40" i="67"/>
  <c r="M21" i="67"/>
  <c r="F41" i="67"/>
  <c r="F13" i="67"/>
  <c r="M6" i="15"/>
  <c r="J15" i="15"/>
  <c r="F6" i="15"/>
  <c r="F38" i="15"/>
  <c r="L48" i="15"/>
  <c r="M27" i="15"/>
  <c r="F37" i="15"/>
  <c r="G1" i="73"/>
  <c r="F69" i="79" l="1"/>
  <c r="E59" i="40"/>
  <c r="L101" i="43"/>
  <c r="S4" i="43"/>
  <c r="AC11" i="43"/>
  <c r="AC13" i="43" s="1"/>
  <c r="S5" i="43"/>
  <c r="AB11" i="43"/>
  <c r="AB13" i="43" s="1"/>
  <c r="S2" i="43"/>
  <c r="M101" i="43"/>
  <c r="M109" i="43" s="1"/>
  <c r="H22" i="43"/>
  <c r="J101" i="43"/>
  <c r="J105" i="43" s="1"/>
  <c r="G101" i="43"/>
  <c r="K101" i="43"/>
  <c r="K106" i="43" s="1"/>
  <c r="E22" i="43"/>
  <c r="F22" i="43"/>
  <c r="G22" i="43"/>
  <c r="AD11" i="43"/>
  <c r="AD13" i="43" s="1"/>
  <c r="AA11" i="43"/>
  <c r="AA13" i="43" s="1"/>
  <c r="S3" i="43"/>
  <c r="C23" i="43"/>
  <c r="Z7" i="43"/>
  <c r="AG11" i="43"/>
  <c r="F31" i="6"/>
  <c r="D29" i="43" s="1"/>
  <c r="D1" i="43" s="1"/>
  <c r="C33" i="78"/>
  <c r="C32" i="78"/>
  <c r="C33" i="79"/>
  <c r="C32" i="79"/>
  <c r="W21" i="1"/>
  <c r="U21" i="1" s="1"/>
  <c r="F11" i="79"/>
  <c r="M11" i="79"/>
  <c r="J10" i="79" s="1"/>
  <c r="J5" i="79" s="1"/>
  <c r="G17" i="43"/>
  <c r="C16" i="43" s="1"/>
  <c r="D5" i="43" s="1"/>
  <c r="F11" i="78"/>
  <c r="M11" i="78"/>
  <c r="J10" i="78" s="1"/>
  <c r="J5" i="78" s="1"/>
  <c r="E109" i="43"/>
  <c r="D103" i="43"/>
  <c r="D102" i="43"/>
  <c r="D107" i="43"/>
  <c r="D106" i="43"/>
  <c r="F103" i="43"/>
  <c r="H56" i="43"/>
  <c r="H55" i="43"/>
  <c r="H50" i="43"/>
  <c r="H51" i="43"/>
  <c r="H49" i="43"/>
  <c r="H54" i="43"/>
  <c r="H62" i="43"/>
  <c r="H66" i="43"/>
  <c r="H64" i="43"/>
  <c r="H59" i="43"/>
  <c r="H61" i="43"/>
  <c r="H65" i="43"/>
  <c r="H63" i="43"/>
  <c r="H67" i="43"/>
  <c r="H60" i="43"/>
  <c r="C5" i="43"/>
  <c r="F30" i="69"/>
  <c r="F48" i="69" s="1"/>
  <c r="F30" i="11"/>
  <c r="C48" i="11" s="1"/>
  <c r="F52" i="9"/>
  <c r="D68" i="9"/>
  <c r="F32" i="67"/>
  <c r="F60" i="67" s="1"/>
  <c r="F28" i="15"/>
  <c r="C28" i="15" s="1"/>
  <c r="F53" i="9"/>
  <c r="F30" i="68"/>
  <c r="M18" i="15"/>
  <c r="F54" i="9"/>
  <c r="M18" i="67"/>
  <c r="C48" i="69"/>
  <c r="C30" i="11"/>
  <c r="F28" i="12"/>
  <c r="C29" i="12" s="1"/>
  <c r="D28" i="12" s="1"/>
  <c r="F27" i="68"/>
  <c r="F106" i="43"/>
  <c r="I102" i="43"/>
  <c r="C27" i="15"/>
  <c r="F65" i="15"/>
  <c r="F68" i="15"/>
  <c r="F71" i="15"/>
  <c r="M7" i="15"/>
  <c r="J6" i="15" s="1"/>
  <c r="F50" i="15"/>
  <c r="L59" i="15"/>
  <c r="Q61" i="15" s="1"/>
  <c r="L58" i="15"/>
  <c r="Q60" i="15" s="1"/>
  <c r="N59" i="15"/>
  <c r="M59" i="15"/>
  <c r="J57" i="15"/>
  <c r="J55" i="15" s="1"/>
  <c r="J58" i="15" s="1"/>
  <c r="Q50" i="15" s="1"/>
  <c r="J53" i="15"/>
  <c r="L56" i="15" s="1"/>
  <c r="I54" i="15"/>
  <c r="F64" i="15"/>
  <c r="F66" i="15"/>
  <c r="F51" i="15"/>
  <c r="C6" i="15"/>
  <c r="C32" i="15" s="1"/>
  <c r="Q71" i="15"/>
  <c r="F70" i="67"/>
  <c r="F69" i="67"/>
  <c r="F64" i="67"/>
  <c r="J20" i="67"/>
  <c r="C6" i="67"/>
  <c r="C32" i="67" s="1"/>
  <c r="F66" i="67"/>
  <c r="F68" i="67"/>
  <c r="C27" i="67"/>
  <c r="F71" i="67"/>
  <c r="F65" i="67"/>
  <c r="F63" i="67"/>
  <c r="C62" i="67" s="1"/>
  <c r="C34" i="67"/>
  <c r="M7" i="67"/>
  <c r="J6" i="67" s="1"/>
  <c r="J18" i="67" s="1"/>
  <c r="F50" i="67"/>
  <c r="F59" i="67" s="1"/>
  <c r="L59" i="67"/>
  <c r="Q74" i="67" s="1"/>
  <c r="M59" i="67"/>
  <c r="N59" i="67"/>
  <c r="L58" i="67"/>
  <c r="Q60" i="67" s="1"/>
  <c r="F51" i="67"/>
  <c r="J57" i="67"/>
  <c r="J55" i="67" s="1"/>
  <c r="J58" i="67" s="1"/>
  <c r="Q50" i="67" s="1"/>
  <c r="I54" i="67"/>
  <c r="J53" i="67"/>
  <c r="F1" i="67" s="1"/>
  <c r="L56" i="67"/>
  <c r="Q71" i="67"/>
  <c r="C47" i="11"/>
  <c r="D45" i="11" s="1"/>
  <c r="AG13" i="43"/>
  <c r="I109" i="43"/>
  <c r="D109" i="43"/>
  <c r="N106" i="43"/>
  <c r="H103" i="43"/>
  <c r="D104" i="43"/>
  <c r="I105" i="43"/>
  <c r="I104" i="43"/>
  <c r="N103" i="43"/>
  <c r="E65" i="39"/>
  <c r="D22" i="43"/>
  <c r="C21" i="43" s="1"/>
  <c r="I107" i="43"/>
  <c r="I106" i="43"/>
  <c r="K109" i="43"/>
  <c r="L106" i="43"/>
  <c r="H6" i="3"/>
  <c r="AC6" i="3"/>
  <c r="F27" i="69"/>
  <c r="C29" i="69" s="1"/>
  <c r="D27" i="69" s="1"/>
  <c r="D9" i="11"/>
  <c r="C9" i="11" s="1"/>
  <c r="E16" i="6"/>
  <c r="K107" i="43"/>
  <c r="E57" i="40"/>
  <c r="E62" i="39"/>
  <c r="E58" i="40"/>
  <c r="E63" i="39"/>
  <c r="D9" i="68"/>
  <c r="C9" i="68" s="1"/>
  <c r="D19" i="12"/>
  <c r="C19" i="12" s="1"/>
  <c r="E102" i="43"/>
  <c r="E106" i="43"/>
  <c r="E103" i="43"/>
  <c r="E107" i="43"/>
  <c r="E104" i="43"/>
  <c r="E105" i="43"/>
  <c r="H107" i="43"/>
  <c r="H105" i="43"/>
  <c r="H106" i="43"/>
  <c r="C104" i="43"/>
  <c r="C105" i="43"/>
  <c r="C109" i="43"/>
  <c r="C106" i="43"/>
  <c r="C103" i="43"/>
  <c r="C102" i="43"/>
  <c r="C107" i="43"/>
  <c r="N102" i="43"/>
  <c r="N105" i="43"/>
  <c r="N109" i="43"/>
  <c r="N104" i="43"/>
  <c r="B115" i="43"/>
  <c r="D117" i="43"/>
  <c r="E117" i="43" s="1"/>
  <c r="F117" i="43" s="1"/>
  <c r="G117" i="43" s="1"/>
  <c r="H117" i="43" s="1"/>
  <c r="I118" i="43"/>
  <c r="J118" i="43" s="1"/>
  <c r="K118" i="43" s="1"/>
  <c r="L118" i="43" s="1"/>
  <c r="M118" i="43" s="1"/>
  <c r="B116" i="43"/>
  <c r="C116"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D118" i="43"/>
  <c r="E118" i="43" s="1"/>
  <c r="F118" i="43" s="1"/>
  <c r="B118" i="43"/>
  <c r="C118" i="43" s="1"/>
  <c r="B117" i="43"/>
  <c r="C117" i="43" s="1"/>
  <c r="F104" i="43"/>
  <c r="F102" i="43"/>
  <c r="F109" i="43"/>
  <c r="F105" i="43"/>
  <c r="AF13" i="43"/>
  <c r="Z13" i="43"/>
  <c r="H104" i="43"/>
  <c r="H102" i="43"/>
  <c r="L104" i="43"/>
  <c r="M102" i="43"/>
  <c r="M103" i="43"/>
  <c r="M105" i="43"/>
  <c r="J104" i="43"/>
  <c r="J103" i="43"/>
  <c r="J102" i="43"/>
  <c r="J107" i="43"/>
  <c r="G105" i="43"/>
  <c r="G102" i="43"/>
  <c r="G103" i="43"/>
  <c r="G104" i="43"/>
  <c r="G107" i="43"/>
  <c r="G106" i="43"/>
  <c r="G109" i="43"/>
  <c r="K103" i="43"/>
  <c r="K105" i="43"/>
  <c r="G16" i="1"/>
  <c r="F10" i="39" s="1"/>
  <c r="AA10" i="39" s="1"/>
  <c r="F7" i="34"/>
  <c r="S7" i="34" s="1"/>
  <c r="H7" i="33"/>
  <c r="J7" i="33"/>
  <c r="AC7" i="33" s="1"/>
  <c r="V48" i="33" s="1"/>
  <c r="I48" i="33" s="1"/>
  <c r="J7" i="35"/>
  <c r="H7" i="35"/>
  <c r="AB7" i="35" s="1"/>
  <c r="T38" i="35" s="1"/>
  <c r="G38" i="35" s="1"/>
  <c r="F7" i="37"/>
  <c r="J7" i="34"/>
  <c r="W7" i="34" s="1"/>
  <c r="B15" i="71"/>
  <c r="B14" i="71" s="1"/>
  <c r="B13" i="71" s="1"/>
  <c r="B12" i="71" s="1"/>
  <c r="S16" i="71"/>
  <c r="D31" i="71"/>
  <c r="C32" i="71"/>
  <c r="AC39" i="40"/>
  <c r="W39" i="40"/>
  <c r="W39" i="37"/>
  <c r="AC39" i="37"/>
  <c r="AB24" i="36"/>
  <c r="U24" i="36"/>
  <c r="AB12" i="36"/>
  <c r="U12" i="36"/>
  <c r="AC13" i="34"/>
  <c r="W13" i="34"/>
  <c r="U46" i="33"/>
  <c r="AB46" i="33"/>
  <c r="AC46" i="33"/>
  <c r="W46" i="33"/>
  <c r="W44" i="33"/>
  <c r="AC44" i="33"/>
  <c r="S14" i="33"/>
  <c r="AA14" i="33"/>
  <c r="AB12" i="21"/>
  <c r="U12" i="21"/>
  <c r="AA12" i="21"/>
  <c r="S12" i="21"/>
  <c r="AC38" i="40"/>
  <c r="W38" i="40"/>
  <c r="AA40" i="37"/>
  <c r="S40" i="37"/>
  <c r="U40" i="37"/>
  <c r="AB40" i="37"/>
  <c r="U11" i="36"/>
  <c r="AB11" i="36"/>
  <c r="AA23" i="35"/>
  <c r="S23" i="35"/>
  <c r="U23" i="35"/>
  <c r="AB23" i="35"/>
  <c r="AA26" i="33"/>
  <c r="S26" i="33"/>
  <c r="AZ550" i="3"/>
  <c r="AZ5" i="3" s="1"/>
  <c r="AC7" i="37"/>
  <c r="V42" i="37" s="1"/>
  <c r="I42" i="37" s="1"/>
  <c r="W7" i="37"/>
  <c r="AA7" i="34"/>
  <c r="R49" i="34" s="1"/>
  <c r="AB7" i="33"/>
  <c r="T48" i="33" s="1"/>
  <c r="G48" i="33" s="1"/>
  <c r="U7" i="33"/>
  <c r="W7" i="33"/>
  <c r="W7" i="35"/>
  <c r="AC7" i="35"/>
  <c r="V38" i="35" s="1"/>
  <c r="I38" i="35" s="1"/>
  <c r="U7" i="35"/>
  <c r="H7" i="37"/>
  <c r="AC7" i="21"/>
  <c r="V48" i="21" s="1"/>
  <c r="I48" i="21" s="1"/>
  <c r="W7" i="21"/>
  <c r="H68" i="39"/>
  <c r="G70" i="39"/>
  <c r="AC7" i="34"/>
  <c r="V49" i="34" s="1"/>
  <c r="I49" i="34" s="1"/>
  <c r="C15" i="71"/>
  <c r="D16" i="71"/>
  <c r="U16" i="71" s="1"/>
  <c r="T16" i="71"/>
  <c r="B19" i="71"/>
  <c r="B18" i="71" s="1"/>
  <c r="S20" i="71"/>
  <c r="D58" i="71"/>
  <c r="O57" i="71"/>
  <c r="O58" i="71"/>
  <c r="F58" i="71"/>
  <c r="Q59" i="71"/>
  <c r="AB39" i="40"/>
  <c r="U39" i="40"/>
  <c r="AB39" i="37"/>
  <c r="U39" i="37"/>
  <c r="AA24" i="36"/>
  <c r="S24" i="36"/>
  <c r="AC24" i="36"/>
  <c r="W24" i="36"/>
  <c r="AC12" i="36"/>
  <c r="W12" i="36"/>
  <c r="U13" i="34"/>
  <c r="AB13" i="34"/>
  <c r="AA46" i="33"/>
  <c r="S46" i="33"/>
  <c r="S44" i="33"/>
  <c r="AA44" i="33"/>
  <c r="AC14" i="33"/>
  <c r="W14" i="33"/>
  <c r="U14" i="33"/>
  <c r="AB14" i="33"/>
  <c r="AC12" i="21"/>
  <c r="W12" i="21"/>
  <c r="U38" i="40"/>
  <c r="AB38" i="40"/>
  <c r="S38" i="40"/>
  <c r="AA38" i="40"/>
  <c r="AC40" i="37"/>
  <c r="W40" i="37"/>
  <c r="AA11" i="36"/>
  <c r="S11" i="36"/>
  <c r="AC11" i="36"/>
  <c r="W11" i="36"/>
  <c r="W23" i="35"/>
  <c r="AC23" i="35"/>
  <c r="U26" i="33"/>
  <c r="AB26" i="33"/>
  <c r="AC26" i="33"/>
  <c r="W26" i="33"/>
  <c r="BA5" i="3"/>
  <c r="E27" i="6" s="1"/>
  <c r="P12" i="1"/>
  <c r="C34" i="69"/>
  <c r="M14" i="1"/>
  <c r="K16" i="1"/>
  <c r="G46" i="36"/>
  <c r="U7" i="21"/>
  <c r="AB7" i="21"/>
  <c r="T48" i="21" s="1"/>
  <c r="G48" i="21" s="1"/>
  <c r="S7" i="33"/>
  <c r="AA7" i="33"/>
  <c r="R48" i="33" s="1"/>
  <c r="AA7" i="35"/>
  <c r="R38" i="35" s="1"/>
  <c r="S7" i="35"/>
  <c r="AA7" i="37"/>
  <c r="R42" i="37" s="1"/>
  <c r="S7" i="37"/>
  <c r="E7" i="71"/>
  <c r="E6" i="71" s="1"/>
  <c r="E5" i="71" s="1"/>
  <c r="V8" i="71"/>
  <c r="G65" i="40"/>
  <c r="H63" i="40"/>
  <c r="S7" i="21"/>
  <c r="AA7" i="21"/>
  <c r="R48" i="21" s="1"/>
  <c r="AB7" i="34"/>
  <c r="T49" i="34" s="1"/>
  <c r="G49" i="34" s="1"/>
  <c r="U7" i="34"/>
  <c r="M17" i="67"/>
  <c r="M17" i="15"/>
  <c r="F59" i="15"/>
  <c r="P24" i="43"/>
  <c r="B66" i="40" s="1"/>
  <c r="P21" i="43"/>
  <c r="P25" i="43"/>
  <c r="P23" i="43"/>
  <c r="B71" i="39" s="1"/>
  <c r="B40" i="1"/>
  <c r="M28" i="43"/>
  <c r="N28" i="43"/>
  <c r="O28" i="43"/>
  <c r="P28" i="43"/>
  <c r="M11" i="67"/>
  <c r="J10" i="67" s="1"/>
  <c r="F11" i="15"/>
  <c r="M11" i="15"/>
  <c r="F11" i="67"/>
  <c r="C17" i="67"/>
  <c r="C16" i="67"/>
  <c r="C14" i="67"/>
  <c r="C16" i="15"/>
  <c r="C18" i="67" l="1"/>
  <c r="C15" i="67"/>
  <c r="L109" i="43"/>
  <c r="L103" i="43"/>
  <c r="K102" i="43"/>
  <c r="J109" i="43"/>
  <c r="J106" i="43"/>
  <c r="M107" i="43"/>
  <c r="M104" i="43"/>
  <c r="M106" i="43"/>
  <c r="L105" i="43"/>
  <c r="L102" i="43"/>
  <c r="L107" i="43"/>
  <c r="K104" i="43"/>
  <c r="F24" i="78"/>
  <c r="F24" i="79"/>
  <c r="J26" i="79"/>
  <c r="J29" i="79" s="1"/>
  <c r="J24" i="79"/>
  <c r="C53" i="79"/>
  <c r="C48" i="79" s="1"/>
  <c r="C10" i="79"/>
  <c r="C5" i="79" s="1"/>
  <c r="C24" i="78"/>
  <c r="J26" i="78"/>
  <c r="J24" i="78"/>
  <c r="C53" i="78"/>
  <c r="C48" i="78" s="1"/>
  <c r="C10" i="78"/>
  <c r="C5" i="78" s="1"/>
  <c r="G20" i="43"/>
  <c r="C20" i="43" s="1"/>
  <c r="J18" i="15"/>
  <c r="C30" i="69"/>
  <c r="F48" i="68"/>
  <c r="C30" i="68"/>
  <c r="C48" i="68"/>
  <c r="J10" i="15"/>
  <c r="J5" i="15" s="1"/>
  <c r="J26" i="15" s="1"/>
  <c r="J5" i="67"/>
  <c r="J26" i="67" s="1"/>
  <c r="J29" i="67" s="1"/>
  <c r="C29" i="68"/>
  <c r="D27" i="68" s="1"/>
  <c r="F45" i="68"/>
  <c r="C47" i="68"/>
  <c r="D45" i="68" s="1"/>
  <c r="Q74" i="15"/>
  <c r="Q61" i="67"/>
  <c r="Q52" i="67"/>
  <c r="Q73" i="67"/>
  <c r="C49" i="15"/>
  <c r="Q73" i="15"/>
  <c r="Q52" i="15"/>
  <c r="F1" i="15"/>
  <c r="C49" i="67"/>
  <c r="C47" i="69"/>
  <c r="D45" i="69" s="1"/>
  <c r="F45" i="69"/>
  <c r="E6" i="3"/>
  <c r="E66" i="39"/>
  <c r="S10" i="39"/>
  <c r="C115" i="43"/>
  <c r="D113" i="43" s="1"/>
  <c r="J10" i="39"/>
  <c r="W10" i="39" s="1"/>
  <c r="H10" i="39"/>
  <c r="U10" i="39" s="1"/>
  <c r="H10" i="40"/>
  <c r="F10" i="40"/>
  <c r="J10" i="40"/>
  <c r="AY6" i="3"/>
  <c r="E3" i="6"/>
  <c r="G53" i="34"/>
  <c r="H53" i="34" s="1"/>
  <c r="G54" i="34"/>
  <c r="H54" i="34" s="1"/>
  <c r="R49" i="21"/>
  <c r="E48" i="21"/>
  <c r="I63" i="40"/>
  <c r="H65" i="40"/>
  <c r="R49" i="33"/>
  <c r="E48" i="33"/>
  <c r="I53" i="33" s="1"/>
  <c r="J53" i="33" s="1"/>
  <c r="H46" i="36"/>
  <c r="O14" i="1"/>
  <c r="O16" i="1" s="1"/>
  <c r="M16" i="1"/>
  <c r="I53" i="34"/>
  <c r="J53" i="34" s="1"/>
  <c r="AB7" i="37"/>
  <c r="T42" i="37" s="1"/>
  <c r="G42" i="37" s="1"/>
  <c r="U7" i="37"/>
  <c r="G52" i="33"/>
  <c r="H52" i="33" s="1"/>
  <c r="G53" i="33"/>
  <c r="H53" i="33" s="1"/>
  <c r="R50" i="34"/>
  <c r="E49" i="34"/>
  <c r="I54" i="34" s="1"/>
  <c r="J54" i="34" s="1"/>
  <c r="I46" i="37"/>
  <c r="J46" i="37" s="1"/>
  <c r="B11" i="71"/>
  <c r="B10" i="71" s="1"/>
  <c r="B9" i="71" s="1"/>
  <c r="B8" i="71" s="1"/>
  <c r="S12" i="71"/>
  <c r="R43" i="37"/>
  <c r="E42" i="37"/>
  <c r="R39" i="35"/>
  <c r="E38" i="35"/>
  <c r="G52" i="21"/>
  <c r="H52" i="21" s="1"/>
  <c r="G53" i="21"/>
  <c r="H53" i="21" s="1"/>
  <c r="C35" i="69"/>
  <c r="C38" i="69"/>
  <c r="E31" i="6"/>
  <c r="K21" i="6"/>
  <c r="M21" i="6" s="1"/>
  <c r="I21" i="6" s="1"/>
  <c r="S21" i="6" s="1"/>
  <c r="K22" i="6"/>
  <c r="M22" i="6" s="1"/>
  <c r="I22" i="6" s="1"/>
  <c r="S22" i="6" s="1"/>
  <c r="K25" i="6"/>
  <c r="M25" i="6" s="1"/>
  <c r="I25" i="6" s="1"/>
  <c r="S25" i="6" s="1"/>
  <c r="K23" i="6"/>
  <c r="M23" i="6" s="1"/>
  <c r="I23" i="6" s="1"/>
  <c r="S23" i="6" s="1"/>
  <c r="K20" i="6"/>
  <c r="K19" i="6"/>
  <c r="S6" i="1" s="1"/>
  <c r="K24" i="6"/>
  <c r="M24" i="6" s="1"/>
  <c r="I24" i="6" s="1"/>
  <c r="S24" i="6" s="1"/>
  <c r="K26" i="6"/>
  <c r="M26" i="6" s="1"/>
  <c r="I26" i="6" s="1"/>
  <c r="S26" i="6" s="1"/>
  <c r="Q58" i="71"/>
  <c r="Q57" i="71"/>
  <c r="C14" i="71"/>
  <c r="D15" i="71"/>
  <c r="H70" i="39"/>
  <c r="I68" i="39"/>
  <c r="I52" i="21"/>
  <c r="J52" i="21" s="1"/>
  <c r="I53" i="21"/>
  <c r="J53" i="21" s="1"/>
  <c r="G42" i="35"/>
  <c r="H42" i="35" s="1"/>
  <c r="G43" i="35"/>
  <c r="H43" i="35" s="1"/>
  <c r="I42" i="35"/>
  <c r="J42" i="35" s="1"/>
  <c r="I52" i="33"/>
  <c r="J52" i="33" s="1"/>
  <c r="T32" i="71"/>
  <c r="D32" i="71"/>
  <c r="C53" i="67"/>
  <c r="C10" i="67"/>
  <c r="C5" i="67" s="1"/>
  <c r="C53" i="15"/>
  <c r="C10" i="15"/>
  <c r="C5" i="15" s="1"/>
  <c r="F25" i="12"/>
  <c r="F22" i="69"/>
  <c r="F41" i="69" s="1"/>
  <c r="F24" i="67"/>
  <c r="C24" i="67" s="1"/>
  <c r="F22" i="11"/>
  <c r="F22" i="68"/>
  <c r="F24" i="15"/>
  <c r="C24" i="15" s="1"/>
  <c r="C17" i="15"/>
  <c r="AE6" i="1"/>
  <c r="F41" i="78"/>
  <c r="F41" i="15"/>
  <c r="C19" i="67" l="1"/>
  <c r="C20" i="67" s="1"/>
  <c r="C26" i="67" s="1"/>
  <c r="C66" i="79"/>
  <c r="C60" i="79"/>
  <c r="C24" i="79"/>
  <c r="C38" i="79"/>
  <c r="F69" i="78"/>
  <c r="C66" i="78"/>
  <c r="C60" i="78"/>
  <c r="C38" i="78"/>
  <c r="J29" i="78"/>
  <c r="J24" i="15"/>
  <c r="E6" i="70"/>
  <c r="T11" i="43"/>
  <c r="V11" i="43" s="1"/>
  <c r="T4" i="43"/>
  <c r="V4" i="43" s="1"/>
  <c r="T14" i="43"/>
  <c r="V14" i="43" s="1"/>
  <c r="T5" i="43"/>
  <c r="V5" i="43" s="1"/>
  <c r="T15" i="43"/>
  <c r="V15" i="43" s="1"/>
  <c r="E41" i="43"/>
  <c r="C41" i="43" s="1"/>
  <c r="C39" i="43" s="1"/>
  <c r="C29" i="43"/>
  <c r="J43" i="43" s="1"/>
  <c r="T8" i="43"/>
  <c r="V8" i="43" s="1"/>
  <c r="T13" i="43"/>
  <c r="V13" i="43" s="1"/>
  <c r="T9" i="43"/>
  <c r="V9" i="43" s="1"/>
  <c r="T2" i="43"/>
  <c r="V2" i="43" s="1"/>
  <c r="T7" i="43"/>
  <c r="V7" i="43" s="1"/>
  <c r="T3" i="43"/>
  <c r="V3" i="43" s="1"/>
  <c r="T16" i="43"/>
  <c r="V16" i="43" s="1"/>
  <c r="T12" i="43"/>
  <c r="V12" i="43" s="1"/>
  <c r="T10" i="43"/>
  <c r="V10" i="43" s="1"/>
  <c r="C30" i="43"/>
  <c r="E30" i="43" s="1"/>
  <c r="T6" i="43"/>
  <c r="V6" i="43" s="1"/>
  <c r="C35" i="43"/>
  <c r="C37" i="43"/>
  <c r="C34" i="43"/>
  <c r="C36" i="43"/>
  <c r="C33" i="43"/>
  <c r="F69" i="15"/>
  <c r="J29" i="15"/>
  <c r="C48" i="15"/>
  <c r="C60" i="15" s="1"/>
  <c r="J24" i="67"/>
  <c r="C48" i="67"/>
  <c r="C66" i="67" s="1"/>
  <c r="T6" i="1"/>
  <c r="AR6" i="1"/>
  <c r="AQ6" i="1"/>
  <c r="M20" i="6"/>
  <c r="I20" i="6" s="1"/>
  <c r="S20" i="6" s="1"/>
  <c r="S7" i="1"/>
  <c r="AC10" i="39"/>
  <c r="P14" i="1"/>
  <c r="P16" i="1" s="1"/>
  <c r="C11" i="12" s="1"/>
  <c r="C15" i="12" s="1"/>
  <c r="AB10" i="39"/>
  <c r="S10" i="40"/>
  <c r="AA10" i="40"/>
  <c r="AC10" i="40"/>
  <c r="W10" i="40"/>
  <c r="U10" i="40"/>
  <c r="AB10" i="40"/>
  <c r="D14" i="71"/>
  <c r="C13" i="71"/>
  <c r="E43" i="35"/>
  <c r="F43" i="35" s="1"/>
  <c r="E42" i="35"/>
  <c r="F42" i="35" s="1"/>
  <c r="E47" i="37"/>
  <c r="F47" i="37" s="1"/>
  <c r="E46" i="37"/>
  <c r="F46" i="37" s="1"/>
  <c r="B7" i="71"/>
  <c r="B6" i="71" s="1"/>
  <c r="B5" i="71" s="1"/>
  <c r="S8" i="71"/>
  <c r="I47" i="37"/>
  <c r="J47" i="37" s="1"/>
  <c r="C49" i="34"/>
  <c r="C50" i="34"/>
  <c r="G46" i="37"/>
  <c r="H46" i="37" s="1"/>
  <c r="G47" i="37"/>
  <c r="H47" i="37" s="1"/>
  <c r="C34" i="11"/>
  <c r="N16" i="1"/>
  <c r="L16" i="1"/>
  <c r="C34" i="68"/>
  <c r="I46" i="36"/>
  <c r="C48" i="33"/>
  <c r="C49" i="33"/>
  <c r="J63" i="40"/>
  <c r="I65" i="40"/>
  <c r="C49" i="21"/>
  <c r="C48"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3" i="35"/>
  <c r="J43" i="35" s="1"/>
  <c r="I70" i="39"/>
  <c r="J68" i="39"/>
  <c r="M19" i="6"/>
  <c r="K27" i="6"/>
  <c r="C39" i="35"/>
  <c r="B2" i="35" s="1"/>
  <c r="B3" i="35" s="1"/>
  <c r="C38" i="35"/>
  <c r="C43" i="37"/>
  <c r="C42" i="37"/>
  <c r="E54" i="34"/>
  <c r="F54" i="34" s="1"/>
  <c r="E53" i="34"/>
  <c r="F53" i="34" s="1"/>
  <c r="E53" i="33"/>
  <c r="F53" i="33" s="1"/>
  <c r="E52" i="33"/>
  <c r="F52" i="33" s="1"/>
  <c r="E53" i="21"/>
  <c r="F53" i="21" s="1"/>
  <c r="E52" i="21"/>
  <c r="F52" i="21" s="1"/>
  <c r="D3" i="21"/>
  <c r="D19" i="11"/>
  <c r="C19" i="11" s="1"/>
  <c r="C17" i="4"/>
  <c r="B4" i="52" s="1"/>
  <c r="B43" i="72" s="1"/>
  <c r="L18" i="9"/>
  <c r="D3" i="37"/>
  <c r="D3" i="34"/>
  <c r="D3" i="33"/>
  <c r="E6" i="6"/>
  <c r="D37" i="11"/>
  <c r="C37" i="11" s="1"/>
  <c r="D14" i="12"/>
  <c r="M18" i="9"/>
  <c r="B118" i="9" s="1"/>
  <c r="B14" i="74" s="1"/>
  <c r="B1" i="74" s="1"/>
  <c r="F41" i="68"/>
  <c r="C26" i="69"/>
  <c r="D22" i="69" s="1"/>
  <c r="C44" i="69"/>
  <c r="D41" i="69" s="1"/>
  <c r="C44" i="68"/>
  <c r="D41" i="68" s="1"/>
  <c r="C26" i="68"/>
  <c r="D22" i="68" s="1"/>
  <c r="C26" i="12"/>
  <c r="D25" i="12" s="1"/>
  <c r="C44" i="11"/>
  <c r="D41" i="11" s="1"/>
  <c r="C23" i="11"/>
  <c r="C24" i="11"/>
  <c r="C26" i="11"/>
  <c r="D22" i="11" s="1"/>
  <c r="C38" i="67"/>
  <c r="C38" i="15"/>
  <c r="C23" i="67"/>
  <c r="C29" i="67" s="1"/>
  <c r="C17" i="79"/>
  <c r="C17" i="78"/>
  <c r="C14" i="15"/>
  <c r="S16" i="1" l="1"/>
  <c r="E7" i="70"/>
  <c r="E2" i="70" s="1"/>
  <c r="N36" i="43"/>
  <c r="E29" i="43"/>
  <c r="C15" i="15"/>
  <c r="C18" i="15"/>
  <c r="C38" i="43"/>
  <c r="E38" i="43" s="1"/>
  <c r="G33" i="43"/>
  <c r="I33" i="43" s="1"/>
  <c r="E33" i="43"/>
  <c r="E34" i="43"/>
  <c r="G34" i="43"/>
  <c r="I34" i="43" s="1"/>
  <c r="E35" i="43"/>
  <c r="G35" i="43"/>
  <c r="I35" i="43" s="1"/>
  <c r="E36" i="43"/>
  <c r="G36" i="43"/>
  <c r="I36" i="43" s="1"/>
  <c r="E37" i="43"/>
  <c r="G37" i="43"/>
  <c r="I37" i="43" s="1"/>
  <c r="E39" i="43"/>
  <c r="G39" i="43"/>
  <c r="I39" i="43" s="1"/>
  <c r="C66" i="15"/>
  <c r="C60" i="67"/>
  <c r="T7" i="1"/>
  <c r="AR7" i="1"/>
  <c r="AQ7" i="1"/>
  <c r="C12" i="12"/>
  <c r="D17" i="12"/>
  <c r="C17" i="12" s="1"/>
  <c r="C14" i="12"/>
  <c r="C16" i="12" s="1"/>
  <c r="D10" i="68"/>
  <c r="D10" i="11"/>
  <c r="C10" i="11" s="1"/>
  <c r="D20" i="12"/>
  <c r="C20" i="12" s="1"/>
  <c r="D10" i="69"/>
  <c r="J70" i="39"/>
  <c r="K68" i="39"/>
  <c r="B2" i="21"/>
  <c r="B3" i="21" s="1"/>
  <c r="J65" i="40"/>
  <c r="K63" i="40"/>
  <c r="C38" i="68"/>
  <c r="C35" i="68"/>
  <c r="F50" i="11"/>
  <c r="F50" i="68"/>
  <c r="F50" i="69"/>
  <c r="D13" i="71"/>
  <c r="C12" i="71"/>
  <c r="C8" i="74"/>
  <c r="C7" i="74"/>
  <c r="C20" i="11"/>
  <c r="C25" i="11" s="1"/>
  <c r="B2" i="37"/>
  <c r="B3" i="37" s="1"/>
  <c r="I19" i="6"/>
  <c r="H19" i="6" s="1"/>
  <c r="M27" i="6"/>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B2" i="33"/>
  <c r="B3" i="33" s="1"/>
  <c r="J46" i="36"/>
  <c r="C38" i="11"/>
  <c r="C35" i="11"/>
  <c r="B2" i="34"/>
  <c r="B3" i="34" s="1"/>
  <c r="C33" i="15"/>
  <c r="J59" i="15"/>
  <c r="J60" i="15" s="1"/>
  <c r="C22" i="11"/>
  <c r="C36" i="67"/>
  <c r="C33" i="67"/>
  <c r="C31" i="67" s="1"/>
  <c r="J14" i="67"/>
  <c r="C13" i="67"/>
  <c r="J19" i="67"/>
  <c r="J17" i="67" s="1"/>
  <c r="C57" i="67"/>
  <c r="Q49" i="67"/>
  <c r="J59" i="67"/>
  <c r="J60" i="67" s="1"/>
  <c r="C14" i="79"/>
  <c r="C14" i="78"/>
  <c r="C18" i="79" l="1"/>
  <c r="C15" i="79"/>
  <c r="C15" i="78"/>
  <c r="C18" i="78"/>
  <c r="T16" i="1"/>
  <c r="O36" i="43"/>
  <c r="R20" i="6"/>
  <c r="R7" i="1" s="1"/>
  <c r="C19" i="15"/>
  <c r="C20" i="15" s="1"/>
  <c r="C26" i="15" s="1"/>
  <c r="G38" i="43"/>
  <c r="I38" i="43" s="1"/>
  <c r="C27" i="43" s="1"/>
  <c r="C26" i="43"/>
  <c r="H27" i="6"/>
  <c r="D16" i="6"/>
  <c r="D30" i="6"/>
  <c r="R25" i="6"/>
  <c r="C33" i="11"/>
  <c r="C42" i="11" s="1"/>
  <c r="K46" i="36"/>
  <c r="R21" i="6"/>
  <c r="R23" i="6"/>
  <c r="A7" i="51"/>
  <c r="B7" i="72" s="1"/>
  <c r="C4" i="52"/>
  <c r="B45" i="72" s="1"/>
  <c r="A10" i="51"/>
  <c r="B9" i="72" s="1"/>
  <c r="D27" i="6"/>
  <c r="R19" i="6"/>
  <c r="C28" i="11"/>
  <c r="C27" i="11" s="1"/>
  <c r="C31" i="11" s="1"/>
  <c r="K70" i="39"/>
  <c r="L68" i="39"/>
  <c r="C10" i="69"/>
  <c r="C8" i="69" s="1"/>
  <c r="C5" i="69" s="1"/>
  <c r="D19" i="69"/>
  <c r="R24" i="6"/>
  <c r="R22" i="6"/>
  <c r="R26" i="6"/>
  <c r="D8" i="74"/>
  <c r="D7" i="74"/>
  <c r="S19" i="6"/>
  <c r="S27" i="6" s="1"/>
  <c r="I27" i="6"/>
  <c r="C11" i="71"/>
  <c r="T12" i="71"/>
  <c r="D12" i="71"/>
  <c r="U12" i="71" s="1"/>
  <c r="K65" i="40"/>
  <c r="L63" i="40"/>
  <c r="C10" i="68"/>
  <c r="B29" i="1" s="1"/>
  <c r="C8" i="68" s="1"/>
  <c r="D19" i="68"/>
  <c r="Q48" i="15"/>
  <c r="J13" i="67"/>
  <c r="J23" i="67" s="1"/>
  <c r="J22" i="67"/>
  <c r="C61" i="67"/>
  <c r="C59" i="67" s="1"/>
  <c r="C64" i="67"/>
  <c r="Q48" i="67"/>
  <c r="L46" i="67"/>
  <c r="C56" i="67"/>
  <c r="C65" i="67" s="1"/>
  <c r="C75" i="67"/>
  <c r="Q70" i="67"/>
  <c r="C37" i="67"/>
  <c r="C30" i="67" s="1"/>
  <c r="C39" i="67" s="1"/>
  <c r="E6" i="76"/>
  <c r="L51" i="67"/>
  <c r="M21" i="79"/>
  <c r="F35" i="79"/>
  <c r="B2" i="43" l="1"/>
  <c r="C6" i="68"/>
  <c r="C7" i="68" s="1"/>
  <c r="C5" i="68" s="1"/>
  <c r="C23" i="68" s="1"/>
  <c r="C19" i="78"/>
  <c r="C20" i="78" s="1"/>
  <c r="C26" i="78" s="1"/>
  <c r="C19" i="79"/>
  <c r="C20" i="79" s="1"/>
  <c r="D31" i="6"/>
  <c r="F63" i="79"/>
  <c r="C62" i="79" s="1"/>
  <c r="C34" i="79"/>
  <c r="C31" i="79" s="1"/>
  <c r="J20" i="79"/>
  <c r="C18" i="12"/>
  <c r="C21" i="12" s="1"/>
  <c r="C22" i="12" s="1"/>
  <c r="C39" i="11"/>
  <c r="C46" i="11" s="1"/>
  <c r="C45" i="11" s="1"/>
  <c r="C23" i="15"/>
  <c r="C29" i="15" s="1"/>
  <c r="C57" i="15" s="1"/>
  <c r="E2" i="76"/>
  <c r="B3" i="43"/>
  <c r="R27" i="6"/>
  <c r="R6" i="1"/>
  <c r="C23" i="69"/>
  <c r="L46" i="36"/>
  <c r="C19" i="68"/>
  <c r="D37" i="68"/>
  <c r="C37" i="68" s="1"/>
  <c r="C33" i="68" s="1"/>
  <c r="L65" i="40"/>
  <c r="M63" i="40"/>
  <c r="C10" i="71"/>
  <c r="D11" i="71"/>
  <c r="C19" i="69"/>
  <c r="C24" i="69" s="1"/>
  <c r="D37" i="69"/>
  <c r="C37" i="69" s="1"/>
  <c r="C33" i="69" s="1"/>
  <c r="L70" i="39"/>
  <c r="M68" i="39"/>
  <c r="I6" i="6"/>
  <c r="I5" i="6"/>
  <c r="J16" i="67"/>
  <c r="J25" i="67" s="1"/>
  <c r="C80" i="67"/>
  <c r="C79" i="67" s="1"/>
  <c r="C58" i="67"/>
  <c r="C67" i="67" s="1"/>
  <c r="C68" i="67" s="1"/>
  <c r="Q69" i="67"/>
  <c r="Q68" i="67" s="1"/>
  <c r="C40" i="67"/>
  <c r="B6" i="76"/>
  <c r="F35" i="15"/>
  <c r="M21" i="15"/>
  <c r="M21" i="78"/>
  <c r="F35" i="78"/>
  <c r="C30" i="12" l="1"/>
  <c r="C28" i="12" s="1"/>
  <c r="B2" i="76"/>
  <c r="C26" i="79"/>
  <c r="C23" i="79"/>
  <c r="C23" i="78"/>
  <c r="C29" i="78" s="1"/>
  <c r="C36" i="78" s="1"/>
  <c r="J20" i="78"/>
  <c r="F63" i="78"/>
  <c r="C62" i="78" s="1"/>
  <c r="C34" i="78"/>
  <c r="C31" i="78" s="1"/>
  <c r="C27" i="12"/>
  <c r="C25" i="12" s="1"/>
  <c r="C43" i="11"/>
  <c r="C41" i="11" s="1"/>
  <c r="C49" i="11" s="1"/>
  <c r="C51" i="11" s="1"/>
  <c r="C52" i="11" s="1"/>
  <c r="B2" i="11" s="1"/>
  <c r="B3" i="11" s="1"/>
  <c r="C13" i="15"/>
  <c r="Q70" i="15" s="1"/>
  <c r="Q49" i="15"/>
  <c r="J14" i="15"/>
  <c r="J13" i="15" s="1"/>
  <c r="J23" i="15" s="1"/>
  <c r="J19" i="15"/>
  <c r="C36" i="15"/>
  <c r="C61" i="15"/>
  <c r="C64" i="15"/>
  <c r="B3" i="76"/>
  <c r="C34" i="15"/>
  <c r="C31" i="15" s="1"/>
  <c r="F63" i="15"/>
  <c r="C62" i="15" s="1"/>
  <c r="C59" i="15" s="1"/>
  <c r="J20" i="15"/>
  <c r="R16" i="1"/>
  <c r="C32" i="12"/>
  <c r="B2" i="12" s="1"/>
  <c r="B3" i="12" s="1"/>
  <c r="M70" i="39"/>
  <c r="N68" i="39"/>
  <c r="C39" i="69"/>
  <c r="C43" i="69" s="1"/>
  <c r="C42" i="69"/>
  <c r="M65" i="40"/>
  <c r="N63" i="40"/>
  <c r="C39" i="68"/>
  <c r="C42" i="68"/>
  <c r="C9" i="71"/>
  <c r="D10" i="71"/>
  <c r="C20" i="68"/>
  <c r="C25" i="68" s="1"/>
  <c r="C24" i="68"/>
  <c r="M46" i="36"/>
  <c r="C20" i="69"/>
  <c r="Q67" i="67"/>
  <c r="L57" i="67"/>
  <c r="L60" i="67" s="1"/>
  <c r="C45" i="67"/>
  <c r="C46" i="67" s="1"/>
  <c r="C71" i="67"/>
  <c r="C43" i="67"/>
  <c r="D2" i="67"/>
  <c r="Q47" i="67"/>
  <c r="Q53" i="67" s="1"/>
  <c r="Q56" i="67"/>
  <c r="Q65" i="67"/>
  <c r="C83" i="67"/>
  <c r="C82" i="67" s="1"/>
  <c r="Q49" i="78" l="1"/>
  <c r="C29" i="79"/>
  <c r="C36" i="79" s="1"/>
  <c r="J14" i="78"/>
  <c r="J22" i="78" s="1"/>
  <c r="C57" i="78"/>
  <c r="C64" i="78" s="1"/>
  <c r="J19" i="78"/>
  <c r="J17" i="78" s="1"/>
  <c r="C13" i="78"/>
  <c r="C75" i="78" s="1"/>
  <c r="J13" i="78"/>
  <c r="J23" i="78" s="1"/>
  <c r="C37" i="78"/>
  <c r="C30" i="78" s="1"/>
  <c r="C39" i="78" s="1"/>
  <c r="C37" i="15"/>
  <c r="C30" i="15" s="1"/>
  <c r="C39" i="15" s="1"/>
  <c r="J22" i="15"/>
  <c r="C75" i="15"/>
  <c r="C56" i="15"/>
  <c r="C65" i="15" s="1"/>
  <c r="C58" i="15" s="1"/>
  <c r="C67" i="15" s="1"/>
  <c r="C68" i="15" s="1"/>
  <c r="C71" i="15" s="1"/>
  <c r="J17" i="15"/>
  <c r="C41" i="69"/>
  <c r="L57" i="15"/>
  <c r="L60" i="15" s="1"/>
  <c r="L46" i="15" s="1"/>
  <c r="C46" i="69"/>
  <c r="C45" i="69" s="1"/>
  <c r="C22" i="68"/>
  <c r="C8" i="71"/>
  <c r="D9" i="71"/>
  <c r="C46" i="68"/>
  <c r="C45" i="68" s="1"/>
  <c r="C43" i="68"/>
  <c r="C41" i="68" s="1"/>
  <c r="C28" i="69"/>
  <c r="C27" i="69" s="1"/>
  <c r="C25" i="69"/>
  <c r="C22" i="69" s="1"/>
  <c r="N46" i="36"/>
  <c r="C28" i="68"/>
  <c r="C27" i="68" s="1"/>
  <c r="N65" i="40"/>
  <c r="O63" i="40"/>
  <c r="O65" i="40" s="1"/>
  <c r="C56" i="11"/>
  <c r="C57" i="11" s="1"/>
  <c r="F7" i="40"/>
  <c r="O68" i="39"/>
  <c r="O70" i="39" s="1"/>
  <c r="N70" i="39"/>
  <c r="Q66" i="67"/>
  <c r="Q75" i="67" s="1"/>
  <c r="Q57" i="67"/>
  <c r="Q62" i="67" s="1"/>
  <c r="B2" i="67"/>
  <c r="B3" i="67"/>
  <c r="L51" i="15"/>
  <c r="L51" i="78"/>
  <c r="H39" i="78" l="1"/>
  <c r="J19" i="79"/>
  <c r="J17" i="79" s="1"/>
  <c r="C57" i="79"/>
  <c r="J14" i="79"/>
  <c r="C13" i="79"/>
  <c r="Q70" i="78"/>
  <c r="C61" i="78"/>
  <c r="C59" i="78" s="1"/>
  <c r="Q49" i="79"/>
  <c r="J16" i="78"/>
  <c r="J25" i="78" s="1"/>
  <c r="C56" i="78"/>
  <c r="C65" i="78" s="1"/>
  <c r="Q69" i="78"/>
  <c r="C40" i="78"/>
  <c r="B2" i="78" s="1"/>
  <c r="C80" i="78"/>
  <c r="C79" i="78" s="1"/>
  <c r="Q67" i="78"/>
  <c r="Q69" i="15"/>
  <c r="Q68" i="15" s="1"/>
  <c r="C40" i="15"/>
  <c r="B2" i="15" s="1"/>
  <c r="J16" i="15"/>
  <c r="J25" i="15" s="1"/>
  <c r="C80" i="15"/>
  <c r="C79" i="15" s="1"/>
  <c r="Q67" i="15"/>
  <c r="C49" i="68"/>
  <c r="C51" i="68" s="1"/>
  <c r="C49" i="69"/>
  <c r="C51" i="69" s="1"/>
  <c r="Q57" i="15"/>
  <c r="Q66" i="15"/>
  <c r="C31" i="68"/>
  <c r="C31" i="69"/>
  <c r="J7" i="40"/>
  <c r="H7" i="40"/>
  <c r="AA7" i="40"/>
  <c r="R42" i="40" s="1"/>
  <c r="S7" i="40"/>
  <c r="F7" i="39"/>
  <c r="J7" i="39"/>
  <c r="H7" i="39"/>
  <c r="O46" i="36"/>
  <c r="H7" i="36" s="1"/>
  <c r="C7" i="71"/>
  <c r="T8" i="71"/>
  <c r="D8" i="71"/>
  <c r="U8" i="71" s="1"/>
  <c r="AO6" i="1"/>
  <c r="AO7" i="1"/>
  <c r="Q47" i="78" l="1"/>
  <c r="Q53" i="78" s="1"/>
  <c r="C58" i="78"/>
  <c r="C67" i="78" s="1"/>
  <c r="C68" i="78" s="1"/>
  <c r="C46" i="78" s="1"/>
  <c r="J13" i="79"/>
  <c r="J23" i="79" s="1"/>
  <c r="J22" i="79"/>
  <c r="Q65" i="78"/>
  <c r="Q75" i="78" s="1"/>
  <c r="Q68" i="78"/>
  <c r="C75" i="79"/>
  <c r="Q70" i="79"/>
  <c r="C37" i="79"/>
  <c r="C30" i="79" s="1"/>
  <c r="C39" i="79" s="1"/>
  <c r="C56" i="79"/>
  <c r="C65" i="79" s="1"/>
  <c r="C64" i="79"/>
  <c r="C61" i="79"/>
  <c r="C59" i="79" s="1"/>
  <c r="Q56" i="78"/>
  <c r="Q62" i="78" s="1"/>
  <c r="C83" i="78"/>
  <c r="C82" i="78" s="1"/>
  <c r="C43" i="78"/>
  <c r="B7" i="70"/>
  <c r="B3" i="78"/>
  <c r="C46" i="15"/>
  <c r="C83" i="15"/>
  <c r="C82" i="15" s="1"/>
  <c r="Q56" i="15"/>
  <c r="Q62" i="15" s="1"/>
  <c r="Q65" i="15"/>
  <c r="Q75" i="15" s="1"/>
  <c r="C43" i="15"/>
  <c r="Q47" i="15"/>
  <c r="Q53" i="15" s="1"/>
  <c r="C52" i="68"/>
  <c r="B2" i="68" s="1"/>
  <c r="C52" i="69"/>
  <c r="C57" i="69" s="1"/>
  <c r="C56" i="69" s="1"/>
  <c r="B6" i="70"/>
  <c r="B2" i="70" s="1"/>
  <c r="B3" i="15"/>
  <c r="AB7" i="36"/>
  <c r="T36" i="36" s="1"/>
  <c r="G36" i="36" s="1"/>
  <c r="U7" i="36"/>
  <c r="D7" i="71"/>
  <c r="C6" i="71"/>
  <c r="J7" i="36"/>
  <c r="F7" i="36"/>
  <c r="W7" i="39"/>
  <c r="AC7" i="39"/>
  <c r="V47" i="39" s="1"/>
  <c r="I47" i="39" s="1"/>
  <c r="U7" i="40"/>
  <c r="AB7" i="40"/>
  <c r="T42" i="40" s="1"/>
  <c r="G42" i="40" s="1"/>
  <c r="U7" i="39"/>
  <c r="AB7" i="39"/>
  <c r="T47" i="39" s="1"/>
  <c r="G47" i="39" s="1"/>
  <c r="S7" i="39"/>
  <c r="AA7" i="39"/>
  <c r="R47" i="39" s="1"/>
  <c r="R43" i="40"/>
  <c r="E42" i="40"/>
  <c r="AC7" i="40"/>
  <c r="V42" i="40" s="1"/>
  <c r="I42" i="40" s="1"/>
  <c r="W7" i="40"/>
  <c r="C19" i="9"/>
  <c r="D19" i="9"/>
  <c r="L51" i="79"/>
  <c r="B3" i="68" l="1"/>
  <c r="C71" i="78"/>
  <c r="C58" i="79"/>
  <c r="C67" i="79" s="1"/>
  <c r="C68" i="79" s="1"/>
  <c r="C71" i="79" s="1"/>
  <c r="J16" i="79"/>
  <c r="J25" i="79" s="1"/>
  <c r="Q67" i="79"/>
  <c r="C40" i="79"/>
  <c r="Q69" i="79"/>
  <c r="Q68" i="79" s="1"/>
  <c r="C80" i="79"/>
  <c r="C79" i="79" s="1"/>
  <c r="D102" i="9"/>
  <c r="D21" i="9"/>
  <c r="B3" i="70"/>
  <c r="B2" i="69"/>
  <c r="B3" i="69" s="1"/>
  <c r="C57" i="68"/>
  <c r="C56" i="68" s="1"/>
  <c r="D22" i="9"/>
  <c r="G19" i="9"/>
  <c r="C102" i="9"/>
  <c r="C21" i="9"/>
  <c r="I46" i="40"/>
  <c r="J46" i="40" s="1"/>
  <c r="I47" i="40"/>
  <c r="J47" i="40" s="1"/>
  <c r="E47" i="40"/>
  <c r="F47" i="40" s="1"/>
  <c r="E46" i="40"/>
  <c r="F46" i="40" s="1"/>
  <c r="R48" i="39"/>
  <c r="E47" i="39"/>
  <c r="G52" i="39"/>
  <c r="H52" i="39" s="1"/>
  <c r="G51" i="39"/>
  <c r="H51" i="39" s="1"/>
  <c r="G47" i="40"/>
  <c r="H47" i="40" s="1"/>
  <c r="G46" i="40"/>
  <c r="H46" i="40" s="1"/>
  <c r="I51" i="39"/>
  <c r="J51" i="39" s="1"/>
  <c r="I52" i="39"/>
  <c r="J52" i="39" s="1"/>
  <c r="S7" i="36"/>
  <c r="AA7" i="36"/>
  <c r="R36" i="36" s="1"/>
  <c r="D6" i="71"/>
  <c r="C5" i="71"/>
  <c r="C42" i="40"/>
  <c r="C43" i="40"/>
  <c r="AC7" i="36"/>
  <c r="V36" i="36" s="1"/>
  <c r="I36" i="36" s="1"/>
  <c r="G41" i="36" s="1"/>
  <c r="H41" i="36" s="1"/>
  <c r="W7" i="36"/>
  <c r="G40" i="36"/>
  <c r="H40" i="36" s="1"/>
  <c r="D35" i="9"/>
  <c r="D20" i="9"/>
  <c r="D34" i="9"/>
  <c r="C20" i="9"/>
  <c r="C103" i="9" l="1"/>
  <c r="G21" i="9"/>
  <c r="Q47" i="79"/>
  <c r="Q53" i="79" s="1"/>
  <c r="C83" i="79"/>
  <c r="C82" i="79" s="1"/>
  <c r="C43" i="79"/>
  <c r="Q56" i="79"/>
  <c r="Q62" i="79" s="1"/>
  <c r="B2" i="79"/>
  <c r="B3" i="79" s="1"/>
  <c r="Q65" i="79"/>
  <c r="Q75" i="79" s="1"/>
  <c r="C46" i="79"/>
  <c r="D103" i="9"/>
  <c r="G20" i="9"/>
  <c r="C32" i="9" s="1"/>
  <c r="C35" i="9" s="1"/>
  <c r="C34" i="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D5" i="71"/>
  <c r="M20" i="43"/>
  <c r="R37" i="36"/>
  <c r="E36" i="36"/>
  <c r="E51" i="39"/>
  <c r="F51" i="39" s="1"/>
  <c r="E52" i="39"/>
  <c r="F52" i="39" s="1"/>
  <c r="I40" i="36"/>
  <c r="J40" i="36" s="1"/>
  <c r="C47" i="39"/>
  <c r="C48" i="39"/>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E40" i="36"/>
  <c r="F40" i="36" s="1"/>
  <c r="E41" i="36"/>
  <c r="F41" i="36" s="1"/>
  <c r="I41" i="36"/>
  <c r="J41" i="36" s="1"/>
  <c r="C37" i="36"/>
  <c r="B2" i="36" s="1"/>
  <c r="B3" i="36" s="1"/>
  <c r="C36" i="36"/>
  <c r="D118" i="9"/>
  <c r="F118" i="9"/>
  <c r="H118" i="9"/>
  <c r="D14" i="74" s="1"/>
  <c r="B5" i="74" s="1"/>
  <c r="F4" i="52" l="1"/>
  <c r="B51" i="72" s="1"/>
  <c r="L2" i="77"/>
  <c r="G118" i="9"/>
  <c r="R4" i="77" s="1"/>
  <c r="H4" i="52"/>
  <c r="F14" i="74"/>
  <c r="H119" i="9"/>
  <c r="H5" i="52" s="1"/>
  <c r="H101" i="9"/>
  <c r="M48" i="9" s="1"/>
  <c r="I118" i="9"/>
  <c r="H102" i="9" s="1"/>
  <c r="D7" i="53" s="1"/>
  <c r="B21" i="72" s="1"/>
  <c r="F119" i="9"/>
  <c r="F5" i="52" s="1"/>
  <c r="B53" i="72" s="1"/>
  <c r="D4" i="52"/>
  <c r="B47" i="72" s="1"/>
  <c r="D119" i="9"/>
  <c r="D5" i="52" s="1"/>
  <c r="B49" i="72" s="1"/>
  <c r="C5" i="74"/>
  <c r="D5" i="74"/>
  <c r="E14" i="74"/>
  <c r="C104" i="9"/>
  <c r="R5" i="77" l="1"/>
  <c r="R6" i="77"/>
  <c r="O6" i="77"/>
  <c r="O34" i="77"/>
  <c r="O8" i="77"/>
  <c r="O10" i="77"/>
  <c r="O12" i="77"/>
  <c r="O14" i="77"/>
  <c r="O16" i="77"/>
  <c r="O18" i="77"/>
  <c r="O20" i="77"/>
  <c r="O22" i="77"/>
  <c r="O24" i="77"/>
  <c r="O26" i="77"/>
  <c r="O28" i="77"/>
  <c r="O30" i="77"/>
  <c r="O32" i="77"/>
  <c r="O7" i="77"/>
  <c r="O9" i="77"/>
  <c r="O11" i="77"/>
  <c r="O13" i="77"/>
  <c r="O15" i="77"/>
  <c r="O17" i="77"/>
  <c r="O19" i="77"/>
  <c r="O21" i="77"/>
  <c r="O23" i="77"/>
  <c r="O25" i="77"/>
  <c r="O27" i="77"/>
  <c r="O29" i="77"/>
  <c r="O31" i="77"/>
  <c r="O33" i="77"/>
  <c r="K2" i="77"/>
  <c r="O5" i="77"/>
  <c r="L3" i="77"/>
  <c r="O4" i="77" s="1"/>
  <c r="P4" i="77" s="1"/>
  <c r="T4" i="77" s="1"/>
  <c r="G4" i="52"/>
  <c r="B52" i="72" s="1"/>
  <c r="E118" i="9"/>
  <c r="E4" i="52" s="1"/>
  <c r="B48" i="72" s="1"/>
  <c r="D45" i="9"/>
  <c r="C78" i="9" s="1"/>
  <c r="C73" i="9" s="1"/>
  <c r="C105" i="9"/>
  <c r="I4" i="52"/>
  <c r="D5" i="53"/>
  <c r="B20" i="72" s="1"/>
  <c r="H107" i="9"/>
  <c r="M49" i="9" s="1"/>
  <c r="D6" i="53"/>
  <c r="B22" i="72" s="1"/>
  <c r="P5" i="77" l="1"/>
  <c r="T5" i="77" s="1"/>
  <c r="P6" i="77"/>
  <c r="T6" i="77" s="1"/>
  <c r="P8" i="77"/>
  <c r="P10" i="77"/>
  <c r="P12" i="77"/>
  <c r="P14" i="77"/>
  <c r="P16" i="77"/>
  <c r="P18" i="77"/>
  <c r="P20" i="77"/>
  <c r="P22" i="77"/>
  <c r="P24" i="77"/>
  <c r="P26" i="77"/>
  <c r="P28" i="77"/>
  <c r="P30" i="77"/>
  <c r="P32" i="77"/>
  <c r="P34" i="77"/>
  <c r="P7" i="77"/>
  <c r="P9" i="77"/>
  <c r="P11" i="77"/>
  <c r="P13" i="77"/>
  <c r="P15" i="77"/>
  <c r="P17" i="77"/>
  <c r="P19" i="77"/>
  <c r="P21" i="77"/>
  <c r="P23" i="77"/>
  <c r="P25" i="77"/>
  <c r="P27" i="77"/>
  <c r="P29" i="77"/>
  <c r="P31" i="77"/>
  <c r="P33" i="77"/>
  <c r="P35" i="77"/>
  <c r="O35" i="77"/>
  <c r="O36" i="77" s="1"/>
  <c r="O37" i="77" s="1"/>
  <c r="D52" i="9"/>
  <c r="D13" i="53"/>
  <c r="D14" i="53" s="1"/>
  <c r="B32" i="72" s="1"/>
  <c r="C93" i="9"/>
  <c r="C86" i="9" s="1"/>
  <c r="D53" i="9"/>
  <c r="C72" i="9"/>
  <c r="C79" i="9" s="1"/>
  <c r="C85" i="9"/>
  <c r="C64" i="9"/>
  <c r="C63" i="9" s="1"/>
  <c r="C67" i="9" s="1"/>
  <c r="C68" i="9" s="1"/>
  <c r="D54" i="9" s="1"/>
  <c r="D55" i="9"/>
  <c r="M53" i="9" s="1"/>
  <c r="D122" i="9"/>
  <c r="G14" i="74" s="1"/>
  <c r="B6" i="74" s="1"/>
  <c r="H108" i="9"/>
  <c r="D15" i="53" s="1"/>
  <c r="B31" i="72" s="1"/>
  <c r="D59" i="9"/>
  <c r="M55" i="9" s="1"/>
  <c r="B30" i="72"/>
  <c r="L63" i="9"/>
  <c r="M63" i="9" s="1"/>
  <c r="L67" i="9"/>
  <c r="M67" i="9" s="1"/>
  <c r="L64" i="9"/>
  <c r="M64" i="9" s="1"/>
  <c r="L68" i="9"/>
  <c r="M68" i="9" s="1"/>
  <c r="L65" i="9"/>
  <c r="M65" i="9" s="1"/>
  <c r="L66" i="9"/>
  <c r="M66" i="9" s="1"/>
  <c r="Q6" i="77" l="1"/>
  <c r="S6" i="77" s="1"/>
  <c r="Q5" i="77"/>
  <c r="S5" i="77" s="1"/>
  <c r="R7" i="77"/>
  <c r="T7" i="77" s="1"/>
  <c r="R8" i="77"/>
  <c r="T8" i="77" s="1"/>
  <c r="C95" i="9"/>
  <c r="C96" i="9" s="1"/>
  <c r="E96" i="9" s="1"/>
  <c r="E97" i="9" s="1"/>
  <c r="D123" i="9"/>
  <c r="D9" i="52" s="1"/>
  <c r="D8" i="52"/>
  <c r="C80" i="9"/>
  <c r="E80" i="9" s="1"/>
  <c r="E81" i="9" s="1"/>
  <c r="M69" i="9"/>
  <c r="N69" i="9" s="1"/>
  <c r="D6" i="74"/>
  <c r="C6" i="74"/>
  <c r="Q7" i="77" l="1"/>
  <c r="S7" i="77" s="1"/>
  <c r="Q8" i="77"/>
  <c r="S8" i="77" s="1"/>
  <c r="R9" i="77"/>
  <c r="T9" i="77" s="1"/>
  <c r="R10" i="77"/>
  <c r="T10" i="77" s="1"/>
  <c r="C97" i="9"/>
  <c r="D58" i="9" s="1"/>
  <c r="D56" i="9" s="1"/>
  <c r="M54" i="9" s="1"/>
  <c r="N57" i="9" s="1"/>
  <c r="P57" i="9" s="1"/>
  <c r="C81" i="9"/>
  <c r="Q9" i="77" l="1"/>
  <c r="S9" i="77" s="1"/>
  <c r="Q10" i="77"/>
  <c r="S10" i="77" s="1"/>
  <c r="R11" i="77"/>
  <c r="T11" i="77" s="1"/>
  <c r="R12" i="77"/>
  <c r="T12" i="77" s="1"/>
  <c r="N58" i="9"/>
  <c r="N59" i="9"/>
  <c r="N60" i="9" s="1"/>
  <c r="Q12" i="77" l="1"/>
  <c r="S12" i="77" s="1"/>
  <c r="Q11" i="77"/>
  <c r="S11" i="77" s="1"/>
  <c r="R13" i="77"/>
  <c r="T13" i="77" s="1"/>
  <c r="R14" i="77"/>
  <c r="T14" i="77" s="1"/>
  <c r="N61" i="9"/>
  <c r="Q13" i="77" l="1"/>
  <c r="S13" i="77" s="1"/>
  <c r="Q14" i="77"/>
  <c r="S14" i="77" s="1"/>
  <c r="R15" i="77"/>
  <c r="T15" i="77" s="1"/>
  <c r="R16" i="77"/>
  <c r="T16" i="77" s="1"/>
  <c r="Q16" i="77" l="1"/>
  <c r="S16" i="77" s="1"/>
  <c r="Q15" i="77"/>
  <c r="S15" i="77" s="1"/>
  <c r="R17" i="77"/>
  <c r="T17" i="77" s="1"/>
  <c r="R18" i="77"/>
  <c r="T18" i="77" s="1"/>
  <c r="Q17" i="77" l="1"/>
  <c r="S17" i="77" s="1"/>
  <c r="Q18" i="77"/>
  <c r="S18" i="77" s="1"/>
  <c r="R19" i="77"/>
  <c r="T19" i="77" s="1"/>
  <c r="R20" i="77"/>
  <c r="T20" i="77" s="1"/>
  <c r="Q20" i="77" l="1"/>
  <c r="S20" i="77" s="1"/>
  <c r="Q19" i="77"/>
  <c r="S19" i="77" s="1"/>
  <c r="R21" i="77"/>
  <c r="T21" i="77" s="1"/>
  <c r="R22" i="77"/>
  <c r="T22" i="77" s="1"/>
  <c r="Q21" i="77" l="1"/>
  <c r="S21" i="77" s="1"/>
  <c r="Q22" i="77"/>
  <c r="S22" i="77" s="1"/>
  <c r="R23" i="77"/>
  <c r="T23" i="77" s="1"/>
  <c r="R24" i="77"/>
  <c r="T24" i="77" s="1"/>
  <c r="Q24" i="77" l="1"/>
  <c r="S24" i="77" s="1"/>
  <c r="Q23" i="77"/>
  <c r="S23" i="77" s="1"/>
  <c r="R25" i="77"/>
  <c r="T25" i="77" s="1"/>
  <c r="R26" i="77"/>
  <c r="T26" i="77" s="1"/>
  <c r="Q25" i="77" l="1"/>
  <c r="S25" i="77" s="1"/>
  <c r="Q26" i="77"/>
  <c r="S26" i="77" s="1"/>
  <c r="R27" i="77"/>
  <c r="T27" i="77" s="1"/>
  <c r="R28" i="77"/>
  <c r="T28" i="77" s="1"/>
  <c r="Q28" i="77" l="1"/>
  <c r="S28" i="77" s="1"/>
  <c r="Q27" i="77"/>
  <c r="S27" i="77" s="1"/>
  <c r="R29" i="77"/>
  <c r="T29" i="77" s="1"/>
  <c r="R30" i="77"/>
  <c r="T30" i="77" s="1"/>
  <c r="Q29" i="77" l="1"/>
  <c r="S29" i="77" s="1"/>
  <c r="Q30" i="77"/>
  <c r="S30" i="77" s="1"/>
  <c r="R31" i="77"/>
  <c r="T31" i="77" s="1"/>
  <c r="R32" i="77"/>
  <c r="T32" i="77" s="1"/>
  <c r="Q32" i="77" l="1"/>
  <c r="S32" i="77" s="1"/>
  <c r="Q31" i="77"/>
  <c r="S31" i="77" s="1"/>
  <c r="R33" i="77"/>
  <c r="T33" i="77" s="1"/>
  <c r="R34" i="77"/>
  <c r="T34" i="77" l="1"/>
  <c r="R35" i="77"/>
  <c r="T35" i="77" s="1"/>
  <c r="Q33" i="77"/>
  <c r="S33" i="77" s="1"/>
  <c r="Q34" i="77"/>
  <c r="S34" i="77" s="1"/>
  <c r="Q35" i="77" l="1"/>
  <c r="S35" i="77" s="1"/>
  <c r="Q4" i="77" l="1"/>
  <c r="Q36" i="77" l="1"/>
  <c r="S4" i="77"/>
  <c r="Q37" i="77" l="1"/>
  <c r="S36" i="77"/>
  <c r="S37" i="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537C3E-2CB4-432D-92AD-B6B039DEAF2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B181B65-33E9-474B-A0F6-04FC07B038D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4A0D266-4A2E-4BD8-8559-76E33BF1D22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F3E7556-8DCF-4FBC-8EB4-B83A1B5F8085}">
      <text>
        <r>
          <rPr>
            <sz val="11"/>
            <color indexed="81"/>
            <rFont val="宋体"/>
            <family val="3"/>
            <charset val="134"/>
          </rPr>
          <t>在建项目均选择“是”</t>
        </r>
      </text>
    </comment>
    <comment ref="F59" authorId="1" shapeId="0" xr:uid="{4A62C79E-4F2A-41A7-B1EE-E1B7D2CF9B4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FB8ED64-BE59-4348-A565-3F194AE86636}">
      <text>
        <r>
          <rPr>
            <sz val="10"/>
            <color indexed="81"/>
            <rFont val="宋体"/>
            <family val="3"/>
            <charset val="134"/>
          </rPr>
          <t xml:space="preserve">在建
</t>
        </r>
      </text>
    </comment>
    <comment ref="N59" authorId="0" shapeId="0" xr:uid="{DF1C989E-A22E-4665-942B-BB807B32475F}">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5DB222D-0FD7-4D74-B8CB-E7A777DC384F}">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F819774-0AB4-4358-815E-C9E2C8BFFB5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53CAE3D-704C-4958-ADCC-F42B331BEF0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72FC97F-9733-4837-A6F1-1927FF1876CA}">
      <text>
        <r>
          <rPr>
            <sz val="11"/>
            <color indexed="81"/>
            <rFont val="宋体"/>
            <family val="3"/>
            <charset val="134"/>
          </rPr>
          <t>在建项目均选择“是”</t>
        </r>
      </text>
    </comment>
    <comment ref="F59" authorId="1" shapeId="0" xr:uid="{CA1F2A24-4F66-4A8F-9CB6-A3D09507946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6BA3DBD2-DCF2-451D-BE92-4B8CCF8FB993}">
      <text>
        <r>
          <rPr>
            <sz val="10"/>
            <color indexed="81"/>
            <rFont val="宋体"/>
            <family val="3"/>
            <charset val="134"/>
          </rPr>
          <t xml:space="preserve">在建
</t>
        </r>
      </text>
    </comment>
    <comment ref="N59" authorId="0" shapeId="0" xr:uid="{5B90AC0C-BE4B-4E8F-BB4C-8BFE0ABCDCA3}">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<sst xmlns="http://schemas.openxmlformats.org/spreadsheetml/2006/main" count="8277" uniqueCount="3202">
  <si>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</si>
  <si>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</si>
  <si>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</si>
  <si>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</si>
  <si>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</si>
  <si>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</si>
  <si>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</si>
  <si>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</si>
  <si>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</si>
  <si>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</si>
  <si>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</si>
  <si>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</si>
  <si>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</si>
  <si>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</si>
  <si>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</si>
  <si>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</si>
  <si>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</si>
  <si>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</si>
  <si>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</si>
  <si>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</si>
  <si>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</si>
  <si>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</si>
  <si>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</si>
  <si>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</si>
  <si>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</si>
  <si>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</si>
  <si>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</si>
  <si>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</si>
  <si>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</si>
  <si>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</si>
  <si>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</si>
  <si>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</si>
  <si>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</si>
  <si>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</si>
  <si>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</si>
  <si>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</si>
  <si>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</si>
  <si>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</si>
  <si>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</si>
  <si>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</si>
  <si>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</si>
  <si>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</si>
  <si>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</si>
  <si>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</si>
  <si>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</si>
  <si>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</si>
  <si>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</si>
  <si>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</si>
  <si>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</si>
  <si>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</si>
  <si>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</si>
  <si>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</si>
  <si>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</si>
  <si>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</si>
  <si>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</si>
  <si>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</si>
  <si>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</si>
  <si>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</si>
  <si>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</si>
  <si>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</si>
  <si>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</si>
  <si>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</si>
  <si>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</si>
  <si>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</si>
  <si>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</si>
  <si>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</si>
  <si>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</si>
  <si>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</si>
  <si>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</si>
  <si>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</si>
  <si>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</si>
  <si>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</si>
  <si>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</si>
  <si>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</si>
  <si>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</si>
  <si>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</si>
  <si>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</si>
  <si>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</si>
  <si>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</si>
  <si>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</si>
  <si>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</si>
  <si>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</si>
  <si>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</si>
  <si>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</si>
  <si>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</si>
  <si>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</si>
  <si>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</si>
  <si>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</si>
  <si>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</si>
  <si>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</si>
  <si>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</si>
  <si>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</si>
  <si>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</si>
  <si>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</si>
  <si>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</si>
  <si>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</si>
  <si>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</si>
  <si>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</si>
  <si>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</si>
  <si>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</si>
  <si>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</si>
  <si>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</si>
  <si>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</si>
  <si>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</si>
  <si>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</si>
  <si>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</si>
  <si>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</si>
  <si>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</si>
  <si>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</si>
  <si>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</si>
  <si>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</si>
  <si>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</si>
  <si>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</si>
  <si>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</si>
  <si>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</si>
  <si>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</si>
  <si>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</si>
  <si>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</si>
  <si>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</si>
  <si>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</si>
  <si>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</si>
  <si>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</si>
  <si>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</si>
  <si>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</si>
  <si>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</si>
  <si>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</si>
  <si>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</si>
  <si>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</si>
  <si>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</si>
  <si>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</si>
  <si>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</si>
  <si>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</si>
  <si>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</si>
  <si>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</si>
  <si>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</si>
  <si>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</si>
  <si>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</si>
  <si>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</si>
  <si>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</si>
  <si>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</si>
  <si>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</si>
  <si>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</si>
  <si>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</si>
  <si>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</si>
  <si>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</si>
  <si>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</si>
  <si>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</si>
  <si>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</si>
  <si>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</si>
  <si>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</si>
  <si>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</si>
  <si>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</si>
  <si>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</si>
  <si>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</si>
  <si>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</si>
  <si>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</si>
  <si>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</si>
  <si>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</si>
  <si>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</si>
  <si>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</si>
  <si>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</si>
  <si>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</si>
  <si>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</si>
  <si>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</si>
  <si>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</si>
  <si>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</si>
  <si>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</si>
  <si>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</si>
  <si>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</si>
  <si>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</si>
  <si>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</si>
  <si>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</si>
  <si>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</si>
  <si>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</si>
  <si>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</si>
  <si>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</si>
  <si>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</si>
  <si>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</si>
  <si>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</si>
  <si>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</si>
  <si>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</si>
  <si>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</si>
  <si>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</si>
  <si>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</si>
  <si>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</si>
  <si>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</si>
  <si>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</si>
  <si>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</si>
  <si>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</si>
  <si>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</si>
  <si>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</si>
  <si>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</si>
  <si>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</si>
  <si>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</si>
  <si>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</si>
  <si>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</si>
  <si>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</si>
  <si>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</si>
  <si>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</si>
  <si>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</si>
  <si>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</si>
  <si>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</si>
  <si>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</si>
  <si>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</si>
  <si>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</si>
  <si>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</si>
  <si>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</si>
  <si>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</si>
  <si>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</si>
  <si>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</si>
  <si>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</si>
  <si>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</si>
  <si>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</si>
  <si>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</si>
  <si>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</si>
  <si>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</si>
  <si>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</si>
  <si>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</si>
  <si>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</si>
  <si>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</si>
  <si>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</si>
  <si>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</si>
  <si>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</si>
  <si>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</si>
  <si>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</si>
  <si>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</si>
  <si>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</si>
  <si>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</si>
  <si>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</si>
  <si>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</si>
  <si>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</si>
  <si>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</si>
  <si>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</si>
  <si>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</si>
  <si>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</si>
  <si>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</si>
  <si>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</si>
  <si>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</si>
  <si>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</si>
  <si>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</si>
  <si>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</si>
  <si>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</si>
  <si>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</si>
  <si>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</si>
  <si>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</si>
  <si>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</si>
  <si>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</si>
  <si>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</si>
  <si>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</si>
  <si>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</si>
  <si>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</si>
  <si>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</si>
  <si>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</si>
  <si>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</si>
  <si>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</si>
  <si>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</si>
  <si>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</si>
  <si>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</si>
  <si>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</si>
  <si>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</si>
  <si>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</si>
  <si>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</si>
  <si>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</si>
  <si>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</si>
  <si>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</si>
  <si>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</si>
  <si>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</si>
  <si>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</si>
  <si>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</si>
  <si>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</si>
  <si>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</si>
  <si>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</si>
  <si>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</si>
  <si>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</si>
  <si>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</si>
  <si>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</si>
  <si>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</si>
  <si>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</si>
  <si>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</si>
  <si>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</si>
  <si>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</si>
  <si>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</si>
  <si>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</si>
  <si>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</si>
  <si>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</si>
  <si>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</si>
  <si>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</si>
  <si>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</si>
  <si>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</si>
  <si>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</si>
  <si>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</si>
  <si>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</si>
  <si>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</si>
  <si>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</si>
  <si>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</si>
  <si>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</si>
  <si>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</si>
  <si>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</si>
  <si>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</si>
  <si>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</si>
  <si>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</si>
  <si>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</si>
  <si>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</si>
  <si>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</si>
  <si>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</si>
  <si>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</si>
  <si>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</si>
  <si>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</si>
  <si>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</si>
  <si>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</si>
  <si>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</si>
  <si>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</si>
  <si>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</si>
  <si>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</si>
  <si>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</si>
  <si>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</si>
  <si>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</si>
  <si>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</si>
  <si>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</si>
  <si>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</si>
  <si>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</si>
  <si>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</si>
  <si>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</si>
  <si>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</si>
  <si>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</si>
  <si>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</si>
  <si>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</si>
  <si>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</si>
  <si>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</si>
  <si>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</si>
  <si>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</si>
  <si>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</si>
  <si>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</si>
  <si>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</si>
  <si>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</si>
  <si>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</si>
  <si>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</si>
  <si>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</si>
  <si>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</si>
  <si>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</si>
  <si>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</si>
  <si>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</si>
  <si>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</si>
  <si>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</si>
  <si>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</si>
  <si>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</si>
  <si>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</si>
  <si>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</si>
  <si>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</si>
  <si>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</si>
  <si>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</si>
  <si>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</si>
  <si>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</si>
  <si>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</si>
  <si>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</si>
  <si>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</si>
  <si>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</si>
  <si>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</si>
  <si>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</si>
  <si>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</si>
  <si>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</si>
  <si>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</si>
  <si>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</si>
  <si>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</si>
  <si>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</si>
  <si>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</si>
  <si>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</si>
  <si>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</si>
  <si>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</si>
  <si>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</si>
  <si>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</si>
  <si>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</si>
  <si>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</si>
  <si>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</si>
  <si>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</si>
  <si>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</si>
  <si>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</si>
  <si>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</si>
  <si>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</si>
  <si>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</si>
  <si>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</si>
  <si>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</si>
  <si>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</si>
  <si>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</si>
  <si>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</si>
  <si>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</si>
  <si>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</si>
  <si>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</si>
  <si>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</si>
  <si>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</si>
  <si>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</si>
  <si>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</si>
  <si>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</si>
  <si>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</si>
  <si>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</si>
  <si>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</si>
  <si>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</si>
  <si>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</si>
  <si>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</si>
  <si>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</si>
  <si>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</si>
  <si>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</si>
  <si>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</si>
  <si>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</si>
  <si>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</si>
  <si>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</si>
  <si>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</si>
  <si>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</si>
  <si>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</si>
  <si>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</si>
  <si>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</si>
  <si>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</si>
  <si>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</si>
  <si>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</si>
  <si>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</si>
  <si>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</si>
  <si>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</si>
  <si>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</si>
  <si>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</si>
  <si>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</si>
  <si>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</si>
  <si>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</si>
  <si>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</si>
  <si>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</si>
  <si>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</si>
  <si>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</si>
  <si>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</si>
  <si>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</si>
  <si>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</si>
  <si>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</si>
  <si>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</si>
  <si>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</si>
  <si>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</si>
  <si>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</si>
  <si>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</si>
  <si>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</si>
  <si>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</si>
  <si>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</si>
  <si>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</si>
  <si>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</si>
  <si>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</si>
  <si>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</si>
  <si>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</si>
  <si>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</si>
  <si>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</si>
  <si>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</si>
  <si>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</si>
  <si>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</si>
  <si>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</si>
  <si>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</si>
  <si>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</si>
  <si>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</si>
  <si>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</si>
  <si>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</si>
  <si>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</si>
  <si>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</si>
  <si>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</si>
  <si>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</si>
  <si>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</si>
  <si>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</si>
  <si>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</si>
  <si>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</si>
  <si>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</si>
  <si>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</si>
  <si>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</si>
  <si>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</si>
  <si>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</si>
  <si>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</si>
  <si>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</si>
  <si>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</si>
  <si>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</si>
  <si>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</si>
  <si>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</si>
  <si>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</si>
  <si>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</si>
  <si>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</si>
  <si>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</si>
  <si>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</si>
  <si>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</si>
  <si>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</si>
  <si>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</si>
  <si>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</si>
  <si>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</si>
  <si>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</si>
  <si>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</si>
  <si>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</si>
  <si>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</si>
  <si>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</si>
  <si>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</si>
  <si>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</si>
  <si>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</si>
  <si>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</si>
  <si>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</si>
  <si>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</si>
  <si>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</si>
  <si>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</si>
  <si>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</si>
  <si>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</si>
  <si>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</si>
  <si>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</si>
  <si>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</si>
  <si>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</si>
  <si>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</si>
  <si>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</si>
  <si>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</si>
  <si>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</si>
  <si>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</si>
  <si>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</si>
  <si>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</si>
  <si>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</si>
  <si>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</si>
  <si>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</si>
  <si>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</si>
  <si>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</si>
  <si>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</si>
  <si>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</si>
  <si>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</si>
  <si>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</si>
  <si>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</si>
  <si>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</si>
  <si>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</si>
  <si>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</si>
  <si>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</si>
  <si>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</si>
  <si>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</si>
  <si>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</si>
  <si>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</si>
  <si>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</si>
  <si>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</si>
  <si>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</si>
  <si>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</si>
  <si>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</si>
  <si>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</si>
  <si>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</si>
  <si>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</si>
  <si>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</si>
  <si>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</si>
  <si>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</si>
  <si>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</si>
  <si>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</si>
  <si>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</si>
  <si>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</si>
  <si>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</si>
  <si>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</si>
  <si>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</si>
  <si>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</si>
  <si>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</si>
  <si>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</si>
  <si>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</si>
  <si>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</si>
  <si>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</si>
  <si>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</si>
  <si>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</si>
  <si>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</si>
  <si>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</si>
  <si>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</si>
  <si>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</si>
  <si>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</si>
  <si>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</si>
  <si>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</si>
  <si>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</si>
  <si>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</si>
  <si>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</si>
  <si>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</si>
  <si>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</si>
  <si>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</si>
  <si>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</si>
  <si>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</si>
  <si>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</si>
  <si>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</si>
  <si>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</si>
  <si>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</si>
  <si>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</si>
  <si>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</si>
  <si>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</si>
  <si>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</si>
  <si>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</si>
  <si>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</si>
  <si>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</si>
  <si>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</si>
  <si>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</si>
  <si>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</si>
  <si>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</si>
  <si>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</si>
  <si>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</si>
  <si>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</si>
  <si>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</si>
  <si>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</si>
  <si>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</si>
  <si>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</si>
  <si>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</si>
  <si>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</si>
  <si>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</si>
  <si>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</si>
  <si>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</si>
  <si>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</si>
  <si>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</si>
  <si>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</si>
  <si>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</si>
  <si>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</si>
  <si>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</si>
  <si>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</si>
  <si>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</si>
  <si>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</si>
  <si>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</si>
  <si>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</si>
  <si>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</si>
  <si>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</si>
  <si>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</si>
  <si>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</si>
  <si>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</si>
  <si>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</si>
  <si>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</si>
  <si>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</si>
  <si>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</si>
  <si>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</si>
  <si>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</si>
  <si>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</si>
  <si>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</si>
  <si>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</si>
  <si>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</si>
  <si>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</si>
  <si>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</si>
  <si>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</si>
  <si>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</si>
  <si>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</si>
  <si>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</si>
  <si>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</si>
  <si>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</si>
  <si>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</si>
  <si>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</si>
  <si>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</si>
  <si>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</si>
  <si>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</si>
  <si>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</si>
  <si>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</si>
  <si>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</si>
  <si>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</si>
  <si>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</si>
  <si>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</si>
  <si>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</si>
  <si>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</si>
  <si>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</si>
  <si>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</si>
  <si>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</si>
  <si>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</si>
  <si>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</si>
  <si>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</si>
  <si>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</si>
  <si>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</si>
  <si>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</si>
  <si>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</si>
  <si>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</si>
  <si>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</si>
  <si>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</si>
  <si>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</si>
  <si>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</si>
  <si>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</si>
  <si>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</si>
  <si>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</si>
  <si>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</si>
  <si>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</si>
  <si>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</si>
  <si>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</si>
  <si>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</si>
  <si>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</si>
  <si>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</si>
  <si>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</si>
  <si>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</si>
  <si>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</si>
  <si>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</si>
  <si>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</si>
  <si>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</si>
  <si>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</si>
  <si>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</si>
  <si>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</si>
  <si>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</si>
  <si>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</si>
  <si>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</si>
  <si>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</si>
  <si>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</si>
  <si>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</si>
  <si>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</si>
  <si>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</si>
  <si>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</si>
  <si>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</si>
  <si>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</si>
  <si>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</si>
  <si>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</si>
  <si>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</si>
  <si>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</si>
  <si>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</si>
  <si>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</si>
  <si>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</si>
  <si>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</si>
  <si>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</si>
  <si>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</si>
  <si>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</si>
  <si>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</si>
  <si>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</si>
  <si>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</si>
  <si>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</si>
  <si>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</si>
  <si>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</si>
  <si>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</si>
  <si>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</si>
  <si>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</si>
  <si>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</si>
  <si>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</si>
  <si>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</si>
  <si>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</si>
  <si>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</si>
  <si>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</si>
  <si>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</si>
  <si>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</si>
  <si>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</si>
  <si>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</si>
  <si>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</si>
  <si>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</si>
  <si>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</si>
  <si>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</si>
  <si>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</si>
  <si>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</si>
  <si>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</si>
  <si>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</si>
  <si>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</si>
  <si>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</si>
  <si>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</si>
  <si>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</si>
  <si>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</si>
  <si>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</si>
  <si>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</si>
  <si>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</si>
  <si>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</si>
  <si>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</si>
  <si>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</si>
  <si>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</si>
  <si>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</si>
  <si>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</si>
  <si>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</si>
  <si>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</si>
  <si>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</si>
  <si>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</si>
  <si>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</si>
  <si>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</si>
  <si>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</si>
  <si>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</si>
  <si>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</si>
  <si>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</si>
  <si>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</si>
  <si>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</si>
  <si>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</si>
  <si>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</si>
  <si>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</si>
  <si>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</si>
  <si>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</si>
  <si>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</si>
  <si>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</si>
  <si>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</si>
  <si>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</si>
  <si>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</si>
  <si>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</si>
  <si>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</si>
  <si>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</si>
  <si>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</si>
  <si>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</si>
  <si>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</si>
  <si>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</si>
  <si>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</si>
  <si>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</si>
  <si>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</si>
  <si>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</si>
  <si>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</si>
  <si>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</si>
  <si>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</si>
  <si>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</si>
  <si>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</si>
  <si>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</si>
  <si>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</si>
  <si>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</si>
  <si>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</si>
  <si>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</si>
  <si>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</si>
  <si>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</si>
  <si>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</si>
  <si>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</si>
  <si>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</si>
  <si>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</si>
  <si>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</si>
  <si>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</si>
  <si>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</si>
  <si>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</si>
  <si>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</si>
  <si>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</si>
  <si>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</si>
  <si>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</si>
  <si>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</si>
  <si>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</si>
  <si>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</si>
  <si>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</si>
  <si>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</si>
  <si>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</si>
  <si>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</si>
  <si>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</si>
  <si>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</si>
  <si>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</si>
  <si>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</si>
  <si>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</si>
  <si>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</si>
  <si>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</si>
  <si>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</si>
  <si>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</si>
  <si>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</si>
  <si>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</si>
  <si>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</si>
  <si>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</si>
  <si>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</si>
  <si>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</si>
  <si>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</si>
  <si>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</si>
  <si>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</si>
  <si>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</si>
  <si>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</si>
  <si>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</si>
  <si>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</si>
  <si>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</si>
  <si>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</si>
  <si>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</si>
  <si>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</si>
  <si>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</si>
  <si>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</si>
  <si>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</si>
  <si>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</si>
  <si>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</si>
  <si>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</si>
  <si>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</si>
  <si>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</si>
  <si>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</si>
  <si>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</si>
  <si>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</si>
  <si>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</si>
  <si>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</si>
  <si>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</si>
  <si>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</si>
  <si>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</si>
  <si>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</si>
  <si>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</si>
  <si>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</si>
  <si>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</si>
  <si>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</si>
  <si>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</si>
  <si>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</si>
  <si>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</si>
  <si>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</si>
  <si>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</si>
  <si>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</si>
  <si>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</si>
  <si>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</si>
  <si>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</si>
  <si>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</si>
  <si>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</si>
  <si>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</si>
  <si>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</si>
  <si>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</si>
  <si>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</si>
  <si>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</si>
  <si>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</si>
  <si>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</si>
  <si>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</si>
  <si>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</si>
  <si>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</si>
  <si>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</si>
  <si>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</si>
  <si>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</si>
  <si>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</si>
  <si>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</si>
  <si>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</si>
  <si>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</si>
  <si>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</si>
  <si>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</si>
  <si>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</si>
  <si>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</si>
  <si>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</si>
  <si>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</si>
  <si>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</si>
  <si>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</si>
  <si>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</si>
  <si>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</si>
  <si>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</si>
  <si>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</si>
  <si>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</si>
  <si>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</si>
  <si>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</si>
  <si>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</si>
  <si>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</si>
  <si>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</si>
  <si>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</si>
  <si>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</si>
  <si>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</si>
  <si>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</si>
  <si>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</si>
  <si>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</si>
  <si>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</si>
  <si>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</si>
  <si>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</si>
  <si>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</si>
  <si>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</si>
  <si>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</si>
  <si>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</si>
  <si>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</si>
  <si>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</si>
  <si>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</si>
  <si>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</si>
  <si>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</si>
  <si>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</si>
  <si>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</si>
  <si>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</si>
  <si>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</si>
  <si>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</si>
  <si>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</si>
  <si>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</si>
  <si>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</si>
  <si>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</si>
  <si>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</si>
  <si>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</si>
  <si>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</si>
  <si>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</si>
  <si>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</si>
  <si>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</si>
  <si>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</si>
  <si>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</si>
  <si>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</si>
  <si>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</si>
  <si>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</si>
  <si>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</si>
  <si>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</si>
  <si>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</si>
  <si>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</si>
  <si>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</si>
  <si>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</si>
  <si>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</si>
  <si>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</si>
  <si>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</si>
  <si>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</si>
  <si>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</si>
  <si>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</si>
  <si>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</si>
  <si>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</si>
  <si>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</si>
  <si>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</si>
  <si>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</si>
  <si>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</si>
  <si>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</si>
  <si>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</si>
  <si>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</si>
  <si>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</si>
  <si>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</si>
  <si>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</si>
  <si>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</si>
  <si>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</si>
  <si>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</si>
  <si>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</si>
  <si>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</si>
  <si>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</si>
  <si>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</si>
  <si>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</si>
  <si>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</si>
  <si>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</si>
  <si>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</si>
  <si>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</si>
  <si>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</si>
  <si>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</si>
  <si>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</si>
  <si>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</si>
  <si>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</si>
  <si>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</si>
  <si>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</si>
  <si>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</si>
  <si>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</si>
  <si>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</si>
  <si>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</si>
  <si>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</si>
  <si>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</si>
  <si>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</si>
  <si>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</si>
  <si>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</si>
  <si>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</si>
  <si>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</si>
  <si>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</si>
  <si>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</si>
  <si>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</si>
  <si>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</si>
  <si>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</si>
  <si>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</si>
  <si>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</si>
  <si>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</si>
  <si>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</si>
  <si>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</si>
  <si>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</si>
  <si>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</si>
  <si>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</si>
  <si>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</si>
  <si>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</si>
  <si>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</si>
  <si>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</si>
  <si>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</si>
  <si>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</si>
  <si>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</si>
  <si>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</si>
  <si>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</si>
  <si>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</si>
  <si>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</si>
  <si>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</si>
  <si>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</si>
  <si>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</si>
  <si>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</si>
  <si>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</si>
  <si>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</si>
  <si>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</si>
  <si>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</si>
  <si>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</si>
  <si>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</si>
  <si>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</si>
  <si>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</si>
  <si>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</si>
  <si>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</si>
  <si>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</si>
  <si>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</si>
  <si>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</si>
  <si>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</si>
  <si>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</si>
  <si>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</si>
  <si>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</si>
  <si>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</si>
  <si>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</si>
  <si>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</si>
  <si>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</si>
  <si>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</si>
  <si>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</si>
  <si>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</si>
  <si>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</si>
  <si>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</si>
  <si>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</si>
  <si>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</si>
  <si>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</si>
  <si>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</si>
  <si>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</si>
  <si>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</si>
  <si>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</si>
  <si>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</si>
  <si>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</si>
  <si>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</si>
  <si>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</si>
  <si>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</si>
  <si>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</si>
  <si>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</si>
  <si>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</si>
  <si>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</si>
  <si>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</si>
  <si>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</si>
  <si>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</si>
  <si>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</si>
  <si>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</si>
  <si>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</si>
  <si>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</si>
  <si>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</si>
  <si>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</si>
  <si>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</si>
  <si>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</si>
  <si>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</si>
  <si>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</si>
  <si>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</si>
  <si>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</si>
  <si>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</si>
  <si>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</si>
  <si>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</si>
  <si>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</si>
  <si>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</si>
  <si>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</si>
  <si>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</si>
  <si>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</si>
  <si>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</si>
  <si>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</si>
  <si>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</si>
  <si>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</si>
  <si>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</si>
  <si>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</si>
  <si>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</si>
  <si>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</si>
  <si>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</si>
  <si>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</si>
  <si>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</si>
  <si>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</si>
  <si>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</si>
  <si>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</si>
  <si>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</si>
  <si>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</si>
  <si>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</si>
  <si>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</si>
  <si>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</si>
  <si>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</si>
  <si>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</si>
  <si>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</si>
  <si>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</si>
  <si>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</si>
  <si>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</si>
  <si>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</si>
  <si>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</si>
  <si>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</si>
  <si>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</si>
  <si>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</si>
  <si>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</si>
  <si>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</si>
  <si>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</si>
  <si>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</si>
  <si>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</si>
  <si>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</si>
  <si>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</si>
  <si>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</si>
  <si>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</si>
  <si>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</si>
  <si>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</si>
  <si>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</si>
  <si>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</si>
  <si>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</si>
  <si>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</si>
  <si>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</si>
  <si>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</si>
  <si>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</si>
  <si>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</si>
  <si>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</si>
  <si>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</si>
  <si>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</si>
  <si>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</si>
  <si>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</si>
  <si>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</si>
  <si>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</si>
  <si>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</si>
  <si>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</si>
  <si>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</si>
  <si>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</si>
  <si>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</si>
  <si>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</si>
  <si>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</si>
  <si>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</si>
  <si>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</si>
  <si>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</si>
  <si>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</si>
  <si>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</si>
  <si>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</si>
  <si>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</si>
  <si>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</si>
  <si>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</si>
  <si>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</si>
  <si>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</si>
  <si>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</si>
  <si>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</si>
  <si>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</si>
  <si>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</si>
  <si>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</si>
  <si>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</si>
  <si>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</si>
  <si>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</si>
  <si>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</si>
  <si>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</si>
  <si>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</si>
  <si>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</si>
  <si>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</si>
  <si>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</si>
  <si>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</si>
  <si>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</si>
  <si>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</si>
  <si>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</si>
  <si>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</si>
  <si>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</si>
  <si>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</si>
  <si>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</si>
  <si>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</si>
  <si>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</si>
  <si>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</si>
  <si>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</si>
  <si>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</si>
  <si>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</si>
  <si>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</si>
  <si>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</si>
  <si>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</si>
  <si>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</si>
  <si>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</si>
  <si>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</si>
  <si>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</si>
  <si>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</si>
  <si>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</si>
  <si>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</si>
  <si>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</si>
  <si>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</si>
  <si>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</si>
  <si>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</si>
  <si>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</si>
  <si>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</si>
  <si>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</si>
  <si>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</si>
  <si>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</si>
  <si>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</si>
  <si>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</si>
  <si>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</si>
  <si>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</si>
  <si>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</si>
  <si>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</si>
  <si>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</si>
  <si>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</si>
  <si>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</si>
  <si>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</si>
  <si>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</si>
  <si>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</si>
  <si>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</si>
  <si>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</si>
  <si>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</si>
  <si>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</si>
  <si>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</si>
  <si>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</si>
  <si>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</si>
  <si>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</si>
  <si>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</si>
  <si>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</si>
  <si>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</si>
  <si>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</si>
  <si>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</si>
  <si>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</si>
  <si>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</si>
  <si>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</si>
  <si>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</si>
  <si>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</si>
  <si>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</si>
  <si>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</si>
  <si>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</si>
  <si>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</si>
  <si>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</si>
  <si>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</si>
  <si>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</si>
  <si>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</si>
  <si>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</si>
  <si>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</si>
  <si>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</si>
  <si>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</si>
  <si>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</si>
  <si>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</si>
  <si>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</si>
  <si>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</si>
  <si>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</si>
  <si>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</si>
  <si>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</si>
  <si>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</si>
  <si>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</si>
  <si>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</si>
  <si>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</si>
  <si>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</si>
  <si>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</si>
  <si>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</si>
  <si>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</si>
  <si>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</si>
  <si>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</si>
  <si>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</si>
  <si>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</si>
  <si>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</si>
  <si>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</si>
  <si>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</si>
  <si>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</si>
  <si>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</si>
  <si>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</si>
  <si>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</si>
  <si>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</si>
  <si>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</si>
  <si>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</si>
  <si>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</si>
  <si>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</si>
  <si>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</si>
  <si>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</si>
  <si>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</si>
  <si>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</si>
  <si>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</si>
  <si>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</si>
  <si>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</si>
  <si>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</si>
  <si>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</si>
  <si>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</si>
  <si>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</si>
  <si>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</si>
  <si>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</si>
  <si>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</si>
  <si>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</si>
  <si>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</si>
  <si>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</si>
  <si>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</si>
  <si>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</si>
  <si>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</si>
  <si>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</si>
  <si>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</si>
  <si>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</si>
  <si>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</si>
  <si>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</si>
  <si>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</si>
  <si>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</si>
  <si>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</si>
  <si>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</si>
  <si>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</si>
  <si>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</si>
  <si>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</si>
  <si>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</si>
  <si>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</si>
  <si>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</si>
  <si>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</si>
  <si>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</si>
  <si>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</si>
  <si>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</si>
  <si>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</si>
  <si>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</si>
  <si>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</si>
  <si>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</si>
  <si>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</si>
  <si>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</si>
  <si>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</si>
  <si>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</si>
  <si>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</si>
  <si>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</si>
  <si>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</si>
  <si>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</si>
  <si>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</si>
  <si>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</si>
  <si>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</si>
  <si>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</si>
  <si>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</si>
  <si>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</si>
  <si>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</si>
  <si>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</si>
  <si>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</si>
  <si>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</si>
  <si>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</si>
  <si>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</si>
  <si>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</si>
  <si>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</si>
  <si>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</si>
  <si>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</si>
  <si>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</si>
  <si>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</si>
  <si>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</si>
  <si>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</si>
  <si>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</si>
  <si>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</si>
  <si>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</si>
  <si>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</si>
  <si>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</si>
  <si>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</si>
  <si>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</si>
  <si>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</si>
  <si>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</si>
  <si>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</si>
  <si>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</si>
  <si>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</si>
  <si>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</si>
  <si>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</si>
  <si>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</si>
  <si>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</si>
  <si>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</si>
  <si>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</si>
  <si>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</si>
  <si>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</si>
  <si>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</si>
  <si>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</si>
  <si>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</si>
  <si>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</si>
  <si>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</si>
  <si>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</si>
  <si>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</si>
  <si>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</si>
  <si>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</si>
  <si>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</si>
  <si>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</si>
  <si>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</si>
  <si>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</si>
  <si>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</si>
  <si>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</si>
  <si>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</si>
  <si>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</si>
  <si>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</si>
  <si>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</si>
  <si>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</si>
  <si>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</si>
  <si>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</si>
  <si>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</si>
  <si>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</si>
  <si>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</si>
  <si>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</si>
  <si>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</si>
  <si>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</si>
  <si>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</si>
  <si>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</si>
  <si>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</si>
  <si>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</si>
  <si>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</si>
  <si>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</si>
  <si>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</si>
  <si>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</si>
  <si>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</si>
  <si>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</si>
  <si>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</si>
  <si>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</si>
  <si>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</si>
  <si>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</si>
  <si>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</si>
  <si>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</si>
  <si>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</si>
  <si>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</si>
  <si>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</si>
  <si>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</si>
  <si>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</si>
  <si>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</si>
  <si>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</si>
  <si>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</si>
  <si>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</si>
  <si>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</si>
  <si>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</si>
  <si>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</si>
  <si>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</si>
  <si>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</si>
  <si>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</si>
  <si>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</si>
  <si>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</si>
  <si>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</si>
  <si>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</si>
  <si>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</si>
  <si>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</si>
  <si>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</si>
  <si>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</si>
  <si>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</si>
  <si>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</si>
  <si>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</si>
  <si>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</si>
  <si>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</si>
  <si>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</si>
  <si>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</si>
  <si>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</si>
  <si>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</si>
  <si>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</si>
  <si>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</si>
  <si>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</si>
  <si>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</si>
  <si>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</si>
  <si>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</si>
  <si>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</si>
  <si>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</si>
  <si>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</si>
  <si>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</si>
  <si>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</si>
  <si>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</si>
  <si>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</si>
  <si>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</si>
  <si>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</si>
  <si>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</si>
  <si>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</si>
  <si>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</si>
  <si>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</si>
  <si>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</si>
  <si>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</si>
  <si>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</si>
  <si>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</si>
  <si>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</si>
  <si>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</si>
  <si>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</si>
  <si>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</si>
  <si>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</si>
  <si>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</si>
  <si>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</si>
  <si>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</si>
  <si>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</si>
  <si>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</si>
  <si>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</si>
  <si>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</si>
  <si>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</si>
  <si>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</si>
  <si>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</si>
  <si>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</si>
  <si>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</si>
  <si>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</si>
  <si>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</si>
  <si>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</si>
  <si>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</si>
  <si>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</si>
  <si>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</si>
  <si>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</si>
  <si>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</si>
  <si>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</si>
  <si>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</si>
  <si>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</si>
  <si>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</si>
  <si>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</si>
  <si>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</si>
  <si>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</si>
  <si>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</si>
  <si>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</si>
  <si>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</si>
  <si>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</si>
  <si>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</si>
  <si>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</si>
  <si>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</si>
  <si>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</si>
  <si>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</si>
  <si>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</si>
  <si>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</si>
  <si>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</si>
  <si>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</si>
  <si>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</si>
  <si>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</si>
  <si>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</si>
  <si>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</si>
  <si>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</si>
  <si>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</si>
  <si>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</si>
  <si>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</si>
  <si>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</si>
  <si>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</si>
  <si>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</si>
  <si>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</si>
  <si>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</si>
  <si>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</si>
  <si>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</si>
  <si>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</si>
  <si>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</si>
  <si>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</si>
  <si>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</si>
  <si>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</si>
  <si>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</si>
  <si>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</si>
  <si>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</si>
  <si>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</si>
  <si>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</si>
  <si>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</si>
  <si>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</si>
  <si>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</si>
  <si>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</si>
  <si>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</si>
  <si>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</si>
  <si>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</si>
  <si>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</si>
  <si>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</si>
  <si>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</si>
  <si>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</si>
  <si>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</si>
  <si>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</si>
  <si>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</si>
  <si>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</si>
  <si>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</si>
  <si>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</si>
  <si>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</si>
  <si>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</si>
  <si>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</si>
  <si>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</si>
  <si>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</si>
  <si>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</si>
  <si>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</si>
  <si>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</si>
  <si>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</si>
  <si>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</si>
  <si>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</si>
  <si>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</si>
  <si>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</si>
  <si>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</si>
  <si>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</si>
  <si>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</si>
  <si>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</si>
  <si>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</si>
  <si>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</si>
  <si>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</si>
  <si>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</si>
  <si>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</si>
  <si>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</si>
  <si>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</si>
  <si>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</si>
  <si>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</si>
  <si>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</si>
  <si>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</si>
  <si>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</si>
  <si>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</si>
  <si>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</si>
  <si>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</si>
  <si>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</si>
  <si>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</si>
  <si>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</si>
  <si>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</si>
  <si>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</si>
  <si>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</si>
  <si>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</si>
  <si>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</si>
  <si>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</si>
  <si>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</si>
  <si>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</si>
  <si>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</si>
  <si>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</si>
  <si>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</si>
  <si>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</si>
  <si>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</si>
  <si>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</si>
  <si>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</si>
  <si>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</si>
  <si>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</si>
  <si>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</si>
  <si>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</si>
  <si>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</si>
  <si>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</si>
  <si>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</si>
  <si>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</si>
  <si>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</si>
  <si>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</si>
  <si>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</si>
  <si>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</si>
  <si>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</si>
  <si>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</si>
  <si>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</si>
  <si>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</si>
  <si>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</si>
  <si>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</si>
  <si>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</si>
  <si>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</si>
  <si>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</si>
  <si>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</si>
  <si>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</si>
  <si>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</si>
  <si>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</si>
  <si>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</si>
  <si>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</si>
  <si>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</si>
  <si>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</si>
  <si>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</si>
  <si>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</si>
  <si>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</si>
  <si>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</si>
  <si>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</si>
  <si>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</si>
  <si>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</si>
  <si>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</si>
  <si>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</si>
  <si>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</si>
  <si>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</si>
  <si>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</si>
  <si>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</si>
  <si>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</si>
  <si>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</si>
  <si>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</si>
  <si>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</si>
  <si>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</si>
  <si>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</si>
  <si>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</si>
  <si>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</si>
  <si>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</si>
  <si>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</si>
  <si>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</si>
  <si>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</si>
  <si>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</si>
  <si>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</si>
  <si>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</si>
  <si>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</si>
  <si>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</si>
  <si>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</si>
  <si>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</si>
  <si>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</si>
  <si>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</si>
  <si>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</si>
  <si>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</si>
  <si>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</si>
  <si>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</si>
  <si>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</si>
  <si>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</si>
  <si>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</si>
  <si>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</si>
  <si>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</si>
  <si>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</si>
  <si>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</si>
  <si>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</si>
  <si>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</si>
  <si>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</si>
  <si>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</si>
  <si>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</si>
  <si>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</si>
  <si>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</si>
  <si>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</si>
  <si>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</si>
  <si>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</si>
  <si>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</si>
  <si>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</si>
  <si>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</si>
  <si>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</si>
  <si>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</si>
  <si>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</si>
  <si>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</si>
  <si>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</si>
  <si>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</si>
  <si>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</si>
  <si>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</si>
  <si>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</si>
  <si>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</si>
  <si>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</si>
  <si>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</si>
  <si>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</si>
  <si>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</si>
  <si>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</si>
  <si>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</si>
  <si>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</si>
  <si>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</si>
  <si>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</si>
  <si>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</si>
  <si>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</si>
  <si>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</si>
  <si>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</si>
  <si>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</si>
  <si>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</si>
  <si>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</si>
  <si>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</si>
  <si>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</si>
  <si>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</si>
  <si>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</si>
  <si>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</si>
  <si>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</si>
  <si>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</si>
  <si>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</si>
  <si>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</si>
  <si>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</si>
  <si>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</si>
  <si>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</si>
  <si>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</si>
  <si>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</si>
  <si>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</si>
  <si>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</si>
  <si>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</si>
  <si>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</si>
  <si>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</si>
  <si>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</si>
  <si>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</si>
  <si>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</si>
  <si>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</si>
  <si>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</si>
  <si>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</si>
  <si>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</si>
  <si>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</si>
  <si>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</si>
  <si>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</si>
  <si>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</si>
  <si>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</si>
  <si>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</si>
  <si>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</si>
  <si>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</si>
  <si>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</si>
  <si>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</si>
  <si>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</si>
  <si>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</si>
  <si>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</si>
  <si>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</si>
  <si>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</si>
  <si>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</si>
  <si>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</si>
  <si>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</si>
  <si>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</si>
  <si>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</si>
  <si>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</si>
  <si>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</si>
  <si>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</si>
  <si>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</si>
  <si>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</si>
  <si>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</si>
  <si>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</si>
  <si>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</si>
  <si>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</si>
  <si>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</si>
  <si>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</si>
  <si>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</si>
  <si>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</si>
  <si>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</si>
  <si>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</si>
  <si>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</si>
  <si>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</si>
  <si>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</si>
  <si>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</si>
  <si>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</si>
  <si>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</si>
  <si>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</si>
  <si>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</si>
  <si>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</si>
  <si>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</si>
  <si>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</si>
  <si>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</si>
  <si>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</si>
  <si>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</si>
  <si>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</si>
  <si>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</si>
  <si>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</si>
  <si>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</si>
  <si>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</si>
  <si>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</si>
  <si>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</si>
  <si>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</si>
  <si>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</si>
  <si>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</si>
  <si>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</si>
  <si>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</si>
  <si>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</si>
  <si>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</si>
  <si>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</si>
  <si>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</si>
  <si>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</si>
  <si>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</si>
  <si>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</si>
  <si>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</si>
  <si>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</si>
  <si>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</si>
  <si>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</si>
  <si>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</si>
  <si>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</si>
  <si>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</si>
  <si>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</si>
  <si>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</si>
  <si>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</si>
  <si>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</si>
  <si>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</si>
  <si>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</si>
  <si>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</si>
  <si>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</si>
  <si>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</si>
  <si>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</si>
  <si>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</si>
  <si>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</si>
  <si>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</si>
  <si>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</si>
  <si>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</si>
  <si>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</si>
  <si>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</si>
  <si>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</si>
  <si>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</si>
  <si>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</si>
  <si>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</si>
  <si>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</si>
  <si>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</si>
  <si>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</si>
  <si>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</si>
  <si>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</si>
  <si>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</si>
  <si>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</si>
  <si>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</si>
  <si>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</si>
  <si>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</si>
  <si>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</si>
  <si>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</si>
  <si>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</si>
  <si>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</si>
  <si>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</si>
  <si>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</si>
  <si>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</si>
  <si>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</si>
  <si>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</si>
  <si>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</si>
  <si>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</si>
  <si>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</si>
  <si>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</si>
  <si>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</si>
  <si>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</si>
  <si>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</si>
  <si>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</si>
  <si>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</si>
  <si>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</si>
  <si>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</si>
  <si>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</si>
  <si>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</si>
  <si>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</si>
  <si>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</si>
  <si>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</si>
  <si>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</si>
  <si>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</si>
  <si>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</si>
  <si>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</si>
  <si>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</si>
  <si>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</si>
  <si>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</si>
  <si>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</si>
  <si>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</si>
  <si>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</si>
  <si>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</si>
  <si>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</si>
  <si>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</si>
  <si>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</si>
  <si>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</si>
  <si>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</si>
  <si>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</si>
  <si>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</si>
  <si>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</si>
  <si>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</si>
  <si>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</si>
  <si>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</si>
  <si>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</si>
  <si>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</si>
  <si>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</si>
  <si>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</si>
  <si>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</si>
  <si>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</si>
  <si>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</si>
  <si>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</si>
  <si>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</si>
  <si>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</si>
  <si>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</si>
  <si>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</si>
  <si>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</si>
  <si>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</si>
  <si>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</si>
  <si>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</si>
  <si>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</si>
  <si>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</si>
  <si>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</si>
  <si>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</si>
  <si>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</si>
  <si>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</si>
  <si>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</si>
  <si>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</si>
  <si>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</si>
  <si>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</si>
  <si>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</si>
  <si>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</si>
  <si>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</si>
  <si>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</si>
  <si>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</si>
  <si>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</si>
  <si>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</si>
  <si>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</si>
  <si>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</si>
  <si>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</si>
  <si>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</si>
  <si>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</si>
  <si>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</si>
  <si>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</si>
  <si>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</si>
  <si>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</si>
  <si>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</si>
  <si>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</si>
  <si>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</si>
  <si>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</si>
  <si>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</si>
  <si>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</si>
  <si>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</si>
  <si>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</si>
  <si>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</si>
  <si>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</si>
  <si>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</si>
  <si>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</si>
  <si>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</si>
  <si>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</si>
  <si>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</si>
  <si>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</si>
  <si>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</si>
  <si>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</si>
  <si>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</si>
  <si>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</si>
  <si>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</si>
  <si>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</si>
  <si>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</si>
  <si>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</si>
  <si>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</si>
  <si>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</si>
  <si>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</si>
  <si>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</si>
  <si>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</si>
  <si>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</si>
  <si>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</si>
  <si>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</si>
  <si>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</si>
  <si>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</si>
  <si>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</si>
  <si>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</si>
  <si>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</si>
  <si>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</si>
  <si>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</si>
  <si>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</si>
  <si>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</si>
  <si>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</si>
  <si>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</si>
  <si>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</si>
  <si>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</si>
  <si>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</si>
  <si>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</si>
  <si>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</si>
  <si>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</si>
  <si>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</si>
  <si>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</si>
  <si>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</si>
  <si>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</si>
  <si>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</si>
  <si>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</si>
  <si>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</si>
  <si>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</si>
  <si>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</si>
  <si>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</si>
  <si>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</si>
  <si>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</si>
  <si>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</si>
  <si>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</si>
  <si>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</si>
  <si>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</si>
  <si>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</si>
  <si>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</si>
  <si>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</si>
  <si>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</si>
  <si>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</si>
  <si>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</si>
  <si>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</si>
  <si>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</si>
  <si>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</si>
  <si>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</si>
  <si>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</si>
  <si>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</si>
  <si>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</si>
  <si>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</si>
  <si>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</si>
  <si>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</si>
  <si>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</si>
  <si>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</si>
  <si>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</si>
  <si>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</si>
  <si>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</si>
  <si>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</si>
  <si>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</si>
  <si>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</si>
  <si>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</si>
  <si>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</si>
  <si>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</si>
  <si>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</si>
  <si>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</si>
  <si>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</si>
  <si>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</si>
  <si>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</si>
  <si>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</si>
  <si>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</si>
  <si>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</si>
  <si>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</si>
  <si>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</si>
  <si>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</si>
  <si>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</si>
  <si>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</si>
  <si>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</si>
  <si>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</si>
  <si>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</si>
  <si>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</si>
  <si>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</si>
  <si>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</si>
  <si>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</si>
  <si>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</si>
  <si>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</si>
  <si>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</si>
  <si>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</si>
  <si>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</si>
  <si>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</si>
  <si>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</si>
  <si>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</si>
  <si>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</si>
  <si>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</si>
  <si>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</si>
  <si>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</si>
  <si>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</si>
  <si>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</si>
  <si>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</si>
  <si>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</si>
  <si>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</si>
  <si>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</si>
  <si>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</si>
  <si>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</si>
  <si>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</si>
  <si>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</si>
  <si>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</si>
  <si>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</si>
  <si>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</si>
  <si>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</si>
  <si>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</si>
  <si>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</si>
  <si>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</si>
  <si>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</si>
  <si>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</si>
  <si>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</si>
  <si>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</si>
  <si>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</si>
  <si>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</si>
  <si>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</si>
  <si>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</si>
  <si>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</si>
  <si>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</si>
  <si>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</si>
  <si>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</si>
  <si>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</si>
  <si>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</si>
  <si>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</si>
  <si>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</si>
  <si>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</si>
  <si>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</si>
  <si>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</si>
  <si>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</si>
  <si>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</si>
  <si>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</si>
  <si>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</si>
  <si>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</si>
  <si>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</si>
  <si>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</si>
  <si>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</si>
  <si>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</si>
  <si>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</si>
  <si>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</si>
  <si>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</si>
  <si>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</si>
  <si>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</si>
  <si>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</si>
  <si>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</si>
  <si>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</si>
  <si>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</si>
  <si>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</si>
  <si>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</si>
  <si>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</si>
  <si>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</si>
  <si>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</si>
  <si>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</si>
  <si>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</si>
  <si>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</si>
  <si>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</si>
  <si>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</si>
  <si>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</si>
  <si>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</si>
  <si>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</si>
  <si>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</si>
  <si>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</si>
  <si>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</si>
  <si>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</si>
  <si>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</si>
  <si>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</si>
  <si>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</si>
  <si>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</si>
  <si>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</si>
  <si>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</si>
  <si>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</si>
  <si>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</si>
  <si>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</si>
  <si>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</si>
  <si>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</si>
  <si>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</si>
  <si>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</si>
  <si>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</si>
  <si>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</si>
  <si>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</si>
  <si>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</si>
  <si>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</si>
  <si>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</si>
  <si>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</si>
  <si>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</si>
  <si>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</si>
  <si>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</si>
  <si>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</si>
  <si>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</si>
  <si>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</si>
  <si>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</si>
  <si>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</si>
  <si>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</si>
  <si>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</si>
  <si>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</si>
  <si>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</si>
  <si>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</si>
  <si>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</si>
  <si>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</si>
  <si>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</si>
  <si>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</si>
  <si>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</si>
  <si>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</si>
  <si>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</si>
  <si>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</si>
  <si>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</si>
  <si>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</si>
  <si>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</si>
  <si>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</si>
  <si>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</si>
  <si>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</si>
  <si>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</si>
  <si>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</si>
  <si>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</si>
  <si>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</si>
  <si>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</si>
  <si>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</si>
  <si>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</si>
  <si>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</si>
  <si>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</si>
  <si>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</si>
  <si>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</si>
  <si>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</si>
  <si>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</si>
  <si>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</si>
  <si>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</si>
  <si>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</si>
  <si>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</si>
  <si>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</si>
  <si>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</si>
  <si>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</si>
  <si>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</si>
  <si>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</si>
  <si>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</si>
  <si>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</si>
  <si>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</si>
  <si>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</si>
  <si>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</si>
  <si>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</si>
  <si>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</si>
  <si>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</si>
  <si>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</si>
  <si>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</si>
  <si>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</si>
  <si>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</si>
  <si>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</si>
  <si>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</si>
  <si>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</si>
  <si>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</si>
  <si>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</si>
  <si>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</si>
  <si>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</si>
  <si>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</si>
  <si>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</si>
  <si>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</si>
  <si>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</si>
  <si>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</si>
  <si>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</si>
  <si>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</si>
  <si>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</si>
  <si>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</si>
  <si>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</si>
  <si>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</si>
  <si>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</si>
  <si>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</si>
  <si>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</si>
  <si>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</si>
  <si>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</si>
  <si>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</si>
  <si>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</si>
  <si>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</si>
  <si>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</si>
  <si>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</si>
  <si>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</si>
  <si>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</si>
  <si>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</si>
  <si>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</si>
  <si>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</si>
  <si>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</si>
  <si>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</si>
  <si>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</si>
  <si>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</si>
  <si>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</si>
  <si>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</si>
  <si>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</si>
  <si>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</si>
  <si>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</si>
  <si>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</si>
  <si>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</si>
  <si>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</si>
  <si>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</si>
  <si>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</si>
  <si>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</si>
  <si>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</si>
  <si>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</si>
  <si>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</si>
  <si>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</si>
  <si>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</si>
  <si>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</si>
  <si>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</si>
  <si>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</si>
  <si>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</si>
  <si>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</si>
  <si>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</si>
  <si>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</si>
  <si>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</si>
  <si>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</si>
  <si>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</si>
  <si>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</si>
  <si>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</si>
  <si>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</si>
  <si>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</si>
  <si>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</si>
  <si>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</si>
  <si>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</si>
  <si>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</si>
  <si>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</si>
  <si>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</si>
  <si>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</si>
  <si>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</si>
  <si>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</si>
  <si>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</si>
  <si>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</si>
  <si>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</si>
  <si>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</si>
  <si>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</si>
  <si>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</si>
  <si>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</si>
  <si>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</si>
  <si>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</si>
  <si>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</si>
  <si>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</si>
  <si>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</si>
  <si>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</si>
  <si>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</si>
  <si>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</si>
  <si>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</si>
  <si>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</si>
  <si>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</si>
  <si>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</si>
  <si>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</si>
  <si>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</si>
  <si>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</si>
  <si>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</si>
  <si>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</si>
  <si>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</si>
  <si>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</si>
  <si>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</si>
  <si>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</si>
  <si>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</si>
  <si>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</si>
  <si>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</si>
  <si>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</si>
  <si>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</si>
  <si>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</si>
  <si>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</si>
  <si>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</si>
  <si>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</si>
  <si>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</si>
  <si>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</si>
  <si>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</si>
  <si>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</si>
  <si>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</si>
  <si>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</si>
  <si>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</si>
  <si>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</si>
  <si>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</si>
  <si>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</si>
  <si>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</si>
  <si>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</si>
  <si>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</si>
  <si>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</si>
  <si>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</si>
  <si>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</si>
  <si>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</si>
  <si>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</si>
  <si>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</si>
  <si>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</si>
  <si>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</si>
  <si>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</si>
  <si>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</si>
  <si>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</si>
  <si>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</si>
  <si>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</si>
  <si>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</si>
  <si>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</si>
  <si>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</si>
  <si>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</si>
  <si>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</si>
  <si>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</si>
  <si>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</si>
  <si>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</si>
  <si>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</si>
  <si>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</si>
  <si>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</si>
  <si>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</si>
  <si>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</si>
  <si>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</si>
  <si>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</si>
  <si>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</si>
  <si>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</si>
  <si>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</si>
  <si>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</si>
  <si>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</si>
  <si>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</si>
  <si>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</si>
  <si>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</si>
  <si>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</si>
  <si>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</si>
  <si>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</si>
  <si>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</si>
  <si>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</si>
  <si>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</si>
  <si>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</si>
  <si>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</si>
  <si>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</si>
  <si>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</si>
  <si>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</si>
  <si>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</si>
  <si>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</si>
  <si>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</si>
  <si>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</si>
  <si>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</si>
  <si>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</si>
  <si>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</si>
  <si>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</si>
  <si>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</si>
  <si>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</si>
  <si>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</si>
  <si>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</si>
  <si>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</si>
  <si>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</si>
  <si>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</si>
  <si>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</si>
  <si>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</si>
  <si>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</si>
  <si>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</si>
  <si>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</si>
  <si>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</si>
  <si>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</si>
  <si>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</si>
  <si>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</si>
  <si>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</si>
  <si>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</si>
  <si>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</si>
  <si>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</si>
  <si>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</si>
  <si>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</si>
  <si>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</si>
  <si>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</si>
  <si>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</si>
  <si>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</si>
  <si>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</si>
  <si>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</si>
  <si>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</si>
  <si>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</si>
  <si>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</si>
  <si>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</si>
  <si>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</si>
  <si>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</si>
  <si>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</si>
  <si>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</si>
  <si>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</si>
  <si>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</si>
  <si>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</si>
  <si>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</si>
  <si>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</si>
  <si>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</si>
  <si>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</si>
  <si>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</si>
  <si>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</si>
  <si>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</si>
  <si>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</si>
  <si>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</si>
  <si>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</si>
  <si>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</si>
  <si>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</si>
  <si>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</si>
  <si>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</si>
  <si>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</si>
  <si>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</si>
  <si>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</si>
  <si>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</si>
  <si>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</si>
  <si>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</si>
  <si>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</si>
  <si>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</si>
  <si>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</si>
  <si>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</si>
  <si>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</si>
  <si>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</si>
  <si>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</si>
  <si>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</si>
  <si>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</si>
  <si>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</si>
  <si>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</si>
  <si>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</si>
  <si>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</si>
  <si>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</si>
  <si>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</si>
  <si>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</si>
  <si>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</si>
  <si>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</si>
  <si>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</si>
  <si>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</si>
  <si>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</si>
  <si>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</si>
  <si>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</si>
  <si>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</si>
  <si>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</si>
  <si>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</si>
  <si>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</si>
  <si>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</si>
  <si>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</si>
  <si>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</si>
  <si>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</si>
  <si>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</si>
  <si>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</si>
  <si>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</si>
  <si>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</si>
  <si>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</si>
  <si>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</si>
  <si>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</si>
  <si>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</si>
  <si>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</si>
  <si>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</si>
  <si>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</si>
  <si>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</si>
  <si>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</si>
  <si>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</si>
  <si>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</si>
  <si>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</si>
  <si>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</si>
  <si>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</si>
  <si>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</si>
  <si>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</si>
  <si>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</si>
  <si>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</si>
  <si>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</si>
  <si>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</si>
  <si>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</si>
  <si>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</si>
  <si>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</si>
  <si>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</si>
  <si>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</si>
  <si>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</si>
  <si>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</si>
  <si>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</si>
  <si>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</si>
  <si>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</si>
  <si>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</si>
  <si>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</si>
  <si>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</si>
  <si>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</si>
  <si>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</si>
  <si>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</si>
  <si>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</si>
  <si>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</si>
  <si>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</si>
  <si>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</si>
  <si>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</si>
  <si>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</si>
  <si>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</si>
  <si>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</si>
  <si>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</si>
  <si>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</si>
  <si>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</si>
  <si>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</si>
  <si>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</si>
  <si>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</si>
  <si>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</si>
  <si>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</si>
  <si>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</si>
  <si>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</si>
  <si>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</si>
  <si>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</si>
  <si>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</si>
  <si>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</si>
  <si>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</si>
  <si>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</si>
  <si>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</si>
  <si>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</si>
  <si>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</si>
  <si>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</si>
  <si>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</si>
  <si>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</si>
  <si>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</si>
  <si>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</si>
  <si>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</si>
  <si>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</si>
  <si>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</si>
  <si>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</si>
  <si>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</si>
  <si>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</si>
  <si>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</si>
  <si>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</si>
  <si>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</si>
  <si>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</si>
  <si>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</si>
  <si>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</si>
  <si>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</si>
  <si>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</si>
  <si>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</si>
  <si>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</si>
  <si>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</si>
  <si>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</si>
  <si>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</si>
  <si>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</si>
  <si>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</si>
  <si>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</si>
  <si>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</si>
  <si>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</si>
  <si>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</si>
  <si>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</si>
  <si>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</si>
  <si>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</si>
  <si>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</si>
  <si>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</si>
  <si>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</si>
  <si>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</si>
  <si>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</si>
  <si>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</si>
  <si>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</si>
  <si>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</si>
  <si>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</si>
  <si>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</si>
  <si>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</si>
  <si>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</si>
  <si>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</si>
  <si>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</si>
  <si>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</si>
  <si>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</si>
  <si>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</si>
  <si>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</si>
  <si>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</si>
  <si>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</si>
  <si>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</si>
  <si>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</si>
  <si>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</si>
  <si>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</si>
  <si>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</si>
  <si>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</si>
  <si>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</si>
  <si>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</si>
  <si>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</si>
  <si>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</si>
  <si>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</si>
  <si>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</si>
  <si>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</si>
  <si>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</si>
  <si>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</si>
  <si>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</si>
  <si>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</si>
  <si>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</si>
  <si>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</si>
  <si>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</si>
  <si>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</si>
  <si>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</si>
  <si>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</si>
  <si>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</si>
  <si>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</si>
  <si>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</si>
  <si>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</si>
  <si>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</si>
  <si>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</si>
  <si>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</si>
  <si>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</si>
  <si>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</si>
  <si>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</si>
  <si>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</si>
  <si>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</si>
  <si>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</si>
  <si>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</si>
  <si>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</si>
  <si>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</si>
  <si>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</si>
  <si>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</si>
  <si>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</si>
  <si>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</si>
  <si>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</si>
  <si>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</si>
  <si>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</si>
  <si>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</si>
  <si>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</si>
  <si>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</si>
  <si>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</si>
  <si>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</si>
  <si>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</si>
  <si>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</si>
  <si>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</si>
  <si>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</si>
  <si>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</si>
  <si>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</si>
  <si>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</si>
  <si>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</si>
  <si>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</si>
  <si>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</si>
  <si>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</si>
  <si>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</si>
  <si>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</si>
  <si>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</si>
  <si>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</si>
  <si>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</si>
  <si>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</si>
  <si>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</si>
  <si>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</si>
  <si>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</si>
  <si>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</si>
  <si>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</si>
  <si>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</si>
  <si>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</si>
  <si>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</si>
  <si>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</si>
  <si>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</si>
  <si>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</si>
  <si>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</si>
  <si>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</si>
  <si>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</si>
  <si>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</si>
  <si>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</si>
  <si>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</si>
  <si>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</si>
  <si>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</si>
  <si>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</si>
  <si>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</si>
  <si>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</si>
  <si>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</si>
  <si>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</si>
  <si>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</si>
  <si>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</si>
  <si>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</si>
  <si>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</si>
  <si>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</si>
  <si>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</si>
  <si>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</si>
  <si>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</si>
  <si>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</si>
  <si>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</si>
  <si>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</si>
  <si>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</si>
  <si>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</si>
  <si>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</si>
  <si>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</si>
  <si>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</si>
  <si>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</si>
  <si>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</si>
  <si>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</si>
  <si>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</si>
  <si>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</si>
  <si>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</si>
  <si>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</si>
  <si>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</si>
  <si>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</si>
  <si>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</si>
  <si>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</si>
  <si>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</si>
  <si>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</si>
  <si>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</si>
  <si>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</si>
  <si>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</si>
  <si>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</si>
  <si>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</si>
  <si>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</si>
  <si>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</si>
  <si>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</si>
  <si>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</si>
  <si>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</si>
  <si>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</si>
  <si>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</si>
  <si>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</si>
  <si>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</si>
  <si>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</si>
  <si>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</si>
  <si>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</si>
  <si>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</si>
  <si>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</si>
  <si>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</si>
  <si>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</si>
  <si>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</si>
  <si>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</si>
  <si>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</si>
  <si>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</si>
  <si>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</si>
  <si>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</si>
  <si>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</si>
  <si>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</si>
  <si>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</si>
  <si>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</si>
  <si>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</si>
  <si>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</si>
  <si>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</si>
  <si>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</si>
  <si>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</si>
  <si>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</si>
  <si>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</si>
  <si>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</si>
  <si>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</si>
  <si>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</si>
  <si>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</si>
  <si>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</si>
  <si>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</si>
  <si>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</si>
  <si>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</si>
  <si>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</si>
  <si>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</si>
  <si>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</si>
  <si>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</si>
  <si>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</si>
  <si>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</si>
  <si>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</si>
  <si>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</si>
  <si>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</si>
  <si>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</si>
  <si>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</si>
  <si>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</si>
  <si>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</si>
  <si>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</si>
  <si>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</si>
  <si>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</si>
  <si>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</si>
  <si>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</si>
  <si>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</si>
  <si>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</si>
  <si>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</si>
  <si>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</si>
  <si>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</si>
  <si>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</si>
  <si>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</si>
  <si>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</si>
  <si>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</si>
  <si>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</si>
  <si>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</si>
  <si>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</si>
  <si>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</si>
  <si>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</si>
  <si>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</si>
  <si>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</si>
  <si>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</si>
  <si>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</si>
  <si>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</si>
  <si>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</si>
  <si>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</si>
  <si>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</si>
  <si>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</si>
  <si>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</si>
  <si>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</si>
  <si>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</si>
  <si>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</si>
  <si>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</si>
  <si>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</si>
  <si>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</si>
  <si>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</si>
  <si>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</si>
  <si>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</si>
  <si>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</si>
  <si>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</si>
  <si>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</si>
  <si>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</si>
  <si>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</si>
  <si>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</si>
  <si>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</si>
  <si>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</si>
  <si>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</si>
  <si>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</si>
  <si>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</si>
  <si>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</si>
  <si>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</si>
  <si>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</si>
  <si>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</si>
  <si>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</si>
  <si>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</si>
  <si>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</si>
  <si>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</si>
  <si>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</si>
  <si>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</si>
  <si>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</si>
  <si>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</si>
  <si>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</si>
  <si>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</si>
  <si>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</si>
  <si>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</si>
  <si>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</si>
  <si>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</si>
  <si>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</si>
  <si>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</si>
  <si>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</si>
  <si>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</si>
  <si>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</si>
  <si>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</si>
  <si>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</si>
  <si>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</si>
  <si>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</si>
  <si>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</si>
  <si>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</si>
  <si>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</si>
  <si>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</si>
  <si>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</si>
  <si>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</si>
  <si>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</si>
  <si>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</si>
  <si>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</si>
  <si>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</si>
  <si>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</si>
  <si>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</si>
  <si>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</si>
  <si>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</si>
  <si>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</si>
  <si>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</si>
  <si>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</si>
  <si>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</si>
  <si>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</si>
  <si>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</si>
  <si>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</si>
  <si>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</si>
  <si>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</si>
  <si>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</si>
  <si>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</si>
  <si>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</si>
  <si>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</si>
  <si>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</si>
  <si>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</si>
  <si>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</si>
  <si>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</si>
  <si>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</si>
  <si>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</si>
  <si>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</si>
  <si>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</si>
  <si>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</si>
  <si>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</si>
  <si>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</si>
  <si>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</si>
  <si>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</si>
  <si>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</si>
  <si>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</si>
  <si>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</si>
  <si>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</si>
  <si>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</si>
  <si>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</si>
  <si>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</si>
  <si>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</si>
  <si>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</si>
  <si>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</si>
  <si>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</si>
  <si>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</si>
  <si>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</si>
  <si>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</si>
  <si>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</si>
  <si>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</si>
  <si>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</si>
  <si>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</si>
  <si>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</si>
  <si>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</si>
  <si>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</si>
  <si>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</si>
  <si>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</si>
  <si>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</si>
  <si>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</si>
  <si>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</si>
  <si>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</si>
  <si>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</si>
  <si>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</si>
  <si>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</si>
  <si>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</si>
  <si>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</si>
  <si>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</si>
  <si>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</si>
  <si>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</si>
  <si>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</si>
  <si>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</si>
  <si>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</si>
  <si>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</si>
  <si>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</si>
  <si>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</si>
  <si>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</si>
  <si>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</si>
  <si>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</si>
  <si>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</si>
  <si>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</si>
  <si>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</si>
  <si>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</si>
  <si>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</si>
  <si>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</si>
  <si>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</si>
  <si>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</si>
  <si>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</si>
  <si>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</si>
  <si>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</si>
  <si>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</si>
  <si>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</si>
  <si>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</si>
  <si>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</si>
  <si>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</si>
  <si>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</si>
  <si>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</si>
  <si>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</si>
  <si>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</si>
  <si>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</si>
  <si>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</si>
  <si>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</si>
  <si>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</si>
  <si>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</si>
  <si>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</si>
  <si>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</si>
  <si>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</si>
  <si>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</si>
  <si>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</si>
  <si>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</si>
  <si>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</si>
  <si>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</si>
  <si>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</si>
  <si>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</si>
  <si>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</si>
  <si>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</si>
  <si>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</si>
  <si>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</si>
  <si>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</si>
  <si>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</si>
  <si>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</si>
  <si>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</si>
  <si>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</si>
  <si>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</si>
  <si>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</si>
  <si>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</si>
  <si>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</si>
  <si>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</si>
  <si>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</si>
  <si>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</si>
  <si>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</si>
  <si>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</si>
  <si>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</si>
  <si>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</si>
  <si>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</si>
  <si>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</si>
  <si>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</si>
  <si>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</si>
  <si>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</si>
  <si>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</si>
  <si>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</si>
  <si>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</si>
  <si>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</si>
  <si>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</si>
  <si>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</si>
  <si>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</si>
  <si>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</si>
  <si>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</si>
  <si>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</si>
  <si>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</si>
  <si>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</si>
  <si>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</si>
  <si>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</si>
  <si>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</si>
  <si>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</si>
  <si>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</si>
  <si>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</si>
  <si>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</si>
  <si>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</si>
  <si>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</si>
  <si>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</si>
  <si>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</si>
  <si>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</si>
  <si>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</si>
  <si>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</si>
  <si>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</si>
  <si>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</si>
  <si>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</si>
  <si>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</si>
  <si>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</si>
  <si>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</si>
  <si>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</si>
  <si>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</si>
  <si>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</si>
  <si>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</si>
  <si>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</si>
  <si>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</si>
  <si>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</si>
  <si>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</si>
  <si>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</si>
  <si>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</si>
  <si>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</si>
  <si>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</si>
  <si>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</si>
  <si>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</si>
  <si>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</si>
  <si>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</si>
  <si>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</si>
  <si>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</si>
  <si>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</si>
  <si>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</si>
  <si>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</si>
  <si>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</si>
  <si>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吴薇</t>
  </si>
  <si>
    <t>郑燚</t>
  </si>
  <si>
    <t>抵押</t>
  </si>
  <si>
    <t>房地产抵押价值</t>
  </si>
  <si>
    <t>北京市</t>
  </si>
  <si>
    <t>企业</t>
  </si>
  <si>
    <t>出让</t>
  </si>
  <si>
    <r>
      <rPr>
        <sz val="10"/>
        <color theme="9" tint="-0.249977111117893"/>
        <rFont val="宋体"/>
        <family val="3"/>
        <charset val="134"/>
      </rPr>
      <t>丰台区芳群园三区</t>
    </r>
    <r>
      <rPr>
        <sz val="10"/>
        <color theme="9" tint="-0.249977111117893"/>
        <rFont val="Arial"/>
        <family val="2"/>
      </rPr>
      <t>4</t>
    </r>
    <r>
      <rPr>
        <sz val="10"/>
        <color theme="9" tint="-0.249977111117893"/>
        <rFont val="宋体"/>
        <family val="3"/>
        <charset val="134"/>
      </rPr>
      <t>号楼</t>
    </r>
    <r>
      <rPr>
        <sz val="10"/>
        <color theme="9" tint="-0.249977111117893"/>
        <rFont val="Arial"/>
        <family val="2"/>
      </rPr>
      <t>(</t>
    </r>
    <r>
      <rPr>
        <sz val="10"/>
        <color theme="9" tint="-0.249977111117893"/>
        <rFont val="宋体"/>
        <family val="3"/>
        <charset val="134"/>
      </rPr>
      <t>中乐六星酒店</t>
    </r>
    <r>
      <rPr>
        <sz val="10"/>
        <color theme="9" tint="-0.249977111117893"/>
        <rFont val="Arial"/>
        <family val="2"/>
      </rPr>
      <t>)</t>
    </r>
    <phoneticPr fontId="6" type="noConversion"/>
  </si>
  <si>
    <t>商业项目</t>
  </si>
  <si>
    <t>通路</t>
  </si>
  <si>
    <t>通电</t>
  </si>
  <si>
    <t>地上</t>
  </si>
  <si>
    <t>办公楼</t>
  </si>
  <si>
    <t>是</t>
  </si>
  <si>
    <t>酒店</t>
  </si>
  <si>
    <t>抵押物清单</t>
    <phoneticPr fontId="140" type="noConversion"/>
  </si>
  <si>
    <t>序号</t>
    <phoneticPr fontId="140" type="noConversion"/>
  </si>
  <si>
    <t>《房屋所有权证》证号</t>
  </si>
  <si>
    <t>部位</t>
  </si>
  <si>
    <t>（分摊）土地面积（㎡）</t>
  </si>
  <si>
    <t>建筑面积（㎡）</t>
  </si>
  <si>
    <t>地上建筑面积</t>
  </si>
  <si>
    <t>地下建筑面积</t>
  </si>
  <si>
    <t>餐厅</t>
    <phoneticPr fontId="140" type="noConversion"/>
  </si>
  <si>
    <t>办公</t>
    <phoneticPr fontId="140" type="noConversion"/>
  </si>
  <si>
    <t>SPA会所</t>
    <phoneticPr fontId="140" type="noConversion"/>
  </si>
  <si>
    <t>客房</t>
    <phoneticPr fontId="140" type="noConversion"/>
  </si>
  <si>
    <t>月子中心</t>
    <phoneticPr fontId="140" type="noConversion"/>
  </si>
  <si>
    <t>水疗</t>
    <phoneticPr fontId="140" type="noConversion"/>
  </si>
  <si>
    <t>餐厅、商业等</t>
    <phoneticPr fontId="140" type="noConversion"/>
  </si>
  <si>
    <t>-1层</t>
    <phoneticPr fontId="140" type="noConversion"/>
  </si>
  <si>
    <t>-1层-101号</t>
    <phoneticPr fontId="140" type="noConversion"/>
  </si>
  <si>
    <t>负1</t>
    <phoneticPr fontId="140" type="noConversion"/>
  </si>
  <si>
    <t>X京房权证丰字第421741号</t>
    <phoneticPr fontId="140" type="noConversion"/>
  </si>
  <si>
    <t>KTV</t>
    <phoneticPr fontId="140" type="noConversion"/>
  </si>
  <si>
    <r>
      <t>X</t>
    </r>
    <r>
      <rPr>
        <sz val="9"/>
        <color indexed="8"/>
        <rFont val="Arial Unicode MS"/>
        <family val="2"/>
        <charset val="134"/>
      </rPr>
      <t>京房权证丰字第421749号</t>
    </r>
  </si>
  <si>
    <r>
      <t>1-2</t>
    </r>
    <r>
      <rPr>
        <sz val="9"/>
        <color indexed="8"/>
        <rFont val="Arial Unicode MS"/>
        <family val="2"/>
        <charset val="134"/>
      </rPr>
      <t>层101</t>
    </r>
  </si>
  <si>
    <t>1-2层</t>
    <phoneticPr fontId="140" type="noConversion"/>
  </si>
  <si>
    <t>1、2</t>
    <phoneticPr fontId="140" type="noConversion"/>
  </si>
  <si>
    <r>
      <t>X</t>
    </r>
    <r>
      <rPr>
        <sz val="9"/>
        <color indexed="8"/>
        <rFont val="Arial Unicode MS"/>
        <family val="2"/>
        <charset val="134"/>
      </rPr>
      <t>京房权证丰字第421733号</t>
    </r>
  </si>
  <si>
    <r>
      <t>3</t>
    </r>
    <r>
      <rPr>
        <sz val="9"/>
        <color indexed="8"/>
        <rFont val="Arial Unicode MS"/>
        <family val="2"/>
        <charset val="134"/>
      </rPr>
      <t>层301</t>
    </r>
  </si>
  <si>
    <r>
      <t>X</t>
    </r>
    <r>
      <rPr>
        <sz val="9"/>
        <color indexed="8"/>
        <rFont val="Arial Unicode MS"/>
        <family val="2"/>
        <charset val="134"/>
      </rPr>
      <t>京房权证丰字第421732号</t>
    </r>
  </si>
  <si>
    <r>
      <t>4</t>
    </r>
    <r>
      <rPr>
        <sz val="9"/>
        <color indexed="8"/>
        <rFont val="Arial Unicode MS"/>
        <family val="2"/>
        <charset val="134"/>
      </rPr>
      <t>层401</t>
    </r>
  </si>
  <si>
    <r>
      <t>X</t>
    </r>
    <r>
      <rPr>
        <sz val="9"/>
        <color indexed="8"/>
        <rFont val="Arial Unicode MS"/>
        <family val="2"/>
        <charset val="134"/>
      </rPr>
      <t>京房权证丰字第421779号</t>
    </r>
  </si>
  <si>
    <r>
      <t>5</t>
    </r>
    <r>
      <rPr>
        <sz val="9"/>
        <color indexed="8"/>
        <rFont val="Arial Unicode MS"/>
        <family val="2"/>
        <charset val="134"/>
      </rPr>
      <t>层501</t>
    </r>
  </si>
  <si>
    <r>
      <t>X</t>
    </r>
    <r>
      <rPr>
        <sz val="9"/>
        <color indexed="8"/>
        <rFont val="Arial Unicode MS"/>
        <family val="2"/>
        <charset val="134"/>
      </rPr>
      <t>京房权证丰字第421778号</t>
    </r>
  </si>
  <si>
    <r>
      <t>6</t>
    </r>
    <r>
      <rPr>
        <sz val="9"/>
        <color indexed="8"/>
        <rFont val="Arial Unicode MS"/>
        <family val="2"/>
        <charset val="134"/>
      </rPr>
      <t>层601</t>
    </r>
  </si>
  <si>
    <r>
      <t>X</t>
    </r>
    <r>
      <rPr>
        <sz val="9"/>
        <color indexed="8"/>
        <rFont val="Arial Unicode MS"/>
        <family val="2"/>
        <charset val="134"/>
      </rPr>
      <t>京房权证丰字第421777号</t>
    </r>
  </si>
  <si>
    <r>
      <t>7</t>
    </r>
    <r>
      <rPr>
        <sz val="9"/>
        <color indexed="8"/>
        <rFont val="Arial Unicode MS"/>
        <family val="2"/>
        <charset val="134"/>
      </rPr>
      <t>层701</t>
    </r>
  </si>
  <si>
    <r>
      <t>X</t>
    </r>
    <r>
      <rPr>
        <sz val="9"/>
        <color indexed="8"/>
        <rFont val="Arial Unicode MS"/>
        <family val="2"/>
        <charset val="134"/>
      </rPr>
      <t>京房权证丰字第421776号</t>
    </r>
  </si>
  <si>
    <r>
      <t>8</t>
    </r>
    <r>
      <rPr>
        <sz val="9"/>
        <color indexed="8"/>
        <rFont val="Arial Unicode MS"/>
        <family val="2"/>
        <charset val="134"/>
      </rPr>
      <t>层801</t>
    </r>
  </si>
  <si>
    <r>
      <t>X</t>
    </r>
    <r>
      <rPr>
        <sz val="9"/>
        <color indexed="8"/>
        <rFont val="Arial Unicode MS"/>
        <family val="2"/>
        <charset val="134"/>
      </rPr>
      <t>京房权证丰字第421775号</t>
    </r>
  </si>
  <si>
    <r>
      <t>9</t>
    </r>
    <r>
      <rPr>
        <sz val="9"/>
        <color indexed="8"/>
        <rFont val="Arial Unicode MS"/>
        <family val="2"/>
        <charset val="134"/>
      </rPr>
      <t>层901</t>
    </r>
  </si>
  <si>
    <r>
      <t>X</t>
    </r>
    <r>
      <rPr>
        <sz val="9"/>
        <color indexed="8"/>
        <rFont val="Arial Unicode MS"/>
        <family val="2"/>
        <charset val="134"/>
      </rPr>
      <t>京房权证丰字第421774号</t>
    </r>
  </si>
  <si>
    <r>
      <t>10</t>
    </r>
    <r>
      <rPr>
        <sz val="9"/>
        <color indexed="8"/>
        <rFont val="Arial Unicode MS"/>
        <family val="2"/>
        <charset val="134"/>
      </rPr>
      <t>层1001</t>
    </r>
  </si>
  <si>
    <r>
      <t>X</t>
    </r>
    <r>
      <rPr>
        <sz val="9"/>
        <color indexed="8"/>
        <rFont val="Arial Unicode MS"/>
        <family val="2"/>
        <charset val="134"/>
      </rPr>
      <t>京房权证丰字第421773号</t>
    </r>
  </si>
  <si>
    <r>
      <t>11</t>
    </r>
    <r>
      <rPr>
        <sz val="9"/>
        <color indexed="8"/>
        <rFont val="Arial Unicode MS"/>
        <family val="2"/>
        <charset val="134"/>
      </rPr>
      <t>层1101</t>
    </r>
  </si>
  <si>
    <r>
      <t>X</t>
    </r>
    <r>
      <rPr>
        <sz val="9"/>
        <color indexed="8"/>
        <rFont val="Arial Unicode MS"/>
        <family val="2"/>
        <charset val="134"/>
      </rPr>
      <t>京房权证丰字第421759号</t>
    </r>
  </si>
  <si>
    <r>
      <t>12</t>
    </r>
    <r>
      <rPr>
        <sz val="9"/>
        <color indexed="8"/>
        <rFont val="Arial Unicode MS"/>
        <family val="2"/>
        <charset val="134"/>
      </rPr>
      <t>层1201</t>
    </r>
  </si>
  <si>
    <r>
      <t>X</t>
    </r>
    <r>
      <rPr>
        <sz val="9"/>
        <color indexed="8"/>
        <rFont val="Arial Unicode MS"/>
        <family val="2"/>
        <charset val="134"/>
      </rPr>
      <t>京房权证丰字第421757号</t>
    </r>
  </si>
  <si>
    <r>
      <t>13</t>
    </r>
    <r>
      <rPr>
        <sz val="9"/>
        <color indexed="8"/>
        <rFont val="Arial Unicode MS"/>
        <family val="2"/>
        <charset val="134"/>
      </rPr>
      <t>层1301</t>
    </r>
  </si>
  <si>
    <r>
      <t>X</t>
    </r>
    <r>
      <rPr>
        <sz val="9"/>
        <color indexed="8"/>
        <rFont val="Arial Unicode MS"/>
        <family val="2"/>
        <charset val="134"/>
      </rPr>
      <t>京房权证丰字第421755号</t>
    </r>
  </si>
  <si>
    <r>
      <t>14</t>
    </r>
    <r>
      <rPr>
        <sz val="9"/>
        <color indexed="8"/>
        <rFont val="Arial Unicode MS"/>
        <family val="2"/>
        <charset val="134"/>
      </rPr>
      <t>层1401</t>
    </r>
  </si>
  <si>
    <r>
      <t>X</t>
    </r>
    <r>
      <rPr>
        <sz val="9"/>
        <color indexed="8"/>
        <rFont val="Arial Unicode MS"/>
        <family val="2"/>
        <charset val="134"/>
      </rPr>
      <t>京房权证丰字第421754号</t>
    </r>
  </si>
  <si>
    <r>
      <t>15</t>
    </r>
    <r>
      <rPr>
        <sz val="9"/>
        <color indexed="8"/>
        <rFont val="Arial Unicode MS"/>
        <family val="2"/>
        <charset val="134"/>
      </rPr>
      <t>层1501</t>
    </r>
  </si>
  <si>
    <r>
      <t>X</t>
    </r>
    <r>
      <rPr>
        <sz val="9"/>
        <color indexed="8"/>
        <rFont val="Arial Unicode MS"/>
        <family val="2"/>
        <charset val="134"/>
      </rPr>
      <t>京房权证丰字第421753号</t>
    </r>
  </si>
  <si>
    <r>
      <t>16</t>
    </r>
    <r>
      <rPr>
        <sz val="9"/>
        <color indexed="8"/>
        <rFont val="Arial Unicode MS"/>
        <family val="2"/>
        <charset val="134"/>
      </rPr>
      <t>层1601</t>
    </r>
  </si>
  <si>
    <r>
      <t>X</t>
    </r>
    <r>
      <rPr>
        <sz val="9"/>
        <color indexed="8"/>
        <rFont val="Arial Unicode MS"/>
        <family val="2"/>
        <charset val="134"/>
      </rPr>
      <t>京房权证丰字第421751号</t>
    </r>
  </si>
  <si>
    <r>
      <t>17</t>
    </r>
    <r>
      <rPr>
        <sz val="9"/>
        <color indexed="8"/>
        <rFont val="Arial Unicode MS"/>
        <family val="2"/>
        <charset val="134"/>
      </rPr>
      <t>层1701</t>
    </r>
  </si>
  <si>
    <r>
      <t>X</t>
    </r>
    <r>
      <rPr>
        <sz val="9"/>
        <color indexed="8"/>
        <rFont val="Arial Unicode MS"/>
        <family val="2"/>
        <charset val="134"/>
      </rPr>
      <t>京房权证丰字第421797号</t>
    </r>
  </si>
  <si>
    <r>
      <t>18</t>
    </r>
    <r>
      <rPr>
        <sz val="9"/>
        <color indexed="8"/>
        <rFont val="Arial Unicode MS"/>
        <family val="2"/>
        <charset val="134"/>
      </rPr>
      <t>层1801</t>
    </r>
  </si>
  <si>
    <r>
      <t>X</t>
    </r>
    <r>
      <rPr>
        <sz val="9"/>
        <color indexed="8"/>
        <rFont val="Arial Unicode MS"/>
        <family val="2"/>
        <charset val="134"/>
      </rPr>
      <t>京房权证丰字第421788号</t>
    </r>
  </si>
  <si>
    <r>
      <t>19</t>
    </r>
    <r>
      <rPr>
        <sz val="9"/>
        <color indexed="8"/>
        <rFont val="Arial Unicode MS"/>
        <family val="2"/>
        <charset val="134"/>
      </rPr>
      <t>层1901</t>
    </r>
  </si>
  <si>
    <r>
      <t>X</t>
    </r>
    <r>
      <rPr>
        <sz val="9"/>
        <color indexed="8"/>
        <rFont val="Arial Unicode MS"/>
        <family val="2"/>
        <charset val="134"/>
      </rPr>
      <t>京房权证丰字第421786号</t>
    </r>
  </si>
  <si>
    <r>
      <t>20</t>
    </r>
    <r>
      <rPr>
        <sz val="9"/>
        <color indexed="8"/>
        <rFont val="Arial Unicode MS"/>
        <family val="2"/>
        <charset val="134"/>
      </rPr>
      <t>层2001</t>
    </r>
  </si>
  <si>
    <r>
      <t>X</t>
    </r>
    <r>
      <rPr>
        <sz val="9"/>
        <color indexed="8"/>
        <rFont val="Arial Unicode MS"/>
        <family val="2"/>
        <charset val="134"/>
      </rPr>
      <t>京房权证丰字第421793号</t>
    </r>
  </si>
  <si>
    <r>
      <t>21</t>
    </r>
    <r>
      <rPr>
        <sz val="9"/>
        <color indexed="8"/>
        <rFont val="Arial Unicode MS"/>
        <family val="2"/>
        <charset val="134"/>
      </rPr>
      <t>层2101</t>
    </r>
  </si>
  <si>
    <r>
      <t>X</t>
    </r>
    <r>
      <rPr>
        <sz val="9"/>
        <color indexed="8"/>
        <rFont val="Arial Unicode MS"/>
        <family val="2"/>
        <charset val="134"/>
      </rPr>
      <t>京房权证丰字第421745号</t>
    </r>
  </si>
  <si>
    <r>
      <t>22</t>
    </r>
    <r>
      <rPr>
        <sz val="9"/>
        <color indexed="8"/>
        <rFont val="Arial Unicode MS"/>
        <family val="2"/>
        <charset val="134"/>
      </rPr>
      <t>层2201</t>
    </r>
  </si>
  <si>
    <r>
      <t>X</t>
    </r>
    <r>
      <rPr>
        <sz val="9"/>
        <color indexed="8"/>
        <rFont val="Arial Unicode MS"/>
        <family val="2"/>
        <charset val="134"/>
      </rPr>
      <t>京房权证丰字第421794号</t>
    </r>
  </si>
  <si>
    <r>
      <t>23</t>
    </r>
    <r>
      <rPr>
        <sz val="9"/>
        <color indexed="8"/>
        <rFont val="Arial Unicode MS"/>
        <family val="2"/>
        <charset val="134"/>
      </rPr>
      <t>层2301</t>
    </r>
  </si>
  <si>
    <r>
      <t>X</t>
    </r>
    <r>
      <rPr>
        <sz val="9"/>
        <color indexed="8"/>
        <rFont val="Arial Unicode MS"/>
        <family val="2"/>
        <charset val="134"/>
      </rPr>
      <t>京房权证丰字第421746号</t>
    </r>
  </si>
  <si>
    <r>
      <t>24</t>
    </r>
    <r>
      <rPr>
        <sz val="9"/>
        <color indexed="8"/>
        <rFont val="Arial Unicode MS"/>
        <family val="2"/>
        <charset val="134"/>
      </rPr>
      <t>层2401</t>
    </r>
  </si>
  <si>
    <r>
      <t>X</t>
    </r>
    <r>
      <rPr>
        <sz val="9"/>
        <color indexed="8"/>
        <rFont val="Arial Unicode MS"/>
        <family val="2"/>
        <charset val="134"/>
      </rPr>
      <t>京房权证丰字第421787号</t>
    </r>
  </si>
  <si>
    <r>
      <t>25</t>
    </r>
    <r>
      <rPr>
        <sz val="9"/>
        <color indexed="8"/>
        <rFont val="Arial Unicode MS"/>
        <family val="2"/>
        <charset val="134"/>
      </rPr>
      <t>层2501</t>
    </r>
  </si>
  <si>
    <r>
      <t>X</t>
    </r>
    <r>
      <rPr>
        <sz val="9"/>
        <color indexed="8"/>
        <rFont val="Arial Unicode MS"/>
        <family val="2"/>
        <charset val="134"/>
      </rPr>
      <t>京房权证丰字第421783号</t>
    </r>
  </si>
  <si>
    <r>
      <t>26</t>
    </r>
    <r>
      <rPr>
        <sz val="9"/>
        <color indexed="8"/>
        <rFont val="Arial Unicode MS"/>
        <family val="2"/>
        <charset val="134"/>
      </rPr>
      <t>层2601</t>
    </r>
  </si>
  <si>
    <r>
      <t>X</t>
    </r>
    <r>
      <rPr>
        <sz val="9"/>
        <color indexed="8"/>
        <rFont val="Arial Unicode MS"/>
        <family val="2"/>
        <charset val="134"/>
      </rPr>
      <t>京房权证丰字第421780号</t>
    </r>
  </si>
  <si>
    <r>
      <t>27</t>
    </r>
    <r>
      <rPr>
        <sz val="9"/>
        <color indexed="8"/>
        <rFont val="Arial Unicode MS"/>
        <family val="2"/>
        <charset val="134"/>
      </rPr>
      <t>层2701</t>
    </r>
  </si>
  <si>
    <r>
      <t>X</t>
    </r>
    <r>
      <rPr>
        <sz val="9"/>
        <color indexed="8"/>
        <rFont val="Arial Unicode MS"/>
        <family val="2"/>
        <charset val="134"/>
      </rPr>
      <t>京房权证丰字第421782号</t>
    </r>
  </si>
  <si>
    <r>
      <t>28</t>
    </r>
    <r>
      <rPr>
        <sz val="9"/>
        <color indexed="8"/>
        <rFont val="Arial Unicode MS"/>
        <family val="2"/>
        <charset val="134"/>
      </rPr>
      <t>层2801</t>
    </r>
  </si>
  <si>
    <r>
      <t>X</t>
    </r>
    <r>
      <rPr>
        <sz val="9"/>
        <color indexed="8"/>
        <rFont val="Arial Unicode MS"/>
        <family val="2"/>
        <charset val="134"/>
      </rPr>
      <t>京房权证丰字第421739号</t>
    </r>
  </si>
  <si>
    <r>
      <t>29</t>
    </r>
    <r>
      <rPr>
        <sz val="9"/>
        <color indexed="8"/>
        <rFont val="Arial Unicode MS"/>
        <family val="2"/>
        <charset val="134"/>
      </rPr>
      <t>层2901</t>
    </r>
  </si>
  <si>
    <r>
      <t>X</t>
    </r>
    <r>
      <rPr>
        <sz val="9"/>
        <color indexed="8"/>
        <rFont val="Arial Unicode MS"/>
        <family val="2"/>
        <charset val="134"/>
      </rPr>
      <t>京房权证丰字第421736号</t>
    </r>
  </si>
  <si>
    <r>
      <t>30</t>
    </r>
    <r>
      <rPr>
        <sz val="9"/>
        <color indexed="8"/>
        <rFont val="Arial Unicode MS"/>
        <family val="2"/>
        <charset val="134"/>
      </rPr>
      <t>层3001</t>
    </r>
  </si>
  <si>
    <r>
      <t>X</t>
    </r>
    <r>
      <rPr>
        <sz val="9"/>
        <color indexed="8"/>
        <rFont val="Arial Unicode MS"/>
        <family val="2"/>
        <charset val="134"/>
      </rPr>
      <t>京房权证丰字第421789号</t>
    </r>
  </si>
  <si>
    <r>
      <t>31</t>
    </r>
    <r>
      <rPr>
        <sz val="9"/>
        <color indexed="8"/>
        <rFont val="Arial Unicode MS"/>
        <family val="2"/>
        <charset val="134"/>
      </rPr>
      <t>层3101</t>
    </r>
  </si>
  <si>
    <r>
      <t>X</t>
    </r>
    <r>
      <rPr>
        <sz val="9"/>
        <color indexed="8"/>
        <rFont val="Arial Unicode MS"/>
        <family val="2"/>
        <charset val="134"/>
      </rPr>
      <t>京房权证丰字第421790号</t>
    </r>
  </si>
  <si>
    <r>
      <t>32</t>
    </r>
    <r>
      <rPr>
        <sz val="9"/>
        <color indexed="8"/>
        <rFont val="Arial Unicode MS"/>
        <family val="2"/>
        <charset val="134"/>
      </rPr>
      <t>层3201</t>
    </r>
  </si>
  <si>
    <t>38-41</t>
    <phoneticPr fontId="140" type="noConversion"/>
  </si>
  <si>
    <t>地下</t>
  </si>
  <si>
    <r>
      <t>1-2</t>
    </r>
    <r>
      <rPr>
        <sz val="10"/>
        <color indexed="8"/>
        <rFont val="宋体"/>
        <family val="3"/>
        <charset val="134"/>
      </rPr>
      <t>层饭店</t>
    </r>
    <phoneticPr fontId="7" type="noConversion"/>
  </si>
  <si>
    <t>办公</t>
    <phoneticPr fontId="7" type="noConversion"/>
  </si>
  <si>
    <t>成新度</t>
  </si>
  <si>
    <t>收益法</t>
  </si>
  <si>
    <t>1-2层饭店</t>
  </si>
  <si>
    <t>成本法</t>
  </si>
  <si>
    <t>现房</t>
  </si>
  <si>
    <t>押一</t>
  </si>
  <si>
    <t>按租金收入计税</t>
  </si>
  <si>
    <t>钢混</t>
  </si>
  <si>
    <t>非生产用房</t>
  </si>
  <si>
    <t>商务金融用地（办公类）</t>
  </si>
  <si>
    <t>不临58条商业街</t>
  </si>
  <si>
    <t>与级别开发程度一致</t>
  </si>
  <si>
    <t>地价指数</t>
  </si>
  <si>
    <t>一般</t>
  </si>
  <si>
    <t>较好</t>
  </si>
  <si>
    <t>较差</t>
  </si>
  <si>
    <t>好</t>
  </si>
  <si>
    <t>容积率修正</t>
  </si>
  <si>
    <t>未包含在土地购买价格中</t>
  </si>
  <si>
    <t>全部缴纳</t>
  </si>
  <si>
    <t>已包含在土地取得成本中</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</si>
  <si>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</si>
  <si>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</si>
  <si>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收益法 (办公)</t>
  </si>
  <si>
    <t>收益法 (办公)</t>
    <phoneticPr fontId="16" type="noConversion"/>
  </si>
  <si>
    <t>楼层</t>
    <phoneticPr fontId="3" type="noConversion"/>
  </si>
  <si>
    <t>租金</t>
    <phoneticPr fontId="3" type="noConversion"/>
  </si>
  <si>
    <t>系数</t>
    <phoneticPr fontId="3" type="noConversion"/>
  </si>
  <si>
    <t>面积</t>
    <phoneticPr fontId="3" type="noConversion"/>
  </si>
  <si>
    <t>办公</t>
    <phoneticPr fontId="3" type="noConversion"/>
  </si>
  <si>
    <t>综合租金</t>
    <phoneticPr fontId="3" type="noConversion"/>
  </si>
  <si>
    <t>收益法（汇总）</t>
  </si>
  <si>
    <t>总价</t>
  </si>
  <si>
    <t>成本比率</t>
  </si>
  <si>
    <t>出让国有建设用地使用权价值</t>
  </si>
  <si>
    <t>房地产价值</t>
  </si>
  <si>
    <t>总 价</t>
  </si>
  <si>
    <t>楼面单价</t>
  </si>
  <si>
    <t>建筑物价值</t>
  </si>
  <si>
    <t>土地面积</t>
  </si>
  <si>
    <t>建筑面积</t>
  </si>
  <si>
    <t>建筑物价值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</si>
</sst>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9" tint="-0.249977111117893"/>
      <name val="Arial"/>
      <family val="3"/>
      <charset val="134"/>
    </font>
    <font>
      <sz val="9"/>
      <color theme="1"/>
      <name val="Arial Unicode MS"/>
      <family val="2"/>
      <charset val="134"/>
    </font>
    <font>
      <sz val="11"/>
      <color theme="1"/>
      <name val="Arial Unicode MS"/>
      <family val="2"/>
      <charset val="134"/>
    </font>
    <font>
      <b/>
      <sz val="9"/>
      <color rgb="FF000000"/>
      <name val="Arial Unicode MS"/>
      <family val="2"/>
      <charset val="134"/>
    </font>
    <font>
      <sz val="9"/>
      <color rgb="FF000000"/>
      <name val="Arial Unicode MS"/>
      <family val="2"/>
      <charset val="134"/>
    </font>
    <font>
      <sz val="9"/>
      <color indexed="8"/>
      <name val="Arial Unicode MS"/>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55" fillId="13" borderId="4" xfId="0" applyNumberFormat="1" applyFont="1" applyFill="1" applyBorder="1" applyAlignment="1" applyProtection="1">
      <alignment horizontal="left" vertical="center"/>
      <protection locked="0"/>
    </xf>
    <xf numFmtId="0" fontId="257" fillId="0" borderId="0" xfId="0" applyFont="1" applyAlignment="1">
      <alignment vertical="center" wrapText="1"/>
    </xf>
    <xf numFmtId="0" fontId="258" fillId="0" borderId="1" xfId="0" applyFont="1" applyBorder="1" applyAlignment="1">
      <alignment horizontal="center" vertical="center" wrapText="1"/>
    </xf>
    <xf numFmtId="0" fontId="256" fillId="0" borderId="1" xfId="0" applyFont="1" applyBorder="1" applyAlignment="1">
      <alignment horizontal="center" vertical="center" wrapText="1"/>
    </xf>
    <xf numFmtId="0" fontId="259" fillId="0" borderId="1" xfId="0" applyFont="1" applyBorder="1" applyAlignment="1">
      <alignment horizontal="center" vertical="center" wrapText="1"/>
    </xf>
    <xf numFmtId="49" fontId="259" fillId="0" borderId="1" xfId="0" applyNumberFormat="1" applyFont="1" applyBorder="1" applyAlignment="1">
      <alignment horizontal="center" vertical="center" wrapText="1"/>
    </xf>
    <xf numFmtId="49" fontId="257" fillId="0" borderId="0" xfId="0" applyNumberFormat="1" applyFont="1" applyAlignment="1">
      <alignment vertical="center" wrapText="1"/>
    </xf>
    <xf numFmtId="0" fontId="259"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177" fontId="55" fillId="9" borderId="1" xfId="1" applyNumberFormat="1" applyFont="1" applyFill="1" applyBorder="1" applyAlignment="1" applyProtection="1">
      <alignment horizontal="center"/>
      <protection locked="0"/>
    </xf>
    <xf numFmtId="0" fontId="79" fillId="13" borderId="0" xfId="0" applyFont="1" applyFill="1" applyAlignment="1" applyProtection="1">
      <alignment vertical="center"/>
      <protection locked="0"/>
    </xf>
    <xf numFmtId="0" fontId="103" fillId="6" borderId="0" xfId="0" applyFont="1" applyFill="1" applyAlignment="1" applyProtection="1">
      <alignment horizontal="center" vertical="center"/>
      <protection locked="0"/>
    </xf>
    <xf numFmtId="0" fontId="257" fillId="0" borderId="1" xfId="0" applyFont="1" applyBorder="1" applyAlignment="1">
      <alignmen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3" fontId="257" fillId="0" borderId="1" xfId="17" applyFont="1" applyBorder="1" applyAlignment="1">
      <alignment horizontal="center" vertical="center" wrapText="1"/>
    </xf>
    <xf numFmtId="0" fontId="256" fillId="0" borderId="1" xfId="0" applyFont="1" applyBorder="1" applyAlignment="1">
      <alignment horizontal="center" vertical="center" wrapText="1"/>
    </xf>
    <xf numFmtId="0" fontId="258" fillId="0" borderId="1" xfId="0" applyFont="1" applyBorder="1" applyAlignment="1">
      <alignment horizontal="center" vertical="center" wrapText="1"/>
    </xf>
    <xf numFmtId="182" fontId="257" fillId="0" borderId="0" xfId="0" applyNumberFormat="1" applyFont="1" applyAlignment="1">
      <alignment horizontal="center" vertical="center" wrapText="1"/>
    </xf>
    <xf numFmtId="0" fontId="257" fillId="0" borderId="1" xfId="0" applyFont="1" applyBorder="1" applyAlignment="1">
      <alignment horizontal="center" vertical="center" wrapText="1"/>
    </xf>
    <xf numFmtId="0" fontId="257"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9"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9" borderId="13" xfId="0" applyFont="1" applyFill="1" applyBorder="1" applyAlignment="1" applyProtection="1">
      <alignment horizontal="center" vertical="center"/>
      <protection locked="0"/>
    </xf>
    <xf numFmtId="0" fontId="46" fillId="9" borderId="15" xfId="0" applyFont="1" applyFill="1" applyBorder="1" applyAlignment="1" applyProtection="1">
      <alignment horizontal="center" vertical="center"/>
      <protection locked="0"/>
    </xf>
    <xf numFmtId="0" fontId="46" fillId="9"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北京市丰台区芳群园三区4号楼(中乐六星酒店)房地产抵押价值预评估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受贵公司委托，我公司对北京市丰台区芳群园三区4号楼(中乐六星酒店)房地产抵押价值进行了预评估。</v>
      </c>
    </row>
    <row r="7" spans="1:2" s="1365" customFormat="1">
      <c r="A7" s="1363" t="s">
        <v>1231</v>
      </c>
      <c r="B7" s="1364" t="str">
        <f>'预评函-1'!A7</f>
        <v>估价对象为北京市丰台区芳群园三区4号楼(中乐六星酒店)房地产，为所有。根据，估价对象（分摊）出让国有建设用地使用权面积为5000平方米，建筑面积为30509.72平方米。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丰台区芳群园三区4号楼(中乐六星酒店)房地产,属开发建设的商业项目，该项目尚在开发建设中。根据，估价对象（分摊）出让国有建设用地使用权面积为5000平方米，规划建筑面积为30509.72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2020年10月16日（评估专业人员实地查勘之日）</v>
      </c>
    </row>
    <row r="13" spans="1:2" s="1365" customFormat="1">
      <c r="A13" s="1363" t="s">
        <v>1194</v>
      </c>
      <c r="B13" s="1364" t="str">
        <f>'预评函-1'!A18</f>
        <v>本次估价的“房地产价值”是指在正常市场情况下，在价值时点2020年10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78399</v>
      </c>
    </row>
    <row r="21" spans="1:2" s="1365" customFormat="1">
      <c r="A21" s="1363" t="s">
        <v>1202</v>
      </c>
      <c r="B21" s="1364">
        <f ca="1">'预评函-2'!D7</f>
        <v>25696</v>
      </c>
    </row>
    <row r="22" spans="1:2" s="1365" customFormat="1">
      <c r="A22" s="1363" t="s">
        <v>1203</v>
      </c>
      <c r="B22" s="1364" t="str">
        <f ca="1">'预评函-2'!D6</f>
        <v>柒亿捌仟叁佰玖拾玖万元整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78399</v>
      </c>
    </row>
    <row r="31" spans="1:2" s="1365" customFormat="1">
      <c r="A31" s="1363" t="s">
        <v>1241</v>
      </c>
      <c r="B31" s="1364">
        <f ca="1">'预评函-2'!D15</f>
        <v>25696</v>
      </c>
    </row>
    <row r="32" spans="1:2" s="1365" customFormat="1">
      <c r="A32" s="1363" t="s">
        <v>1208</v>
      </c>
      <c r="B32" s="1364" t="str">
        <f ca="1">'预评函-2'!D14</f>
        <v>柒亿捌仟叁佰玖拾玖万元整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北京市丰台区芳群园三区4号楼(中乐六星酒店)房地产</v>
      </c>
    </row>
    <row r="42" spans="1:2" s="1365" customFormat="1">
      <c r="A42" s="1363" t="s">
        <v>1255</v>
      </c>
      <c r="B42" s="1364" t="str">
        <f>'预评函-3'!B2</f>
        <v>建筑面积</v>
      </c>
    </row>
    <row r="43" spans="1:2" s="1365" customFormat="1">
      <c r="A43" s="1363" t="s">
        <v>1256</v>
      </c>
      <c r="B43" s="1364">
        <f>'预评函-3'!B4</f>
        <v>30509.71999999999</v>
      </c>
    </row>
    <row r="44" spans="1:2" s="1365" customFormat="1">
      <c r="A44" s="1363" t="s">
        <v>1240</v>
      </c>
      <c r="B44" s="1364" t="str">
        <f>'预评函-3'!C2</f>
        <v>(分摊)土地面积</v>
      </c>
    </row>
    <row r="45" spans="1:2" s="1365" customFormat="1">
      <c r="A45" s="1363" t="s">
        <v>1212</v>
      </c>
      <c r="B45" s="1364">
        <f>'预评函-3'!C4</f>
        <v>5000</v>
      </c>
    </row>
    <row r="46" spans="1:2" s="1365" customFormat="1">
      <c r="A46" s="1363" t="s">
        <v>1238</v>
      </c>
      <c r="B46" s="1364" t="str">
        <f>'预评函-3'!D2</f>
        <v>出让国有建设用地使用权价值</v>
      </c>
    </row>
    <row r="47" spans="1:2" s="1365" customFormat="1">
      <c r="A47" s="1363" t="s">
        <v>1213</v>
      </c>
      <c r="B47" s="1364">
        <f ca="1">'预评函-3'!D4</f>
        <v>58329</v>
      </c>
    </row>
    <row r="48" spans="1:2" s="1365" customFormat="1">
      <c r="A48" s="1363" t="s">
        <v>1214</v>
      </c>
      <c r="B48" s="1364">
        <f ca="1">'预评函-3'!E4</f>
        <v>19118</v>
      </c>
    </row>
    <row r="49" spans="1:2" s="1365" customFormat="1">
      <c r="A49" s="1363" t="s">
        <v>1215</v>
      </c>
      <c r="B49" s="1364" t="str">
        <f ca="1">'预评函-3'!D5</f>
        <v>伍亿捌仟叁佰贰拾玖万元整</v>
      </c>
    </row>
    <row r="50" spans="1:2" s="1365" customFormat="1">
      <c r="A50" s="1363" t="s">
        <v>1239</v>
      </c>
      <c r="B50" s="1364" t="str">
        <f>'预评函-3'!F2</f>
        <v>建筑物价值</v>
      </c>
    </row>
    <row r="51" spans="1:2" s="1365" customFormat="1">
      <c r="A51" s="1363" t="s">
        <v>1216</v>
      </c>
      <c r="B51" s="1364">
        <f ca="1">'预评函-3'!F4</f>
        <v>20070</v>
      </c>
    </row>
    <row r="52" spans="1:2" s="1365" customFormat="1">
      <c r="A52" s="1363" t="s">
        <v>1217</v>
      </c>
      <c r="B52" s="1364">
        <f ca="1">'预评函-3'!G4</f>
        <v>6578</v>
      </c>
    </row>
    <row r="53" spans="1:2" s="1365" customFormat="1">
      <c r="A53" s="1363" t="s">
        <v>1245</v>
      </c>
      <c r="B53" s="1364" t="str">
        <f ca="1">'预评函-3'!F5</f>
        <v>贰亿零柒拾万元整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6" sqref="F26"/>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3035</v>
      </c>
      <c r="C17" s="1734"/>
    </row>
    <row r="18" spans="1:3">
      <c r="A18" s="1733" t="s">
        <v>1732</v>
      </c>
      <c r="B18" s="1733" t="s">
        <v>757</v>
      </c>
      <c r="C18" s="1734"/>
    </row>
    <row r="19" spans="1:3">
      <c r="A19" s="1733" t="s">
        <v>1733</v>
      </c>
      <c r="B19" s="1733" t="s">
        <v>3184</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1741" t="s">
        <v>832</v>
      </c>
      <c r="C54" s="1738" t="s">
        <v>1248</v>
      </c>
    </row>
    <row r="55" spans="1:4">
      <c r="A55" s="3111"/>
      <c r="B55" s="1741" t="s">
        <v>833</v>
      </c>
      <c r="C55" s="1738" t="s">
        <v>1249</v>
      </c>
    </row>
    <row r="56" spans="1:4">
      <c r="A56" s="3111"/>
      <c r="B56" s="1741" t="s">
        <v>834</v>
      </c>
      <c r="C56" s="1738" t="s">
        <v>1253</v>
      </c>
    </row>
    <row r="57" spans="1:4">
      <c r="A57" s="311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2912</v>
      </c>
      <c r="B1" s="3112" t="str">
        <f>IF(B10="北京市","北京市",C10)&amp;F10&amp;IF(结果表!G1="在建","出让国有建设用地使用权及在建建筑物",IF(结果表!G1="土地","出让国有建设用地使用权",))&amp;B9&amp;"预评估"</f>
        <v>北京市丰台区芳群园三区4号楼(中乐六星酒店)房地产抵押价值预评估</v>
      </c>
      <c r="C1" s="3113"/>
      <c r="D1" s="3113"/>
      <c r="E1" s="3113"/>
      <c r="F1" s="3113"/>
      <c r="G1" s="3113"/>
      <c r="H1" s="3113"/>
      <c r="I1" s="3114"/>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北京市丰台区芳群园三区4号楼(中乐六星酒店)房地产抵押价值</v>
      </c>
      <c r="T1" s="1933"/>
      <c r="U1" s="1933"/>
      <c r="V1" s="1933"/>
      <c r="W1" s="1933"/>
      <c r="X1" s="1933"/>
      <c r="Y1" s="1933"/>
      <c r="Z1" s="1933"/>
      <c r="AA1" s="1933"/>
      <c r="AB1" s="1933"/>
    </row>
    <row r="2" spans="1:28">
      <c r="A2" s="2593" t="s">
        <v>2913</v>
      </c>
      <c r="B2" s="2597"/>
      <c r="C2" s="2598"/>
      <c r="D2" s="2900"/>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北京市丰台区芳群园三区4号楼(中乐六星酒店)房地产</v>
      </c>
      <c r="T2" s="1933"/>
      <c r="U2" s="1933"/>
      <c r="V2" s="1933"/>
      <c r="W2" s="1933"/>
      <c r="X2" s="1933"/>
      <c r="Y2" s="1933"/>
      <c r="Z2" s="1933"/>
      <c r="AA2" s="1933"/>
      <c r="AB2" s="1933"/>
    </row>
    <row r="3" spans="1:28">
      <c r="A3" s="308" t="s">
        <v>2914</v>
      </c>
      <c r="B3" s="2599">
        <v>44120</v>
      </c>
      <c r="C3" s="2600" t="s">
        <v>2915</v>
      </c>
      <c r="D3" s="2599">
        <f>B3</f>
        <v>44120</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2916</v>
      </c>
      <c r="B4" s="2601" t="s">
        <v>3057</v>
      </c>
      <c r="C4" s="2602">
        <f ca="1">SUMIF(注册房地产估价师,B4,估价师及机构信息!B3:B24)</f>
        <v>1419970001</v>
      </c>
      <c r="D4" s="2601" t="s">
        <v>3058</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2917</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2918</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2919</v>
      </c>
      <c r="B7" s="2613"/>
      <c r="C7" s="2611"/>
      <c r="D7" s="2612"/>
      <c r="E7" s="2891"/>
      <c r="F7" s="2893"/>
      <c r="G7" s="2893"/>
      <c r="H7" s="2893"/>
      <c r="I7" s="2893"/>
      <c r="J7" s="2667"/>
      <c r="K7" s="2844"/>
      <c r="L7" s="2841"/>
      <c r="M7" s="2841"/>
      <c r="N7" s="2667"/>
      <c r="O7" s="2678"/>
      <c r="P7" s="2667"/>
      <c r="Q7" s="2667"/>
      <c r="R7" s="2667"/>
    </row>
    <row r="8" spans="1:28">
      <c r="A8" s="2614" t="s">
        <v>2920</v>
      </c>
      <c r="B8" s="2615" t="s">
        <v>3059</v>
      </c>
      <c r="C8" s="2616"/>
      <c r="D8" s="3115" t="s">
        <v>2921</v>
      </c>
      <c r="E8" s="2617" t="s">
        <v>3060</v>
      </c>
      <c r="F8" s="2618"/>
      <c r="G8" s="2892"/>
      <c r="H8" s="2892"/>
      <c r="I8" s="2892"/>
      <c r="J8" s="2667"/>
      <c r="K8" s="2842"/>
      <c r="L8" s="2841"/>
      <c r="M8" s="2841"/>
      <c r="N8" s="2667"/>
      <c r="O8" s="2678"/>
      <c r="P8" s="2667"/>
      <c r="Q8" s="2667"/>
      <c r="R8" s="2667"/>
    </row>
    <row r="9" spans="1:28" ht="13.5" thickBot="1">
      <c r="A9" s="2619" t="s">
        <v>2922</v>
      </c>
      <c r="B9" s="2620" t="s">
        <v>3060</v>
      </c>
      <c r="C9" s="2621"/>
      <c r="D9" s="3116"/>
      <c r="E9" s="2620"/>
      <c r="F9" s="2622"/>
      <c r="G9" s="2894"/>
      <c r="H9" s="2894"/>
      <c r="I9" s="2894"/>
      <c r="J9" s="2667"/>
      <c r="K9" s="2844"/>
      <c r="L9" s="2841"/>
      <c r="M9" s="2841"/>
      <c r="N9" s="2667"/>
      <c r="O9" s="2678"/>
      <c r="P9" s="2667"/>
      <c r="Q9" s="2667"/>
      <c r="R9" s="2667"/>
    </row>
    <row r="10" spans="1:28" ht="13.5" thickTop="1">
      <c r="A10" s="2623" t="s">
        <v>2923</v>
      </c>
      <c r="B10" s="2624" t="s">
        <v>3061</v>
      </c>
      <c r="C10" s="2625"/>
      <c r="D10" s="2608"/>
      <c r="E10" s="2626" t="s">
        <v>2924</v>
      </c>
      <c r="F10" s="3055" t="s">
        <v>3064</v>
      </c>
      <c r="G10" s="2895"/>
      <c r="H10" s="2896"/>
      <c r="I10" s="2897"/>
      <c r="J10" s="2667"/>
      <c r="K10" s="2844"/>
      <c r="L10" s="2841"/>
      <c r="M10" s="2841"/>
      <c r="N10" s="2667"/>
      <c r="O10" s="2678"/>
      <c r="P10" s="2667"/>
      <c r="Q10" s="2667"/>
      <c r="R10" s="2667"/>
    </row>
    <row r="11" spans="1:28">
      <c r="A11" s="2627" t="s">
        <v>2925</v>
      </c>
      <c r="B11" s="2628" t="s">
        <v>3062</v>
      </c>
      <c r="C11" s="2629"/>
      <c r="D11" s="2630"/>
      <c r="E11" s="2596"/>
      <c r="F11" s="2596"/>
      <c r="G11" s="2596"/>
      <c r="H11" s="2596"/>
      <c r="I11" s="2596"/>
      <c r="J11" s="2667"/>
      <c r="K11" s="2844"/>
      <c r="L11" s="2841"/>
      <c r="M11" s="2841"/>
      <c r="N11" s="2667"/>
      <c r="O11" s="2678"/>
      <c r="P11" s="2667"/>
      <c r="Q11" s="2667"/>
      <c r="R11" s="2667"/>
    </row>
    <row r="12" spans="1:28">
      <c r="A12" s="2631" t="s">
        <v>2926</v>
      </c>
      <c r="B12" s="2628" t="s">
        <v>3063</v>
      </c>
      <c r="C12" s="329" t="s">
        <v>2927</v>
      </c>
      <c r="D12" s="2632" t="s">
        <v>2928</v>
      </c>
      <c r="E12" s="2632" t="s">
        <v>2929</v>
      </c>
      <c r="F12" s="2632" t="s">
        <v>2930</v>
      </c>
      <c r="G12" s="2632" t="s">
        <v>2931</v>
      </c>
      <c r="H12" s="2632" t="s">
        <v>2932</v>
      </c>
      <c r="I12" s="2632" t="s">
        <v>2933</v>
      </c>
      <c r="J12" s="2667"/>
      <c r="K12" s="2844"/>
      <c r="L12" s="2841"/>
      <c r="M12" s="2841"/>
      <c r="N12" s="2667"/>
      <c r="O12" s="2678"/>
      <c r="P12" s="2667"/>
      <c r="Q12" s="2667"/>
      <c r="R12" s="2667"/>
    </row>
    <row r="13" spans="1:28">
      <c r="A13" s="1241"/>
      <c r="B13" s="2633"/>
      <c r="C13" s="2634" t="s">
        <v>2934</v>
      </c>
      <c r="D13" s="965"/>
      <c r="E13" s="965">
        <v>52296</v>
      </c>
      <c r="F13" s="965">
        <v>52296</v>
      </c>
      <c r="G13" s="965"/>
      <c r="H13" s="965"/>
      <c r="I13" s="965"/>
      <c r="J13" s="2667"/>
      <c r="K13" s="2844"/>
      <c r="L13" s="2841"/>
      <c r="M13" s="2841"/>
      <c r="N13" s="2667"/>
      <c r="O13" s="2678"/>
      <c r="P13" s="2667"/>
      <c r="Q13" s="2667"/>
      <c r="R13" s="2667"/>
    </row>
    <row r="14" spans="1:28">
      <c r="A14" s="1241"/>
      <c r="B14" s="2633"/>
      <c r="C14" s="2634" t="s">
        <v>2935</v>
      </c>
      <c r="D14" s="2635"/>
      <c r="E14" s="2635">
        <v>40</v>
      </c>
      <c r="F14" s="2635">
        <v>50</v>
      </c>
      <c r="G14" s="2635"/>
      <c r="H14" s="2635"/>
      <c r="I14" s="2635"/>
      <c r="J14" s="2667"/>
      <c r="K14" s="2845"/>
      <c r="L14" s="2841"/>
      <c r="M14" s="2841"/>
      <c r="N14" s="2667"/>
      <c r="O14" s="2678"/>
      <c r="P14" s="2667"/>
      <c r="Q14" s="2667"/>
      <c r="R14" s="2667"/>
    </row>
    <row r="15" spans="1:28">
      <c r="A15" s="326"/>
      <c r="B15" s="2636"/>
      <c r="C15" s="2637" t="s">
        <v>2936</v>
      </c>
      <c r="D15" s="2638" t="str">
        <f>IF(B12="出让",IF(D13="","",ROUNDDOWN(MIN((D13-$D$3)/365,D14),2)),D14)</f>
        <v/>
      </c>
      <c r="E15" s="2638">
        <f>IF(B12="出让",IF(E13="","",ROUNDDOWN(MIN((E13-$D$3)/365,E14),2)),E14)</f>
        <v>22.4</v>
      </c>
      <c r="F15" s="2638">
        <f>IF(B12="出让",IF(F13="","",ROUNDDOWN(MIN((F13-$D$3)/365,F14),2)),F14)</f>
        <v>22.4</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2937</v>
      </c>
      <c r="B16" s="3122"/>
      <c r="C16" s="3123"/>
      <c r="D16" s="3124"/>
      <c r="E16" s="2641" t="s">
        <v>2938</v>
      </c>
      <c r="F16" s="3125"/>
      <c r="G16" s="3126"/>
      <c r="H16" s="3126"/>
      <c r="I16" s="3127"/>
      <c r="J16" s="2667"/>
      <c r="K16" s="2846"/>
      <c r="L16" s="2679"/>
      <c r="M16" s="2679"/>
      <c r="N16" s="2737"/>
      <c r="O16" s="2679"/>
      <c r="P16" s="2737"/>
      <c r="Q16" s="2667"/>
      <c r="R16" s="2667"/>
    </row>
    <row r="17" spans="1:28">
      <c r="A17" s="319" t="s">
        <v>2939</v>
      </c>
      <c r="B17" s="308" t="s">
        <v>2940</v>
      </c>
      <c r="C17" s="11">
        <f>'数据-汇总表'!E3</f>
        <v>30509.71999999999</v>
      </c>
      <c r="D17" s="2547" t="s">
        <v>2941</v>
      </c>
      <c r="E17" s="3128"/>
      <c r="F17" s="3129"/>
      <c r="G17" s="3129"/>
      <c r="H17" s="3129"/>
      <c r="I17" s="3130"/>
      <c r="J17" s="2667"/>
      <c r="K17" s="2847"/>
      <c r="L17" s="2679"/>
      <c r="M17" s="2679"/>
      <c r="N17" s="2737"/>
      <c r="O17" s="2679"/>
      <c r="P17" s="2737"/>
      <c r="Q17" s="2667"/>
      <c r="R17" s="2667"/>
      <c r="S17" s="2667"/>
      <c r="T17" s="2667"/>
      <c r="U17" s="2667"/>
      <c r="V17" s="2667"/>
    </row>
    <row r="18" spans="1:28" ht="24.75" thickBot="1">
      <c r="A18" s="2642" t="s">
        <v>2942</v>
      </c>
      <c r="B18" s="1250" t="s">
        <v>2943</v>
      </c>
      <c r="C18" s="2643">
        <f>'数据-汇总表'!D3</f>
        <v>5000</v>
      </c>
      <c r="D18" s="1252" t="s">
        <v>2944</v>
      </c>
      <c r="E18" s="3131"/>
      <c r="F18" s="3132"/>
      <c r="G18" s="3132"/>
      <c r="H18" s="3132"/>
      <c r="I18" s="3133"/>
      <c r="J18" s="2667"/>
      <c r="K18" s="2847"/>
      <c r="L18" s="2679"/>
      <c r="M18" s="2679"/>
      <c r="N18" s="2737"/>
      <c r="O18" s="2679"/>
      <c r="P18" s="2737"/>
      <c r="Q18" s="2667"/>
      <c r="R18" s="2667"/>
      <c r="S18" s="2667"/>
      <c r="T18" s="2667"/>
      <c r="U18" s="2667"/>
      <c r="V18" s="2667"/>
    </row>
    <row r="19" spans="1:28" ht="37.5" thickTop="1" thickBot="1">
      <c r="A19" s="333" t="s">
        <v>1741</v>
      </c>
      <c r="B19" s="313" t="s">
        <v>2945</v>
      </c>
      <c r="C19" s="1750"/>
      <c r="D19" s="1751" t="s">
        <v>2946</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2947</v>
      </c>
      <c r="B20" s="3118" t="s">
        <v>2948</v>
      </c>
      <c r="C20" s="3119"/>
      <c r="D20" s="3120" t="s">
        <v>2949</v>
      </c>
      <c r="E20" s="3121"/>
      <c r="F20" s="2876" t="s">
        <v>1742</v>
      </c>
      <c r="G20" s="2893"/>
      <c r="H20" s="2893"/>
      <c r="I20" s="2893"/>
      <c r="J20" s="2667"/>
      <c r="K20" s="3117"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2951</v>
      </c>
      <c r="C21" s="2863" t="s">
        <v>1743</v>
      </c>
      <c r="D21" s="1755" t="s">
        <v>2952</v>
      </c>
      <c r="E21" s="2864" t="s">
        <v>1743</v>
      </c>
      <c r="F21" s="2877"/>
      <c r="G21" s="2893"/>
      <c r="H21" s="2893"/>
      <c r="I21" s="2893"/>
      <c r="J21" s="2667"/>
      <c r="K21" s="31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2953</v>
      </c>
      <c r="C22" s="2863" t="s">
        <v>1744</v>
      </c>
      <c r="D22" s="2892"/>
      <c r="E22" s="2892"/>
      <c r="F22" s="2892"/>
      <c r="G22" s="2893"/>
      <c r="H22" s="2893"/>
      <c r="I22" s="2893"/>
      <c r="J22" s="2667"/>
      <c r="K22" s="31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2954</v>
      </c>
      <c r="B23" s="2730" t="s">
        <v>2955</v>
      </c>
      <c r="C23" s="2867"/>
      <c r="D23" s="2868" t="s">
        <v>2955</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35" t="s">
        <v>2956</v>
      </c>
      <c r="B27" s="326" t="s">
        <v>2957</v>
      </c>
      <c r="C27" s="2644" t="s">
        <v>3065</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35"/>
      <c r="B28" s="308" t="s">
        <v>2958</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35"/>
      <c r="B29" s="308" t="s">
        <v>2959</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36"/>
      <c r="B30" s="308" t="s">
        <v>2960</v>
      </c>
      <c r="C30" s="3137"/>
      <c r="D30" s="3138"/>
      <c r="E30" s="2893"/>
      <c r="F30" s="2893"/>
      <c r="G30" s="2893"/>
      <c r="H30" s="2893"/>
      <c r="I30" s="2893"/>
      <c r="J30" s="2667"/>
      <c r="K30" s="2844"/>
      <c r="L30" s="2841"/>
      <c r="M30" s="2841"/>
      <c r="N30" s="2667"/>
      <c r="O30" s="2678"/>
      <c r="P30" s="2667"/>
      <c r="Q30" s="2667"/>
      <c r="R30" s="2667"/>
      <c r="S30" s="2667"/>
      <c r="T30" s="2667"/>
      <c r="U30" s="2667"/>
      <c r="V30" s="2667"/>
    </row>
    <row r="31" spans="1:28">
      <c r="A31" s="3139" t="s">
        <v>2961</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40"/>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40"/>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2962</v>
      </c>
      <c r="B34" s="2216" t="s">
        <v>3066</v>
      </c>
      <c r="C34" s="2216" t="s">
        <v>3067</v>
      </c>
      <c r="D34" s="2216"/>
      <c r="E34" s="2216"/>
      <c r="F34" s="2216"/>
      <c r="G34" s="2216"/>
      <c r="H34" s="2216"/>
      <c r="I34" s="2893"/>
      <c r="J34" s="2667"/>
      <c r="K34" s="2655">
        <f>COUNTIF(B34:H34,"——")</f>
        <v>0</v>
      </c>
      <c r="L34" s="329" t="s">
        <v>2963</v>
      </c>
      <c r="M34" s="329" t="s">
        <v>2964</v>
      </c>
      <c r="N34" s="329" t="s">
        <v>2965</v>
      </c>
      <c r="O34" s="329" t="s">
        <v>2966</v>
      </c>
      <c r="P34" s="329" t="s">
        <v>2967</v>
      </c>
      <c r="Q34" s="329" t="s">
        <v>2968</v>
      </c>
      <c r="R34" s="329" t="s">
        <v>2969</v>
      </c>
      <c r="S34" s="3134" t="s">
        <v>2970</v>
      </c>
      <c r="T34" s="2656" t="str">
        <f>NUMBERSTRING(7-K34,1)&amp;"通"</f>
        <v>七通</v>
      </c>
      <c r="U34" s="2667"/>
      <c r="V34" s="2667"/>
    </row>
    <row r="35" spans="1:30">
      <c r="A35" s="2657"/>
      <c r="B35" s="3141" t="s">
        <v>2971</v>
      </c>
      <c r="C35" s="3141"/>
      <c r="D35" s="3141"/>
      <c r="E35" s="3141"/>
      <c r="F35" s="673">
        <f>C10</f>
        <v>0</v>
      </c>
      <c r="G35" s="2893"/>
      <c r="H35" s="2893"/>
      <c r="I35" s="2893"/>
      <c r="J35" s="2667"/>
      <c r="K35" s="329"/>
      <c r="L35" s="329" t="str">
        <f>B34</f>
        <v>通路</v>
      </c>
      <c r="M35" s="335" t="str">
        <f>B34&amp;"、"&amp;C34</f>
        <v>通路、通电</v>
      </c>
      <c r="N35" s="335" t="str">
        <f>B34&amp;"、"&amp;C34&amp;"、"&amp;D34</f>
        <v>通路、通电、</v>
      </c>
      <c r="O35" s="335" t="str">
        <f>B34&amp;"、"&amp;C34&amp;"、"&amp;D34&amp;"、"&amp;E34</f>
        <v>通路、通电、、</v>
      </c>
      <c r="P35" s="335" t="str">
        <f>B34&amp;"、"&amp;C34&amp;"、"&amp;D34&amp;"、"&amp;E34&amp;"、"&amp;F34</f>
        <v>通路、通电、、、</v>
      </c>
      <c r="Q35" s="335" t="str">
        <f>B34&amp;"、"&amp;C34&amp;"、"&amp;D34&amp;"、"&amp;E34&amp;"、"&amp;F34&amp;"、"&amp;G34</f>
        <v>通路、通电、、、、</v>
      </c>
      <c r="R35" s="335" t="str">
        <f>B34&amp;"、"&amp;C34&amp;"、"&amp;D34&amp;"、"&amp;E34&amp;"、"&amp;F34&amp;"、"&amp;G34&amp;"、"&amp;H34</f>
        <v>通路、通电、、、、、</v>
      </c>
      <c r="S35" s="3134"/>
      <c r="T35" s="335" t="str">
        <f>IF(T34="一通",L35,IF(T34="二通",M35,IF(T34="三通",N35,IF(T34="四通",O35,IF(T34="五通",P35,IF(T34="六通",Q35,R35))))))</f>
        <v>通路、通电、、、、、</v>
      </c>
      <c r="U35" s="2667"/>
      <c r="V35" s="2667"/>
    </row>
    <row r="36" spans="1:30">
      <c r="A36" s="2658"/>
      <c r="B36" s="673" t="s">
        <v>2929</v>
      </c>
      <c r="C36" s="673" t="s">
        <v>2930</v>
      </c>
      <c r="D36" s="673" t="s">
        <v>2928</v>
      </c>
      <c r="E36" s="673" t="s">
        <v>2933</v>
      </c>
      <c r="F36" s="2898"/>
      <c r="G36" s="2893"/>
      <c r="H36" s="2893"/>
      <c r="I36" s="2893"/>
      <c r="J36" s="2667"/>
      <c r="K36" s="2844"/>
      <c r="L36" s="2841"/>
      <c r="M36" s="2841"/>
      <c r="N36" s="2667"/>
      <c r="O36" s="2678"/>
      <c r="P36" s="2667"/>
      <c r="Q36" s="2667"/>
      <c r="R36" s="2667"/>
      <c r="S36" s="2667"/>
      <c r="T36" s="2667"/>
      <c r="U36" s="2667"/>
      <c r="V36" s="2667"/>
    </row>
    <row r="37" spans="1:30">
      <c r="A37" s="2859" t="s">
        <v>2972</v>
      </c>
      <c r="B37" s="2659" t="s">
        <v>137</v>
      </c>
      <c r="C37" s="2659" t="s">
        <v>137</v>
      </c>
      <c r="D37" s="2659"/>
      <c r="E37" s="2659"/>
      <c r="F37" s="2898"/>
      <c r="G37" s="2893"/>
      <c r="H37" s="2893"/>
      <c r="I37" s="2893"/>
      <c r="J37" s="2667"/>
      <c r="K37" s="2844"/>
      <c r="L37" s="2841"/>
      <c r="M37" s="2841"/>
      <c r="N37" s="2667"/>
      <c r="O37" s="2678"/>
      <c r="P37" s="2667"/>
      <c r="Q37" s="2667"/>
      <c r="R37" s="2667"/>
      <c r="S37" s="2667"/>
      <c r="T37" s="2667"/>
      <c r="U37" s="2667"/>
      <c r="V37" s="2667"/>
    </row>
    <row r="38" spans="1:30" ht="13.5" thickBot="1">
      <c r="A38" s="2860" t="s">
        <v>2973</v>
      </c>
      <c r="B38" s="2660" t="s">
        <v>303</v>
      </c>
      <c r="C38" s="2660" t="s">
        <v>293</v>
      </c>
      <c r="D38" s="2660"/>
      <c r="E38" s="2660"/>
      <c r="F38" s="2899"/>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2974</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2975</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2976</v>
      </c>
      <c r="B42" s="11" t="s">
        <v>2977</v>
      </c>
      <c r="C42" s="11" t="s">
        <v>2978</v>
      </c>
      <c r="D42" s="11" t="s">
        <v>2979</v>
      </c>
      <c r="E42" s="11" t="s">
        <v>2980</v>
      </c>
      <c r="F42" s="11" t="s">
        <v>2981</v>
      </c>
      <c r="G42" s="11" t="s">
        <v>2982</v>
      </c>
      <c r="H42" s="11" t="s">
        <v>2983</v>
      </c>
      <c r="I42" s="11" t="s">
        <v>2984</v>
      </c>
      <c r="J42" s="2855" t="s">
        <v>2985</v>
      </c>
      <c r="K42" s="2856" t="s">
        <v>2986</v>
      </c>
      <c r="L42" s="2856" t="s">
        <v>2987</v>
      </c>
      <c r="M42" s="2856" t="s">
        <v>2988</v>
      </c>
      <c r="N42" s="2849" t="s">
        <v>2989</v>
      </c>
      <c r="O42" s="2849" t="s">
        <v>2990</v>
      </c>
      <c r="P42" s="2849" t="s">
        <v>2991</v>
      </c>
      <c r="Q42" s="2850" t="s">
        <v>2992</v>
      </c>
      <c r="R42" s="2850" t="s">
        <v>2993</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A1:M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5000</v>
      </c>
      <c r="B3" s="14">
        <f>IF(C3="否",G5-AT5,G5)</f>
        <v>30509.71999999999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30509.71999999999</v>
      </c>
      <c r="H5" s="16">
        <f t="shared" ref="H5:AT5" si="0">SUM(H13:H656)</f>
        <v>30509.71999999999</v>
      </c>
      <c r="I5" s="16">
        <f t="shared" si="0"/>
        <v>24389.569999999989</v>
      </c>
      <c r="J5" s="16">
        <f t="shared" si="0"/>
        <v>0</v>
      </c>
      <c r="K5" s="16">
        <f t="shared" si="0"/>
        <v>4447.29</v>
      </c>
      <c r="L5" s="16">
        <f t="shared" si="0"/>
        <v>0</v>
      </c>
      <c r="M5" s="16">
        <f t="shared" si="0"/>
        <v>1672.86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30509.71999999999</v>
      </c>
      <c r="BA5" s="18">
        <f t="shared" si="1"/>
        <v>30509.71999999999</v>
      </c>
      <c r="BB5" s="18">
        <f t="shared" si="1"/>
        <v>24389.569999999989</v>
      </c>
      <c r="BC5" s="18">
        <f t="shared" si="1"/>
        <v>4447.29</v>
      </c>
      <c r="BD5" s="18">
        <f t="shared" si="1"/>
        <v>1672.86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5000</v>
      </c>
      <c r="F6" s="16" t="s">
        <v>1</v>
      </c>
      <c r="G6" s="16" t="s">
        <v>2</v>
      </c>
      <c r="H6" s="20">
        <f>SUMIF(I$12:AB$12,"总值",I6:AB6)</f>
        <v>5000</v>
      </c>
      <c r="I6" s="16">
        <f t="shared" ref="I6:AB6" si="2">ROUND($A$3*I5/$B$3,2)</f>
        <v>3997.02</v>
      </c>
      <c r="J6" s="16">
        <f t="shared" si="2"/>
        <v>0</v>
      </c>
      <c r="K6" s="16">
        <f t="shared" si="2"/>
        <v>728.83</v>
      </c>
      <c r="L6" s="16">
        <f t="shared" si="2"/>
        <v>0</v>
      </c>
      <c r="M6" s="16">
        <f t="shared" si="2"/>
        <v>274.14999999999998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5000</v>
      </c>
      <c r="AZ6" s="16" t="s">
        <v>3</v>
      </c>
      <c r="BA6" s="16">
        <f>ROUND($AY$6*BA5/$AZ$5,2)</f>
        <v>5000</v>
      </c>
      <c r="BB6" s="16">
        <f>ROUND($AY$6*BB5/$AZ$5,2)</f>
        <v>3997.02</v>
      </c>
      <c r="BC6" s="16">
        <f t="shared" ref="BC6:BH6" si="4">ROUND($AY$6*BC5/$AZ$5,2)</f>
        <v>728.83</v>
      </c>
      <c r="BD6" s="16">
        <f t="shared" si="4"/>
        <v>274.14999999999998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3068</v>
      </c>
      <c r="J9" s="918"/>
      <c r="K9" s="1790" t="s">
        <v>3068</v>
      </c>
      <c r="L9" s="918"/>
      <c r="M9" s="1790" t="s">
        <v>3157</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1343</v>
      </c>
      <c r="L10" s="918"/>
      <c r="M10" s="1796" t="s">
        <v>27</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3069</v>
      </c>
      <c r="J11" s="1802"/>
      <c r="K11" s="1801" t="s">
        <v>3071</v>
      </c>
      <c r="L11" s="1802"/>
      <c r="M11" s="1801" t="s">
        <v>3069</v>
      </c>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商业</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办公楼</v>
      </c>
      <c r="BC12" s="1811" t="str">
        <f>K11</f>
        <v>酒店</v>
      </c>
      <c r="BD12" s="1811" t="str">
        <f>M11</f>
        <v>办公楼</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3070</v>
      </c>
      <c r="E13" s="16">
        <f>IF($C$3="是",ROUND($A$3*G13/$B$3,2),ROUND($A$3*(G13-AT13)/$B$3,2))</f>
        <v>5000</v>
      </c>
      <c r="F13" s="32"/>
      <c r="G13" s="33">
        <f>H13+AC13+AT13</f>
        <v>30509.71999999999</v>
      </c>
      <c r="H13" s="20">
        <f>SUMIF(I$12:AB$12,"总值",I13:AB13)</f>
        <v>30509.71999999999</v>
      </c>
      <c r="I13" s="1813">
        <f>信息!E36-信息!E5</f>
        <v>24389.569999999989</v>
      </c>
      <c r="J13" s="1813"/>
      <c r="K13" s="1813">
        <f>信息!G5</f>
        <v>4447.29</v>
      </c>
      <c r="L13" s="1813"/>
      <c r="M13" s="1813">
        <f>信息!G4</f>
        <v>1672.86</v>
      </c>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5000</v>
      </c>
      <c r="AZ13" s="16">
        <f>BA13+BL13</f>
        <v>30509.71999999999</v>
      </c>
      <c r="BA13" s="16">
        <f>SUM(BB13:BK13)</f>
        <v>30509.71999999999</v>
      </c>
      <c r="BB13" s="16">
        <f>IF($D13="是",I13-J13,0)</f>
        <v>24389.569999999989</v>
      </c>
      <c r="BC13" s="16">
        <f>IF($D13="是",K13-L13,0)</f>
        <v>4447.29</v>
      </c>
      <c r="BD13" s="16">
        <f>IF($D13="是",M13-N13,0)</f>
        <v>1672.86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2D14-1D66-402D-87C7-922A46D5EB5E}">
  <dimension ref="A1:T37"/>
  <sheetViews>
    <sheetView tabSelected="1" topLeftCell="I31" workbookViewId="0">
      <selection activeCell="U36" sqref="U36"/>
    </sheetView>
  </sheetViews>
  <sheetFormatPr defaultRowHeight="16.5"/>
  <cols>
    <col min="1" max="10" width="9" style="3056"/>
    <col min="11" max="12" width="12.25" style="3056" bestFit="1" customWidth="1"/>
    <col min="13" max="14" width="12.25" style="3056" customWidth="1"/>
    <col min="15" max="20" width="11.125" style="3056" customWidth="1"/>
    <col min="21" max="16384" width="9" style="3056"/>
  </cols>
  <sheetData>
    <row r="1" spans="1:20">
      <c r="A1" s="3144" t="s">
        <v>3072</v>
      </c>
      <c r="B1" s="3144"/>
      <c r="C1" s="3144"/>
      <c r="D1" s="3144"/>
      <c r="E1" s="3144"/>
      <c r="F1" s="3144"/>
      <c r="G1" s="3144"/>
    </row>
    <row r="2" spans="1:20" ht="16.5" customHeight="1">
      <c r="A2" s="3145" t="s">
        <v>3073</v>
      </c>
      <c r="B2" s="3146" t="s">
        <v>3074</v>
      </c>
      <c r="C2" s="3146" t="s">
        <v>3075</v>
      </c>
      <c r="D2" s="3146" t="s">
        <v>3076</v>
      </c>
      <c r="E2" s="3146" t="s">
        <v>3077</v>
      </c>
      <c r="F2" s="3146"/>
      <c r="G2" s="3146"/>
      <c r="K2" s="3056">
        <f ca="1">ROUND(L2/(G36-G4)*10000,0)</f>
        <v>19866</v>
      </c>
      <c r="L2" s="3056">
        <f ca="1">ROUND(基准地价修正!E29/基准地价修正!C26*结果表!D118,0)</f>
        <v>57287</v>
      </c>
      <c r="O2" s="3148" t="s">
        <v>3194</v>
      </c>
      <c r="P2" s="3148"/>
      <c r="Q2" s="3148" t="s">
        <v>3201</v>
      </c>
      <c r="R2" s="3148"/>
      <c r="S2" s="3148" t="s">
        <v>3195</v>
      </c>
      <c r="T2" s="3148"/>
    </row>
    <row r="3" spans="1:20" ht="27" customHeight="1">
      <c r="A3" s="3145"/>
      <c r="B3" s="3146"/>
      <c r="C3" s="3146"/>
      <c r="D3" s="3146"/>
      <c r="E3" s="3057" t="s">
        <v>3078</v>
      </c>
      <c r="F3" s="3057" t="s">
        <v>3079</v>
      </c>
      <c r="G3" s="3057" t="s">
        <v>37</v>
      </c>
      <c r="L3" s="3056">
        <f ca="1">结果表!D118-信息!L2</f>
        <v>1042</v>
      </c>
      <c r="O3" s="3068" t="s">
        <v>3196</v>
      </c>
      <c r="P3" s="3068" t="s">
        <v>3197</v>
      </c>
      <c r="Q3" s="3068" t="s">
        <v>3196</v>
      </c>
      <c r="R3" s="3068" t="s">
        <v>3197</v>
      </c>
      <c r="S3" s="3068" t="s">
        <v>3196</v>
      </c>
      <c r="T3" s="3068" t="s">
        <v>3197</v>
      </c>
    </row>
    <row r="4" spans="1:20" ht="40.5">
      <c r="A4" s="3058">
        <v>1</v>
      </c>
      <c r="B4" s="3059" t="s">
        <v>3090</v>
      </c>
      <c r="C4" s="3060" t="s">
        <v>3088</v>
      </c>
      <c r="D4" s="3059">
        <v>274.14999999999998</v>
      </c>
      <c r="E4" s="3059">
        <v>0</v>
      </c>
      <c r="F4" s="3059">
        <v>1672.86</v>
      </c>
      <c r="G4" s="3059">
        <f>E4+F4</f>
        <v>1672.86</v>
      </c>
      <c r="J4" s="3061" t="s">
        <v>3087</v>
      </c>
      <c r="K4" s="3056" t="s">
        <v>3089</v>
      </c>
      <c r="L4" s="3056" t="s">
        <v>3091</v>
      </c>
      <c r="M4" s="3056">
        <f>G4</f>
        <v>1672.86</v>
      </c>
      <c r="N4" s="3056">
        <f>D4</f>
        <v>274.14999999999998</v>
      </c>
      <c r="O4" s="3056">
        <f ca="1">L3</f>
        <v>1042</v>
      </c>
      <c r="P4" s="3056">
        <f ca="1">ROUND(O4/G4*10000,0)</f>
        <v>6229</v>
      </c>
      <c r="Q4" s="3056">
        <f ca="1">结果表!F118-SUM(信息!Q5:Q35)</f>
        <v>1099</v>
      </c>
      <c r="R4" s="3056">
        <f ca="1">结果表!G118</f>
        <v>6578</v>
      </c>
      <c r="S4" s="3056">
        <f ca="1">Q4+O4</f>
        <v>2141</v>
      </c>
      <c r="T4" s="3056">
        <f ca="1">P4+R4</f>
        <v>12807</v>
      </c>
    </row>
    <row r="5" spans="1:20" ht="40.5">
      <c r="A5" s="3058">
        <v>2</v>
      </c>
      <c r="B5" s="3059" t="s">
        <v>3092</v>
      </c>
      <c r="C5" s="3059" t="s">
        <v>3093</v>
      </c>
      <c r="D5" s="3059">
        <v>728.83</v>
      </c>
      <c r="E5" s="3059">
        <v>4447.29</v>
      </c>
      <c r="F5" s="3059">
        <v>0</v>
      </c>
      <c r="G5" s="3059">
        <v>4447.29</v>
      </c>
      <c r="J5" s="3056" t="s">
        <v>3094</v>
      </c>
      <c r="K5" s="3056" t="s">
        <v>3095</v>
      </c>
      <c r="L5" s="3056" t="s">
        <v>3080</v>
      </c>
      <c r="M5" s="3056">
        <f t="shared" ref="M5:M35" si="0">G5</f>
        <v>4447.29</v>
      </c>
      <c r="N5" s="3056">
        <f t="shared" ref="N5:N35" si="1">D5</f>
        <v>728.83</v>
      </c>
      <c r="O5" s="3056">
        <f t="shared" ref="O5:O34" ca="1" si="2">ROUND($L$2*G5/($G$36-$G$4),0)</f>
        <v>8835</v>
      </c>
      <c r="P5" s="3056">
        <f ca="1">$K$2</f>
        <v>19866</v>
      </c>
      <c r="Q5" s="3056">
        <f t="shared" ref="Q5:Q34" ca="1" si="3">ROUND(R5*G5/10000,0)</f>
        <v>2925</v>
      </c>
      <c r="R5" s="3056">
        <f ca="1">R4</f>
        <v>6578</v>
      </c>
      <c r="S5" s="3056">
        <f ca="1">Q5+O5</f>
        <v>11760</v>
      </c>
      <c r="T5" s="3056">
        <f ca="1">R5+P5</f>
        <v>26444</v>
      </c>
    </row>
    <row r="6" spans="1:20" ht="40.5">
      <c r="A6" s="3058">
        <v>3</v>
      </c>
      <c r="B6" s="3059" t="s">
        <v>3096</v>
      </c>
      <c r="C6" s="3059" t="s">
        <v>3097</v>
      </c>
      <c r="D6" s="3059">
        <v>131.43</v>
      </c>
      <c r="E6" s="3059">
        <v>801.97</v>
      </c>
      <c r="F6" s="3059">
        <v>0</v>
      </c>
      <c r="G6" s="3059">
        <v>801.97</v>
      </c>
      <c r="J6" s="3062">
        <v>3</v>
      </c>
      <c r="K6" s="3062">
        <v>3</v>
      </c>
      <c r="L6" s="3056" t="s">
        <v>3080</v>
      </c>
      <c r="M6" s="3056">
        <f t="shared" si="0"/>
        <v>801.97</v>
      </c>
      <c r="N6" s="3056">
        <f t="shared" si="1"/>
        <v>131.43</v>
      </c>
      <c r="O6" s="3056">
        <f t="shared" ca="1" si="2"/>
        <v>1593</v>
      </c>
      <c r="P6" s="3056">
        <f ca="1">$K$2</f>
        <v>19866</v>
      </c>
      <c r="Q6" s="3056">
        <f t="shared" ca="1" si="3"/>
        <v>528</v>
      </c>
      <c r="R6" s="3056">
        <f ca="1">R4</f>
        <v>6578</v>
      </c>
      <c r="S6" s="3056">
        <f t="shared" ref="S5:S34" ca="1" si="4">Q6+O6</f>
        <v>2121</v>
      </c>
      <c r="T6" s="3056">
        <f t="shared" ref="T6:T35" ca="1" si="5">R6+P6</f>
        <v>26444</v>
      </c>
    </row>
    <row r="7" spans="1:20" ht="40.5">
      <c r="A7" s="3058">
        <v>4</v>
      </c>
      <c r="B7" s="3059" t="s">
        <v>3098</v>
      </c>
      <c r="C7" s="3059" t="s">
        <v>3099</v>
      </c>
      <c r="D7" s="3059">
        <v>131.97999999999999</v>
      </c>
      <c r="E7" s="3059">
        <v>805.36</v>
      </c>
      <c r="F7" s="3059">
        <v>0</v>
      </c>
      <c r="G7" s="3059">
        <v>805.36</v>
      </c>
      <c r="J7" s="3062">
        <v>4</v>
      </c>
      <c r="K7" s="3062">
        <v>5</v>
      </c>
      <c r="L7" s="3056" t="s">
        <v>3081</v>
      </c>
      <c r="M7" s="3056">
        <f t="shared" si="0"/>
        <v>805.36</v>
      </c>
      <c r="N7" s="3056">
        <f t="shared" si="1"/>
        <v>131.97999999999999</v>
      </c>
      <c r="O7" s="3056">
        <f t="shared" ca="1" si="2"/>
        <v>1600</v>
      </c>
      <c r="P7" s="3056">
        <f t="shared" ref="P7:P35" ca="1" si="6">$K$2</f>
        <v>19866</v>
      </c>
      <c r="Q7" s="3056">
        <f t="shared" ca="1" si="3"/>
        <v>530</v>
      </c>
      <c r="R7" s="3056">
        <f t="shared" ref="R7" ca="1" si="7">R6</f>
        <v>6578</v>
      </c>
      <c r="S7" s="3056">
        <f t="shared" ca="1" si="4"/>
        <v>2130</v>
      </c>
      <c r="T7" s="3056">
        <f t="shared" ca="1" si="5"/>
        <v>26444</v>
      </c>
    </row>
    <row r="8" spans="1:20" ht="40.5">
      <c r="A8" s="3058">
        <v>5</v>
      </c>
      <c r="B8" s="3059" t="s">
        <v>3100</v>
      </c>
      <c r="C8" s="3059" t="s">
        <v>3101</v>
      </c>
      <c r="D8" s="3059">
        <v>131.43</v>
      </c>
      <c r="E8" s="3059">
        <v>801.97</v>
      </c>
      <c r="F8" s="3059">
        <v>0</v>
      </c>
      <c r="G8" s="3059">
        <v>801.97</v>
      </c>
      <c r="J8" s="3062">
        <v>5</v>
      </c>
      <c r="K8" s="3062">
        <v>6</v>
      </c>
      <c r="L8" s="3056" t="s">
        <v>3081</v>
      </c>
      <c r="M8" s="3056">
        <f t="shared" si="0"/>
        <v>801.97</v>
      </c>
      <c r="N8" s="3056">
        <f t="shared" si="1"/>
        <v>131.43</v>
      </c>
      <c r="O8" s="3056">
        <f t="shared" ca="1" si="2"/>
        <v>1593</v>
      </c>
      <c r="P8" s="3056">
        <f t="shared" ca="1" si="6"/>
        <v>19866</v>
      </c>
      <c r="Q8" s="3056">
        <f t="shared" ca="1" si="3"/>
        <v>528</v>
      </c>
      <c r="R8" s="3056">
        <f t="shared" ref="R8" ca="1" si="8">R6</f>
        <v>6578</v>
      </c>
      <c r="S8" s="3056">
        <f t="shared" ca="1" si="4"/>
        <v>2121</v>
      </c>
      <c r="T8" s="3056">
        <f t="shared" ca="1" si="5"/>
        <v>26444</v>
      </c>
    </row>
    <row r="9" spans="1:20" ht="40.5">
      <c r="A9" s="3058">
        <v>6</v>
      </c>
      <c r="B9" s="3059" t="s">
        <v>3102</v>
      </c>
      <c r="C9" s="3059" t="s">
        <v>3103</v>
      </c>
      <c r="D9" s="3059">
        <v>131.43</v>
      </c>
      <c r="E9" s="3059">
        <v>801.97</v>
      </c>
      <c r="F9" s="3059">
        <v>0</v>
      </c>
      <c r="G9" s="3059">
        <v>801.97</v>
      </c>
      <c r="J9" s="3062">
        <v>6</v>
      </c>
      <c r="K9" s="3062">
        <v>7</v>
      </c>
      <c r="L9" s="3056" t="s">
        <v>3081</v>
      </c>
      <c r="M9" s="3056">
        <f t="shared" si="0"/>
        <v>801.97</v>
      </c>
      <c r="N9" s="3056">
        <f t="shared" si="1"/>
        <v>131.43</v>
      </c>
      <c r="O9" s="3056">
        <f t="shared" ca="1" si="2"/>
        <v>1593</v>
      </c>
      <c r="P9" s="3056">
        <f t="shared" ca="1" si="6"/>
        <v>19866</v>
      </c>
      <c r="Q9" s="3056">
        <f t="shared" ca="1" si="3"/>
        <v>528</v>
      </c>
      <c r="R9" s="3056">
        <f t="shared" ref="R9" ca="1" si="9">R8</f>
        <v>6578</v>
      </c>
      <c r="S9" s="3056">
        <f t="shared" ca="1" si="4"/>
        <v>2121</v>
      </c>
      <c r="T9" s="3056">
        <f t="shared" ca="1" si="5"/>
        <v>26444</v>
      </c>
    </row>
    <row r="10" spans="1:20" ht="40.5">
      <c r="A10" s="3058">
        <v>7</v>
      </c>
      <c r="B10" s="3059" t="s">
        <v>3104</v>
      </c>
      <c r="C10" s="3059" t="s">
        <v>3105</v>
      </c>
      <c r="D10" s="3059">
        <v>131.43</v>
      </c>
      <c r="E10" s="3059">
        <v>801.97</v>
      </c>
      <c r="F10" s="3059">
        <v>0</v>
      </c>
      <c r="G10" s="3059">
        <v>801.97</v>
      </c>
      <c r="J10" s="3062">
        <v>7</v>
      </c>
      <c r="K10" s="3062">
        <v>8</v>
      </c>
      <c r="L10" s="3056" t="s">
        <v>3082</v>
      </c>
      <c r="M10" s="3056">
        <f t="shared" si="0"/>
        <v>801.97</v>
      </c>
      <c r="N10" s="3056">
        <f t="shared" si="1"/>
        <v>131.43</v>
      </c>
      <c r="O10" s="3056">
        <f t="shared" ca="1" si="2"/>
        <v>1593</v>
      </c>
      <c r="P10" s="3056">
        <f t="shared" ca="1" si="6"/>
        <v>19866</v>
      </c>
      <c r="Q10" s="3056">
        <f t="shared" ca="1" si="3"/>
        <v>528</v>
      </c>
      <c r="R10" s="3056">
        <f t="shared" ref="R10" ca="1" si="10">R8</f>
        <v>6578</v>
      </c>
      <c r="S10" s="3056">
        <f t="shared" ca="1" si="4"/>
        <v>2121</v>
      </c>
      <c r="T10" s="3056">
        <f t="shared" ca="1" si="5"/>
        <v>26444</v>
      </c>
    </row>
    <row r="11" spans="1:20" ht="40.5">
      <c r="A11" s="3058">
        <v>8</v>
      </c>
      <c r="B11" s="3059" t="s">
        <v>3106</v>
      </c>
      <c r="C11" s="3059" t="s">
        <v>3107</v>
      </c>
      <c r="D11" s="3059">
        <v>131.43</v>
      </c>
      <c r="E11" s="3059">
        <v>801.97</v>
      </c>
      <c r="F11" s="3059">
        <v>0</v>
      </c>
      <c r="G11" s="3059">
        <v>801.97</v>
      </c>
      <c r="J11" s="3062">
        <v>8</v>
      </c>
      <c r="K11" s="3062">
        <v>9</v>
      </c>
      <c r="L11" s="3056" t="s">
        <v>3083</v>
      </c>
      <c r="M11" s="3056">
        <f t="shared" si="0"/>
        <v>801.97</v>
      </c>
      <c r="N11" s="3056">
        <f t="shared" si="1"/>
        <v>131.43</v>
      </c>
      <c r="O11" s="3056">
        <f t="shared" ca="1" si="2"/>
        <v>1593</v>
      </c>
      <c r="P11" s="3056">
        <f t="shared" ca="1" si="6"/>
        <v>19866</v>
      </c>
      <c r="Q11" s="3056">
        <f t="shared" ca="1" si="3"/>
        <v>528</v>
      </c>
      <c r="R11" s="3056">
        <f t="shared" ref="R11" ca="1" si="11">R10</f>
        <v>6578</v>
      </c>
      <c r="S11" s="3056">
        <f t="shared" ca="1" si="4"/>
        <v>2121</v>
      </c>
      <c r="T11" s="3056">
        <f t="shared" ca="1" si="5"/>
        <v>26444</v>
      </c>
    </row>
    <row r="12" spans="1:20" ht="40.5">
      <c r="A12" s="3058">
        <v>9</v>
      </c>
      <c r="B12" s="3059" t="s">
        <v>3108</v>
      </c>
      <c r="C12" s="3059" t="s">
        <v>3109</v>
      </c>
      <c r="D12" s="3059">
        <v>131.43</v>
      </c>
      <c r="E12" s="3059">
        <v>801.97</v>
      </c>
      <c r="F12" s="3059">
        <v>0</v>
      </c>
      <c r="G12" s="3059">
        <v>801.97</v>
      </c>
      <c r="J12" s="3062">
        <v>9</v>
      </c>
      <c r="K12" s="3062">
        <v>10</v>
      </c>
      <c r="L12" s="3056" t="s">
        <v>3083</v>
      </c>
      <c r="M12" s="3056">
        <f t="shared" si="0"/>
        <v>801.97</v>
      </c>
      <c r="N12" s="3056">
        <f t="shared" si="1"/>
        <v>131.43</v>
      </c>
      <c r="O12" s="3056">
        <f t="shared" ca="1" si="2"/>
        <v>1593</v>
      </c>
      <c r="P12" s="3056">
        <f t="shared" ca="1" si="6"/>
        <v>19866</v>
      </c>
      <c r="Q12" s="3056">
        <f t="shared" ca="1" si="3"/>
        <v>528</v>
      </c>
      <c r="R12" s="3056">
        <f t="shared" ref="R12" ca="1" si="12">R10</f>
        <v>6578</v>
      </c>
      <c r="S12" s="3056">
        <f t="shared" ca="1" si="4"/>
        <v>2121</v>
      </c>
      <c r="T12" s="3056">
        <f t="shared" ca="1" si="5"/>
        <v>26444</v>
      </c>
    </row>
    <row r="13" spans="1:20" ht="40.5">
      <c r="A13" s="3058">
        <v>10</v>
      </c>
      <c r="B13" s="3059" t="s">
        <v>3110</v>
      </c>
      <c r="C13" s="3059" t="s">
        <v>3111</v>
      </c>
      <c r="D13" s="3059">
        <v>131.43</v>
      </c>
      <c r="E13" s="3059">
        <v>801.97</v>
      </c>
      <c r="F13" s="3059">
        <v>0</v>
      </c>
      <c r="G13" s="3059">
        <v>801.97</v>
      </c>
      <c r="J13" s="3062">
        <v>10</v>
      </c>
      <c r="K13" s="3062">
        <v>11</v>
      </c>
      <c r="L13" s="3056" t="s">
        <v>3083</v>
      </c>
      <c r="M13" s="3056">
        <f t="shared" si="0"/>
        <v>801.97</v>
      </c>
      <c r="N13" s="3056">
        <f t="shared" si="1"/>
        <v>131.43</v>
      </c>
      <c r="O13" s="3056">
        <f t="shared" ca="1" si="2"/>
        <v>1593</v>
      </c>
      <c r="P13" s="3056">
        <f t="shared" ca="1" si="6"/>
        <v>19866</v>
      </c>
      <c r="Q13" s="3056">
        <f t="shared" ca="1" si="3"/>
        <v>528</v>
      </c>
      <c r="R13" s="3056">
        <f t="shared" ref="R13" ca="1" si="13">R12</f>
        <v>6578</v>
      </c>
      <c r="S13" s="3056">
        <f t="shared" ca="1" si="4"/>
        <v>2121</v>
      </c>
      <c r="T13" s="3056">
        <f t="shared" ca="1" si="5"/>
        <v>26444</v>
      </c>
    </row>
    <row r="14" spans="1:20" ht="40.5">
      <c r="A14" s="3058">
        <v>11</v>
      </c>
      <c r="B14" s="3059" t="s">
        <v>3112</v>
      </c>
      <c r="C14" s="3059" t="s">
        <v>3113</v>
      </c>
      <c r="D14" s="3059">
        <v>133.81</v>
      </c>
      <c r="E14" s="3059">
        <v>816.48</v>
      </c>
      <c r="F14" s="3059">
        <v>0</v>
      </c>
      <c r="G14" s="3059">
        <v>816.48</v>
      </c>
      <c r="J14" s="3062">
        <v>11</v>
      </c>
      <c r="K14" s="3062">
        <v>12</v>
      </c>
      <c r="L14" s="3056" t="s">
        <v>3083</v>
      </c>
      <c r="M14" s="3056">
        <f t="shared" si="0"/>
        <v>816.48</v>
      </c>
      <c r="N14" s="3056">
        <f t="shared" si="1"/>
        <v>133.81</v>
      </c>
      <c r="O14" s="3056">
        <f t="shared" ca="1" si="2"/>
        <v>1622</v>
      </c>
      <c r="P14" s="3056">
        <f t="shared" ca="1" si="6"/>
        <v>19866</v>
      </c>
      <c r="Q14" s="3056">
        <f t="shared" ca="1" si="3"/>
        <v>537</v>
      </c>
      <c r="R14" s="3056">
        <f t="shared" ref="R14" ca="1" si="14">R12</f>
        <v>6578</v>
      </c>
      <c r="S14" s="3056">
        <f t="shared" ca="1" si="4"/>
        <v>2159</v>
      </c>
      <c r="T14" s="3056">
        <f t="shared" ca="1" si="5"/>
        <v>26444</v>
      </c>
    </row>
    <row r="15" spans="1:20" ht="40.5">
      <c r="A15" s="3058">
        <v>12</v>
      </c>
      <c r="B15" s="3059" t="s">
        <v>3114</v>
      </c>
      <c r="C15" s="3059" t="s">
        <v>3115</v>
      </c>
      <c r="D15" s="3059">
        <v>133.81</v>
      </c>
      <c r="E15" s="3059">
        <v>816.48</v>
      </c>
      <c r="F15" s="3059">
        <v>0</v>
      </c>
      <c r="G15" s="3059">
        <v>816.48</v>
      </c>
      <c r="J15" s="3062">
        <v>12</v>
      </c>
      <c r="K15" s="3062">
        <v>15</v>
      </c>
      <c r="L15" s="3056" t="s">
        <v>3083</v>
      </c>
      <c r="M15" s="3056">
        <f t="shared" si="0"/>
        <v>816.48</v>
      </c>
      <c r="N15" s="3056">
        <f t="shared" si="1"/>
        <v>133.81</v>
      </c>
      <c r="O15" s="3056">
        <f t="shared" ca="1" si="2"/>
        <v>1622</v>
      </c>
      <c r="P15" s="3056">
        <f t="shared" ca="1" si="6"/>
        <v>19866</v>
      </c>
      <c r="Q15" s="3056">
        <f t="shared" ca="1" si="3"/>
        <v>537</v>
      </c>
      <c r="R15" s="3056">
        <f t="shared" ref="R15" ca="1" si="15">R14</f>
        <v>6578</v>
      </c>
      <c r="S15" s="3056">
        <f t="shared" ca="1" si="4"/>
        <v>2159</v>
      </c>
      <c r="T15" s="3056">
        <f t="shared" ca="1" si="5"/>
        <v>26444</v>
      </c>
    </row>
    <row r="16" spans="1:20" ht="40.5">
      <c r="A16" s="3058">
        <v>13</v>
      </c>
      <c r="B16" s="3059" t="s">
        <v>3116</v>
      </c>
      <c r="C16" s="3059" t="s">
        <v>3117</v>
      </c>
      <c r="D16" s="3059">
        <v>133.81</v>
      </c>
      <c r="E16" s="3059">
        <v>816.48</v>
      </c>
      <c r="F16" s="3059">
        <v>0</v>
      </c>
      <c r="G16" s="3059">
        <v>816.48</v>
      </c>
      <c r="J16" s="3062">
        <v>13</v>
      </c>
      <c r="K16" s="3062">
        <v>16</v>
      </c>
      <c r="L16" s="3056" t="s">
        <v>3083</v>
      </c>
      <c r="M16" s="3056">
        <f t="shared" si="0"/>
        <v>816.48</v>
      </c>
      <c r="N16" s="3056">
        <f t="shared" si="1"/>
        <v>133.81</v>
      </c>
      <c r="O16" s="3056">
        <f t="shared" ca="1" si="2"/>
        <v>1622</v>
      </c>
      <c r="P16" s="3056">
        <f t="shared" ca="1" si="6"/>
        <v>19866</v>
      </c>
      <c r="Q16" s="3056">
        <f t="shared" ca="1" si="3"/>
        <v>537</v>
      </c>
      <c r="R16" s="3056">
        <f t="shared" ref="R16" ca="1" si="16">R14</f>
        <v>6578</v>
      </c>
      <c r="S16" s="3056">
        <f t="shared" ca="1" si="4"/>
        <v>2159</v>
      </c>
      <c r="T16" s="3056">
        <f t="shared" ca="1" si="5"/>
        <v>26444</v>
      </c>
    </row>
    <row r="17" spans="1:20" ht="40.5">
      <c r="A17" s="3058">
        <v>14</v>
      </c>
      <c r="B17" s="3059" t="s">
        <v>3118</v>
      </c>
      <c r="C17" s="3059" t="s">
        <v>3119</v>
      </c>
      <c r="D17" s="3059">
        <v>133.81</v>
      </c>
      <c r="E17" s="3059">
        <v>816.48</v>
      </c>
      <c r="F17" s="3059">
        <v>0</v>
      </c>
      <c r="G17" s="3059">
        <v>816.48</v>
      </c>
      <c r="J17" s="3062">
        <v>14</v>
      </c>
      <c r="K17" s="3062">
        <v>17</v>
      </c>
      <c r="L17" s="3056" t="s">
        <v>3084</v>
      </c>
      <c r="M17" s="3056">
        <f t="shared" si="0"/>
        <v>816.48</v>
      </c>
      <c r="N17" s="3056">
        <f t="shared" si="1"/>
        <v>133.81</v>
      </c>
      <c r="O17" s="3056">
        <f t="shared" ca="1" si="2"/>
        <v>1622</v>
      </c>
      <c r="P17" s="3056">
        <f t="shared" ca="1" si="6"/>
        <v>19866</v>
      </c>
      <c r="Q17" s="3056">
        <f t="shared" ca="1" si="3"/>
        <v>537</v>
      </c>
      <c r="R17" s="3056">
        <f t="shared" ref="R17" ca="1" si="17">R16</f>
        <v>6578</v>
      </c>
      <c r="S17" s="3056">
        <f t="shared" ca="1" si="4"/>
        <v>2159</v>
      </c>
      <c r="T17" s="3056">
        <f t="shared" ca="1" si="5"/>
        <v>26444</v>
      </c>
    </row>
    <row r="18" spans="1:20" ht="40.5">
      <c r="A18" s="3058">
        <v>15</v>
      </c>
      <c r="B18" s="3059" t="s">
        <v>3120</v>
      </c>
      <c r="C18" s="3059" t="s">
        <v>3121</v>
      </c>
      <c r="D18" s="3059">
        <v>133.81</v>
      </c>
      <c r="E18" s="3059">
        <v>816.48</v>
      </c>
      <c r="F18" s="3059">
        <v>0</v>
      </c>
      <c r="G18" s="3059">
        <v>816.48</v>
      </c>
      <c r="J18" s="3062">
        <v>15</v>
      </c>
      <c r="K18" s="3062">
        <v>18</v>
      </c>
      <c r="L18" s="3056" t="s">
        <v>3083</v>
      </c>
      <c r="M18" s="3056">
        <f t="shared" si="0"/>
        <v>816.48</v>
      </c>
      <c r="N18" s="3056">
        <f t="shared" si="1"/>
        <v>133.81</v>
      </c>
      <c r="O18" s="3056">
        <f t="shared" ca="1" si="2"/>
        <v>1622</v>
      </c>
      <c r="P18" s="3056">
        <f t="shared" ca="1" si="6"/>
        <v>19866</v>
      </c>
      <c r="Q18" s="3056">
        <f t="shared" ca="1" si="3"/>
        <v>537</v>
      </c>
      <c r="R18" s="3056">
        <f t="shared" ref="R18" ca="1" si="18">R16</f>
        <v>6578</v>
      </c>
      <c r="S18" s="3056">
        <f t="shared" ca="1" si="4"/>
        <v>2159</v>
      </c>
      <c r="T18" s="3056">
        <f t="shared" ca="1" si="5"/>
        <v>26444</v>
      </c>
    </row>
    <row r="19" spans="1:20" ht="40.5">
      <c r="A19" s="3058">
        <v>16</v>
      </c>
      <c r="B19" s="3059" t="s">
        <v>3122</v>
      </c>
      <c r="C19" s="3059" t="s">
        <v>3123</v>
      </c>
      <c r="D19" s="3059">
        <v>133.81</v>
      </c>
      <c r="E19" s="3059">
        <v>816.48</v>
      </c>
      <c r="F19" s="3059">
        <v>0</v>
      </c>
      <c r="G19" s="3059">
        <v>816.48</v>
      </c>
      <c r="J19" s="3062">
        <v>16</v>
      </c>
      <c r="K19" s="3062">
        <v>19</v>
      </c>
      <c r="L19" s="3056" t="s">
        <v>3083</v>
      </c>
      <c r="M19" s="3056">
        <f t="shared" si="0"/>
        <v>816.48</v>
      </c>
      <c r="N19" s="3056">
        <f t="shared" si="1"/>
        <v>133.81</v>
      </c>
      <c r="O19" s="3056">
        <f t="shared" ca="1" si="2"/>
        <v>1622</v>
      </c>
      <c r="P19" s="3056">
        <f t="shared" ca="1" si="6"/>
        <v>19866</v>
      </c>
      <c r="Q19" s="3056">
        <f t="shared" ca="1" si="3"/>
        <v>537</v>
      </c>
      <c r="R19" s="3056">
        <f t="shared" ref="R19" ca="1" si="19">R18</f>
        <v>6578</v>
      </c>
      <c r="S19" s="3056">
        <f t="shared" ca="1" si="4"/>
        <v>2159</v>
      </c>
      <c r="T19" s="3056">
        <f t="shared" ca="1" si="5"/>
        <v>26444</v>
      </c>
    </row>
    <row r="20" spans="1:20" ht="40.5">
      <c r="A20" s="3058">
        <v>17</v>
      </c>
      <c r="B20" s="3059" t="s">
        <v>3124</v>
      </c>
      <c r="C20" s="3059" t="s">
        <v>3125</v>
      </c>
      <c r="D20" s="3059">
        <v>133.81</v>
      </c>
      <c r="E20" s="3059">
        <v>816.48</v>
      </c>
      <c r="F20" s="3059">
        <v>0</v>
      </c>
      <c r="G20" s="3059">
        <v>816.48</v>
      </c>
      <c r="J20" s="3062">
        <v>17</v>
      </c>
      <c r="K20" s="3062">
        <v>20</v>
      </c>
      <c r="L20" s="3056" t="s">
        <v>3083</v>
      </c>
      <c r="M20" s="3056">
        <f t="shared" si="0"/>
        <v>816.48</v>
      </c>
      <c r="N20" s="3056">
        <f t="shared" si="1"/>
        <v>133.81</v>
      </c>
      <c r="O20" s="3056">
        <f t="shared" ca="1" si="2"/>
        <v>1622</v>
      </c>
      <c r="P20" s="3056">
        <f t="shared" ca="1" si="6"/>
        <v>19866</v>
      </c>
      <c r="Q20" s="3056">
        <f t="shared" ca="1" si="3"/>
        <v>537</v>
      </c>
      <c r="R20" s="3056">
        <f t="shared" ref="R20" ca="1" si="20">R18</f>
        <v>6578</v>
      </c>
      <c r="S20" s="3056">
        <f t="shared" ca="1" si="4"/>
        <v>2159</v>
      </c>
      <c r="T20" s="3056">
        <f t="shared" ca="1" si="5"/>
        <v>26444</v>
      </c>
    </row>
    <row r="21" spans="1:20" ht="40.5">
      <c r="A21" s="3058">
        <v>18</v>
      </c>
      <c r="B21" s="3059" t="s">
        <v>3126</v>
      </c>
      <c r="C21" s="3059" t="s">
        <v>3127</v>
      </c>
      <c r="D21" s="3059">
        <v>133.81</v>
      </c>
      <c r="E21" s="3059">
        <v>816.48</v>
      </c>
      <c r="F21" s="3059">
        <v>0</v>
      </c>
      <c r="G21" s="3059">
        <v>816.48</v>
      </c>
      <c r="J21" s="3062">
        <v>18</v>
      </c>
      <c r="K21" s="3062">
        <v>21</v>
      </c>
      <c r="L21" s="3056" t="s">
        <v>3083</v>
      </c>
      <c r="M21" s="3056">
        <f t="shared" si="0"/>
        <v>816.48</v>
      </c>
      <c r="N21" s="3056">
        <f t="shared" si="1"/>
        <v>133.81</v>
      </c>
      <c r="O21" s="3056">
        <f t="shared" ca="1" si="2"/>
        <v>1622</v>
      </c>
      <c r="P21" s="3056">
        <f t="shared" ca="1" si="6"/>
        <v>19866</v>
      </c>
      <c r="Q21" s="3056">
        <f t="shared" ca="1" si="3"/>
        <v>537</v>
      </c>
      <c r="R21" s="3056">
        <f t="shared" ref="R21" ca="1" si="21">R20</f>
        <v>6578</v>
      </c>
      <c r="S21" s="3056">
        <f t="shared" ca="1" si="4"/>
        <v>2159</v>
      </c>
      <c r="T21" s="3056">
        <f t="shared" ca="1" si="5"/>
        <v>26444</v>
      </c>
    </row>
    <row r="22" spans="1:20" ht="40.5">
      <c r="A22" s="3058">
        <v>19</v>
      </c>
      <c r="B22" s="3059" t="s">
        <v>3128</v>
      </c>
      <c r="C22" s="3059" t="s">
        <v>3129</v>
      </c>
      <c r="D22" s="3059">
        <v>133.81</v>
      </c>
      <c r="E22" s="3059">
        <v>816.48</v>
      </c>
      <c r="F22" s="3059">
        <v>0</v>
      </c>
      <c r="G22" s="3059">
        <v>816.48</v>
      </c>
      <c r="J22" s="3062">
        <v>19</v>
      </c>
      <c r="K22" s="3062">
        <v>22</v>
      </c>
      <c r="L22" s="3056" t="s">
        <v>3083</v>
      </c>
      <c r="M22" s="3056">
        <f t="shared" si="0"/>
        <v>816.48</v>
      </c>
      <c r="N22" s="3056">
        <f t="shared" si="1"/>
        <v>133.81</v>
      </c>
      <c r="O22" s="3056">
        <f t="shared" ca="1" si="2"/>
        <v>1622</v>
      </c>
      <c r="P22" s="3056">
        <f t="shared" ca="1" si="6"/>
        <v>19866</v>
      </c>
      <c r="Q22" s="3056">
        <f t="shared" ca="1" si="3"/>
        <v>537</v>
      </c>
      <c r="R22" s="3056">
        <f t="shared" ref="R22" ca="1" si="22">R20</f>
        <v>6578</v>
      </c>
      <c r="S22" s="3056">
        <f t="shared" ca="1" si="4"/>
        <v>2159</v>
      </c>
      <c r="T22" s="3056">
        <f t="shared" ca="1" si="5"/>
        <v>26444</v>
      </c>
    </row>
    <row r="23" spans="1:20" ht="40.5">
      <c r="A23" s="3058">
        <v>20</v>
      </c>
      <c r="B23" s="3059" t="s">
        <v>3130</v>
      </c>
      <c r="C23" s="3059" t="s">
        <v>3131</v>
      </c>
      <c r="D23" s="3059">
        <v>133.81</v>
      </c>
      <c r="E23" s="3059">
        <v>816.48</v>
      </c>
      <c r="F23" s="3059">
        <v>0</v>
      </c>
      <c r="G23" s="3059">
        <v>816.48</v>
      </c>
      <c r="J23" s="3062">
        <v>20</v>
      </c>
      <c r="K23" s="3062">
        <v>23</v>
      </c>
      <c r="L23" s="3056" t="s">
        <v>3083</v>
      </c>
      <c r="M23" s="3056">
        <f t="shared" si="0"/>
        <v>816.48</v>
      </c>
      <c r="N23" s="3056">
        <f t="shared" si="1"/>
        <v>133.81</v>
      </c>
      <c r="O23" s="3056">
        <f t="shared" ca="1" si="2"/>
        <v>1622</v>
      </c>
      <c r="P23" s="3056">
        <f t="shared" ca="1" si="6"/>
        <v>19866</v>
      </c>
      <c r="Q23" s="3056">
        <f t="shared" ca="1" si="3"/>
        <v>537</v>
      </c>
      <c r="R23" s="3056">
        <f t="shared" ref="R23" ca="1" si="23">R22</f>
        <v>6578</v>
      </c>
      <c r="S23" s="3056">
        <f t="shared" ca="1" si="4"/>
        <v>2159</v>
      </c>
      <c r="T23" s="3056">
        <f t="shared" ca="1" si="5"/>
        <v>26444</v>
      </c>
    </row>
    <row r="24" spans="1:20" ht="40.5">
      <c r="A24" s="3058">
        <v>21</v>
      </c>
      <c r="B24" s="3059" t="s">
        <v>3132</v>
      </c>
      <c r="C24" s="3059" t="s">
        <v>3133</v>
      </c>
      <c r="D24" s="3059">
        <v>128.19999999999999</v>
      </c>
      <c r="E24" s="3059">
        <v>782.25</v>
      </c>
      <c r="F24" s="3059">
        <v>0</v>
      </c>
      <c r="G24" s="3059">
        <v>782.25</v>
      </c>
      <c r="J24" s="3062">
        <v>21</v>
      </c>
      <c r="K24" s="3062">
        <v>25</v>
      </c>
      <c r="L24" s="3056" t="s">
        <v>3083</v>
      </c>
      <c r="M24" s="3056">
        <f t="shared" si="0"/>
        <v>782.25</v>
      </c>
      <c r="N24" s="3056">
        <f t="shared" si="1"/>
        <v>128.19999999999999</v>
      </c>
      <c r="O24" s="3056">
        <f t="shared" ca="1" si="2"/>
        <v>1554</v>
      </c>
      <c r="P24" s="3056">
        <f t="shared" ca="1" si="6"/>
        <v>19866</v>
      </c>
      <c r="Q24" s="3056">
        <f t="shared" ca="1" si="3"/>
        <v>515</v>
      </c>
      <c r="R24" s="3056">
        <f t="shared" ref="R24" ca="1" si="24">R22</f>
        <v>6578</v>
      </c>
      <c r="S24" s="3056">
        <f t="shared" ca="1" si="4"/>
        <v>2069</v>
      </c>
      <c r="T24" s="3056">
        <f t="shared" ca="1" si="5"/>
        <v>26444</v>
      </c>
    </row>
    <row r="25" spans="1:20" ht="40.5">
      <c r="A25" s="3058">
        <v>22</v>
      </c>
      <c r="B25" s="3059" t="s">
        <v>3134</v>
      </c>
      <c r="C25" s="3059" t="s">
        <v>3135</v>
      </c>
      <c r="D25" s="3059">
        <v>133.81</v>
      </c>
      <c r="E25" s="3059">
        <v>816.48</v>
      </c>
      <c r="F25" s="3059">
        <v>0</v>
      </c>
      <c r="G25" s="3059">
        <v>816.48</v>
      </c>
      <c r="J25" s="3062">
        <v>22</v>
      </c>
      <c r="K25" s="3062">
        <v>26</v>
      </c>
      <c r="L25" s="3056" t="s">
        <v>3083</v>
      </c>
      <c r="M25" s="3056">
        <f t="shared" si="0"/>
        <v>816.48</v>
      </c>
      <c r="N25" s="3056">
        <f t="shared" si="1"/>
        <v>133.81</v>
      </c>
      <c r="O25" s="3056">
        <f t="shared" ca="1" si="2"/>
        <v>1622</v>
      </c>
      <c r="P25" s="3056">
        <f t="shared" ca="1" si="6"/>
        <v>19866</v>
      </c>
      <c r="Q25" s="3056">
        <f t="shared" ca="1" si="3"/>
        <v>537</v>
      </c>
      <c r="R25" s="3056">
        <f t="shared" ref="R25" ca="1" si="25">R24</f>
        <v>6578</v>
      </c>
      <c r="S25" s="3056">
        <f t="shared" ca="1" si="4"/>
        <v>2159</v>
      </c>
      <c r="T25" s="3056">
        <f t="shared" ca="1" si="5"/>
        <v>26444</v>
      </c>
    </row>
    <row r="26" spans="1:20" ht="40.5">
      <c r="A26" s="3058">
        <v>23</v>
      </c>
      <c r="B26" s="3059" t="s">
        <v>3136</v>
      </c>
      <c r="C26" s="3059" t="s">
        <v>3137</v>
      </c>
      <c r="D26" s="3059">
        <v>133.81</v>
      </c>
      <c r="E26" s="3059">
        <v>816.48</v>
      </c>
      <c r="F26" s="3059">
        <v>0</v>
      </c>
      <c r="G26" s="3059">
        <v>816.48</v>
      </c>
      <c r="J26" s="3062">
        <v>23</v>
      </c>
      <c r="K26" s="3062">
        <v>27</v>
      </c>
      <c r="L26" s="3056" t="s">
        <v>3083</v>
      </c>
      <c r="M26" s="3056">
        <f t="shared" si="0"/>
        <v>816.48</v>
      </c>
      <c r="N26" s="3056">
        <f t="shared" si="1"/>
        <v>133.81</v>
      </c>
      <c r="O26" s="3056">
        <f t="shared" ca="1" si="2"/>
        <v>1622</v>
      </c>
      <c r="P26" s="3056">
        <f t="shared" ca="1" si="6"/>
        <v>19866</v>
      </c>
      <c r="Q26" s="3056">
        <f t="shared" ca="1" si="3"/>
        <v>537</v>
      </c>
      <c r="R26" s="3056">
        <f t="shared" ref="R26" ca="1" si="26">R24</f>
        <v>6578</v>
      </c>
      <c r="S26" s="3056">
        <f t="shared" ca="1" si="4"/>
        <v>2159</v>
      </c>
      <c r="T26" s="3056">
        <f t="shared" ca="1" si="5"/>
        <v>26444</v>
      </c>
    </row>
    <row r="27" spans="1:20" ht="40.5">
      <c r="A27" s="3058">
        <v>24</v>
      </c>
      <c r="B27" s="3059" t="s">
        <v>3138</v>
      </c>
      <c r="C27" s="3059" t="s">
        <v>3139</v>
      </c>
      <c r="D27" s="3059">
        <v>133.81</v>
      </c>
      <c r="E27" s="3059">
        <v>816.48</v>
      </c>
      <c r="F27" s="3059">
        <v>0</v>
      </c>
      <c r="G27" s="3059">
        <v>816.48</v>
      </c>
      <c r="J27" s="3062">
        <v>24</v>
      </c>
      <c r="K27" s="3062">
        <v>28</v>
      </c>
      <c r="L27" s="3056" t="s">
        <v>3083</v>
      </c>
      <c r="M27" s="3056">
        <f t="shared" si="0"/>
        <v>816.48</v>
      </c>
      <c r="N27" s="3056">
        <f t="shared" si="1"/>
        <v>133.81</v>
      </c>
      <c r="O27" s="3056">
        <f t="shared" ca="1" si="2"/>
        <v>1622</v>
      </c>
      <c r="P27" s="3056">
        <f t="shared" ca="1" si="6"/>
        <v>19866</v>
      </c>
      <c r="Q27" s="3056">
        <f t="shared" ca="1" si="3"/>
        <v>537</v>
      </c>
      <c r="R27" s="3056">
        <f t="shared" ref="R27" ca="1" si="27">R26</f>
        <v>6578</v>
      </c>
      <c r="S27" s="3056">
        <f t="shared" ca="1" si="4"/>
        <v>2159</v>
      </c>
      <c r="T27" s="3056">
        <f t="shared" ca="1" si="5"/>
        <v>26444</v>
      </c>
    </row>
    <row r="28" spans="1:20" ht="40.5">
      <c r="A28" s="3058">
        <v>25</v>
      </c>
      <c r="B28" s="3059" t="s">
        <v>3140</v>
      </c>
      <c r="C28" s="3059" t="s">
        <v>3141</v>
      </c>
      <c r="D28" s="3059">
        <v>133.81</v>
      </c>
      <c r="E28" s="3059">
        <v>816.48</v>
      </c>
      <c r="F28" s="3059">
        <v>0</v>
      </c>
      <c r="G28" s="3059">
        <v>816.48</v>
      </c>
      <c r="J28" s="3062">
        <v>25</v>
      </c>
      <c r="K28" s="3062">
        <v>29</v>
      </c>
      <c r="L28" s="3056" t="s">
        <v>3083</v>
      </c>
      <c r="M28" s="3056">
        <f t="shared" si="0"/>
        <v>816.48</v>
      </c>
      <c r="N28" s="3056">
        <f t="shared" si="1"/>
        <v>133.81</v>
      </c>
      <c r="O28" s="3056">
        <f t="shared" ca="1" si="2"/>
        <v>1622</v>
      </c>
      <c r="P28" s="3056">
        <f t="shared" ca="1" si="6"/>
        <v>19866</v>
      </c>
      <c r="Q28" s="3056">
        <f t="shared" ca="1" si="3"/>
        <v>537</v>
      </c>
      <c r="R28" s="3056">
        <f t="shared" ref="R28" ca="1" si="28">R26</f>
        <v>6578</v>
      </c>
      <c r="S28" s="3056">
        <f t="shared" ca="1" si="4"/>
        <v>2159</v>
      </c>
      <c r="T28" s="3056">
        <f t="shared" ca="1" si="5"/>
        <v>26444</v>
      </c>
    </row>
    <row r="29" spans="1:20" ht="40.5">
      <c r="A29" s="3058">
        <v>26</v>
      </c>
      <c r="B29" s="3059" t="s">
        <v>3142</v>
      </c>
      <c r="C29" s="3059" t="s">
        <v>3143</v>
      </c>
      <c r="D29" s="3059">
        <v>133.81</v>
      </c>
      <c r="E29" s="3059">
        <v>816.48</v>
      </c>
      <c r="F29" s="3059">
        <v>0</v>
      </c>
      <c r="G29" s="3059">
        <v>816.48</v>
      </c>
      <c r="J29" s="3062">
        <v>26</v>
      </c>
      <c r="K29" s="3062">
        <v>30</v>
      </c>
      <c r="L29" s="3056" t="s">
        <v>3083</v>
      </c>
      <c r="M29" s="3056">
        <f t="shared" si="0"/>
        <v>816.48</v>
      </c>
      <c r="N29" s="3056">
        <f t="shared" si="1"/>
        <v>133.81</v>
      </c>
      <c r="O29" s="3056">
        <f t="shared" ca="1" si="2"/>
        <v>1622</v>
      </c>
      <c r="P29" s="3056">
        <f t="shared" ca="1" si="6"/>
        <v>19866</v>
      </c>
      <c r="Q29" s="3056">
        <f t="shared" ca="1" si="3"/>
        <v>537</v>
      </c>
      <c r="R29" s="3056">
        <f t="shared" ref="R29" ca="1" si="29">R28</f>
        <v>6578</v>
      </c>
      <c r="S29" s="3056">
        <f t="shared" ca="1" si="4"/>
        <v>2159</v>
      </c>
      <c r="T29" s="3056">
        <f t="shared" ca="1" si="5"/>
        <v>26444</v>
      </c>
    </row>
    <row r="30" spans="1:20" ht="40.5">
      <c r="A30" s="3058">
        <v>27</v>
      </c>
      <c r="B30" s="3059" t="s">
        <v>3144</v>
      </c>
      <c r="C30" s="3059" t="s">
        <v>3145</v>
      </c>
      <c r="D30" s="3059">
        <v>133.81</v>
      </c>
      <c r="E30" s="3059">
        <v>816.48</v>
      </c>
      <c r="F30" s="3059">
        <v>0</v>
      </c>
      <c r="G30" s="3059">
        <v>816.48</v>
      </c>
      <c r="J30" s="3062">
        <v>27</v>
      </c>
      <c r="K30" s="3062">
        <v>31</v>
      </c>
      <c r="L30" s="3056" t="s">
        <v>3083</v>
      </c>
      <c r="M30" s="3056">
        <f t="shared" si="0"/>
        <v>816.48</v>
      </c>
      <c r="N30" s="3056">
        <f t="shared" si="1"/>
        <v>133.81</v>
      </c>
      <c r="O30" s="3056">
        <f t="shared" ca="1" si="2"/>
        <v>1622</v>
      </c>
      <c r="P30" s="3056">
        <f t="shared" ca="1" si="6"/>
        <v>19866</v>
      </c>
      <c r="Q30" s="3056">
        <f t="shared" ca="1" si="3"/>
        <v>537</v>
      </c>
      <c r="R30" s="3056">
        <f t="shared" ref="R30" ca="1" si="30">R28</f>
        <v>6578</v>
      </c>
      <c r="S30" s="3056">
        <f t="shared" ca="1" si="4"/>
        <v>2159</v>
      </c>
      <c r="T30" s="3056">
        <f t="shared" ca="1" si="5"/>
        <v>26444</v>
      </c>
    </row>
    <row r="31" spans="1:20" ht="40.5">
      <c r="A31" s="3058">
        <v>28</v>
      </c>
      <c r="B31" s="3059" t="s">
        <v>3146</v>
      </c>
      <c r="C31" s="3059" t="s">
        <v>3147</v>
      </c>
      <c r="D31" s="3059">
        <v>133.81</v>
      </c>
      <c r="E31" s="3059">
        <v>816.48</v>
      </c>
      <c r="F31" s="3059">
        <v>0</v>
      </c>
      <c r="G31" s="3059">
        <v>816.48</v>
      </c>
      <c r="J31" s="3062">
        <v>28</v>
      </c>
      <c r="K31" s="3062">
        <v>32</v>
      </c>
      <c r="L31" s="3056" t="s">
        <v>3083</v>
      </c>
      <c r="M31" s="3056">
        <f t="shared" si="0"/>
        <v>816.48</v>
      </c>
      <c r="N31" s="3056">
        <f t="shared" si="1"/>
        <v>133.81</v>
      </c>
      <c r="O31" s="3056">
        <f t="shared" ca="1" si="2"/>
        <v>1622</v>
      </c>
      <c r="P31" s="3056">
        <f t="shared" ca="1" si="6"/>
        <v>19866</v>
      </c>
      <c r="Q31" s="3056">
        <f t="shared" ca="1" si="3"/>
        <v>537</v>
      </c>
      <c r="R31" s="3056">
        <f t="shared" ref="R31" ca="1" si="31">R30</f>
        <v>6578</v>
      </c>
      <c r="S31" s="3056">
        <f t="shared" ca="1" si="4"/>
        <v>2159</v>
      </c>
      <c r="T31" s="3056">
        <f t="shared" ca="1" si="5"/>
        <v>26444</v>
      </c>
    </row>
    <row r="32" spans="1:20" ht="40.5">
      <c r="A32" s="3058">
        <v>29</v>
      </c>
      <c r="B32" s="3059" t="s">
        <v>3148</v>
      </c>
      <c r="C32" s="3059" t="s">
        <v>3149</v>
      </c>
      <c r="D32" s="3059">
        <v>133.81</v>
      </c>
      <c r="E32" s="3059">
        <v>816.48</v>
      </c>
      <c r="F32" s="3059">
        <v>0</v>
      </c>
      <c r="G32" s="3059">
        <v>816.48</v>
      </c>
      <c r="J32" s="3062">
        <v>29</v>
      </c>
      <c r="K32" s="3062">
        <v>33</v>
      </c>
      <c r="L32" s="3056" t="s">
        <v>3083</v>
      </c>
      <c r="M32" s="3056">
        <f t="shared" si="0"/>
        <v>816.48</v>
      </c>
      <c r="N32" s="3056">
        <f t="shared" si="1"/>
        <v>133.81</v>
      </c>
      <c r="O32" s="3056">
        <f t="shared" ca="1" si="2"/>
        <v>1622</v>
      </c>
      <c r="P32" s="3056">
        <f t="shared" ca="1" si="6"/>
        <v>19866</v>
      </c>
      <c r="Q32" s="3056">
        <f t="shared" ca="1" si="3"/>
        <v>537</v>
      </c>
      <c r="R32" s="3056">
        <f t="shared" ref="R32" ca="1" si="32">R30</f>
        <v>6578</v>
      </c>
      <c r="S32" s="3056">
        <f t="shared" ca="1" si="4"/>
        <v>2159</v>
      </c>
      <c r="T32" s="3056">
        <f t="shared" ca="1" si="5"/>
        <v>26444</v>
      </c>
    </row>
    <row r="33" spans="1:20" ht="40.5">
      <c r="A33" s="3058">
        <v>30</v>
      </c>
      <c r="B33" s="3059" t="s">
        <v>3150</v>
      </c>
      <c r="C33" s="3059" t="s">
        <v>3151</v>
      </c>
      <c r="D33" s="3059">
        <v>133.81</v>
      </c>
      <c r="E33" s="3059">
        <v>816.48</v>
      </c>
      <c r="F33" s="3059">
        <v>0</v>
      </c>
      <c r="G33" s="3059">
        <v>816.48</v>
      </c>
      <c r="J33" s="3062">
        <v>30</v>
      </c>
      <c r="K33" s="3062">
        <v>35</v>
      </c>
      <c r="L33" s="3056" t="s">
        <v>3083</v>
      </c>
      <c r="M33" s="3056">
        <f t="shared" si="0"/>
        <v>816.48</v>
      </c>
      <c r="N33" s="3056">
        <f t="shared" si="1"/>
        <v>133.81</v>
      </c>
      <c r="O33" s="3056">
        <f t="shared" ca="1" si="2"/>
        <v>1622</v>
      </c>
      <c r="P33" s="3056">
        <f t="shared" ca="1" si="6"/>
        <v>19866</v>
      </c>
      <c r="Q33" s="3056">
        <f t="shared" ca="1" si="3"/>
        <v>537</v>
      </c>
      <c r="R33" s="3056">
        <f t="shared" ref="R33" ca="1" si="33">R32</f>
        <v>6578</v>
      </c>
      <c r="S33" s="3056">
        <f t="shared" ca="1" si="4"/>
        <v>2159</v>
      </c>
      <c r="T33" s="3056">
        <f t="shared" ca="1" si="5"/>
        <v>26444</v>
      </c>
    </row>
    <row r="34" spans="1:20" ht="40.5">
      <c r="A34" s="3058">
        <v>31</v>
      </c>
      <c r="B34" s="3059" t="s">
        <v>3152</v>
      </c>
      <c r="C34" s="3059" t="s">
        <v>3153</v>
      </c>
      <c r="D34" s="3059">
        <v>138.15</v>
      </c>
      <c r="E34" s="3059">
        <v>843.01</v>
      </c>
      <c r="F34" s="3059">
        <v>0</v>
      </c>
      <c r="G34" s="3059">
        <v>843.01</v>
      </c>
      <c r="J34" s="3062">
        <v>31</v>
      </c>
      <c r="K34" s="3062">
        <v>36</v>
      </c>
      <c r="L34" s="3056" t="s">
        <v>3085</v>
      </c>
      <c r="M34" s="3056">
        <f t="shared" si="0"/>
        <v>843.01</v>
      </c>
      <c r="N34" s="3056">
        <f t="shared" si="1"/>
        <v>138.15</v>
      </c>
      <c r="O34" s="3056">
        <f t="shared" ca="1" si="2"/>
        <v>1675</v>
      </c>
      <c r="P34" s="3056">
        <f t="shared" ca="1" si="6"/>
        <v>19866</v>
      </c>
      <c r="Q34" s="3056">
        <f t="shared" ca="1" si="3"/>
        <v>555</v>
      </c>
      <c r="R34" s="3056">
        <f t="shared" ref="R34" ca="1" si="34">R32</f>
        <v>6578</v>
      </c>
      <c r="S34" s="3056">
        <f ca="1">Q34+O34</f>
        <v>2230</v>
      </c>
      <c r="T34" s="3056">
        <f t="shared" ca="1" si="5"/>
        <v>26444</v>
      </c>
    </row>
    <row r="35" spans="1:20" ht="40.5">
      <c r="A35" s="3058">
        <v>32</v>
      </c>
      <c r="B35" s="3059" t="s">
        <v>3154</v>
      </c>
      <c r="C35" s="3059" t="s">
        <v>3155</v>
      </c>
      <c r="D35" s="3059">
        <v>136.28999999999905</v>
      </c>
      <c r="E35" s="3059">
        <v>832.04</v>
      </c>
      <c r="F35" s="3059">
        <v>0</v>
      </c>
      <c r="G35" s="3059">
        <v>832.04</v>
      </c>
      <c r="J35" s="3062">
        <v>32</v>
      </c>
      <c r="K35" s="3062">
        <v>37</v>
      </c>
      <c r="L35" s="3056" t="s">
        <v>3081</v>
      </c>
      <c r="M35" s="3056">
        <f t="shared" si="0"/>
        <v>832.04</v>
      </c>
      <c r="N35" s="3056">
        <f t="shared" si="1"/>
        <v>136.28999999999905</v>
      </c>
      <c r="O35" s="3056">
        <f ca="1">L2-SUM(O5:O34)</f>
        <v>1654</v>
      </c>
      <c r="P35" s="3056">
        <f t="shared" ca="1" si="6"/>
        <v>19866</v>
      </c>
      <c r="Q35" s="3056">
        <f ca="1">ROUND(R35*G35/10000,0)</f>
        <v>547</v>
      </c>
      <c r="R35" s="3056">
        <f ca="1">R34</f>
        <v>6578</v>
      </c>
      <c r="S35" s="3056">
        <f ca="1">Q35+O35</f>
        <v>2201</v>
      </c>
      <c r="T35" s="3056">
        <f t="shared" ca="1" si="5"/>
        <v>26444</v>
      </c>
    </row>
    <row r="36" spans="1:20">
      <c r="A36" s="3146" t="s">
        <v>70</v>
      </c>
      <c r="B36" s="3146"/>
      <c r="C36" s="3057" t="s">
        <v>37</v>
      </c>
      <c r="D36" s="3057">
        <f>SUM(D4:D35)</f>
        <v>5000</v>
      </c>
      <c r="E36" s="3057">
        <f t="shared" ref="E36:F36" si="35">SUM(E4:E35)</f>
        <v>28836.85999999999</v>
      </c>
      <c r="F36" s="3057">
        <f t="shared" si="35"/>
        <v>1672.86</v>
      </c>
      <c r="G36" s="3057">
        <f>SUM(G4:G35)</f>
        <v>30509.719999999987</v>
      </c>
      <c r="K36" s="3056" t="s">
        <v>3156</v>
      </c>
      <c r="L36" s="3056" t="s">
        <v>3086</v>
      </c>
      <c r="M36" s="3056">
        <f>SUM(M4:M35)</f>
        <v>30509.719999999987</v>
      </c>
      <c r="N36" s="3056">
        <f>SUM(N4:N35)</f>
        <v>5000</v>
      </c>
      <c r="O36" s="3149">
        <f ca="1">SUM(O4:O35)</f>
        <v>58329</v>
      </c>
      <c r="P36" s="3149"/>
      <c r="Q36" s="3149">
        <f ca="1">SUM(Q4:Q35)</f>
        <v>20070</v>
      </c>
      <c r="R36" s="3149"/>
      <c r="S36" s="3149">
        <f ca="1">Q36+O36</f>
        <v>78399</v>
      </c>
      <c r="T36" s="3149"/>
    </row>
    <row r="37" spans="1:20">
      <c r="O37" s="3147">
        <f ca="1">O36*10000</f>
        <v>583290000</v>
      </c>
      <c r="P37" s="3147"/>
      <c r="Q37" s="3147">
        <f t="shared" ref="Q37" ca="1" si="36">Q36*10000</f>
        <v>200700000</v>
      </c>
      <c r="R37" s="3147"/>
      <c r="S37" s="3147">
        <f t="shared" ref="S37" ca="1" si="37">S36*10000</f>
        <v>783990000</v>
      </c>
      <c r="T37" s="3147"/>
    </row>
  </sheetData>
  <mergeCells count="16">
    <mergeCell ref="O37:P37"/>
    <mergeCell ref="Q37:R37"/>
    <mergeCell ref="S37:T37"/>
    <mergeCell ref="A36:B36"/>
    <mergeCell ref="O2:P2"/>
    <mergeCell ref="Q2:R2"/>
    <mergeCell ref="S2:T2"/>
    <mergeCell ref="O36:P36"/>
    <mergeCell ref="Q36:R36"/>
    <mergeCell ref="S36:T36"/>
    <mergeCell ref="A1:G1"/>
    <mergeCell ref="A2:A3"/>
    <mergeCell ref="B2:B3"/>
    <mergeCell ref="C2:C3"/>
    <mergeCell ref="D2:D3"/>
    <mergeCell ref="E2:G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90" zoomScaleNormal="100" zoomScaleSheetLayoutView="90" workbookViewId="0">
      <selection activeCell="G20" sqref="G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9" t="s">
        <v>1817</v>
      </c>
      <c r="B2" s="3159"/>
      <c r="C2" s="3159"/>
      <c r="D2" s="904" t="s">
        <v>1793</v>
      </c>
      <c r="E2" s="1826" t="s">
        <v>1794</v>
      </c>
      <c r="F2" s="2888"/>
      <c r="G2" s="2879"/>
      <c r="H2" s="2880"/>
      <c r="I2" s="2550" t="s">
        <v>1818</v>
      </c>
      <c r="J2" s="2888"/>
      <c r="K2" s="2888"/>
      <c r="L2" s="2888"/>
      <c r="M2" s="2888"/>
      <c r="N2" s="2890"/>
      <c r="O2" s="2888"/>
      <c r="P2" s="2888"/>
    </row>
    <row r="3" spans="1:16" ht="15.75" thickBot="1">
      <c r="A3" s="3160" t="s">
        <v>1791</v>
      </c>
      <c r="B3" s="3160"/>
      <c r="C3" s="3160"/>
      <c r="D3" s="46">
        <f>'数据-基础表'!AY6</f>
        <v>5000</v>
      </c>
      <c r="E3" s="46">
        <f>'数据-基础表'!AZ5</f>
        <v>30509.71999999999</v>
      </c>
      <c r="F3" s="2888"/>
      <c r="G3" s="1307"/>
      <c r="H3" s="1157" t="s">
        <v>1792</v>
      </c>
      <c r="I3" s="964">
        <f>ROUND('数据-基础表'!B3/'数据-基础表'!A3,2)</f>
        <v>6.1</v>
      </c>
      <c r="J3" s="2888"/>
      <c r="K3" s="2888"/>
      <c r="L3" s="2888"/>
      <c r="M3" s="2888"/>
      <c r="N3" s="2890"/>
      <c r="O3" s="2888"/>
      <c r="P3" s="2888"/>
    </row>
    <row r="4" spans="1:16" ht="15">
      <c r="A4" s="3161"/>
      <c r="B4" s="3162"/>
      <c r="C4" s="3163"/>
      <c r="D4" s="1828" t="s">
        <v>1793</v>
      </c>
      <c r="E4" s="1829" t="s">
        <v>1794</v>
      </c>
      <c r="F4" s="2888"/>
      <c r="G4" s="2881" t="s">
        <v>1819</v>
      </c>
      <c r="H4" s="1157" t="s">
        <v>1799</v>
      </c>
      <c r="I4" s="964">
        <f>ROUND(SUMIF('数据-基础表'!I9:AS9,"地上",'数据-基础表'!I5:AS5)/'数据-基础表'!A3,2)</f>
        <v>5.77</v>
      </c>
      <c r="J4" s="2888"/>
      <c r="K4" s="2888"/>
      <c r="L4" s="2888"/>
      <c r="M4" s="2888"/>
      <c r="N4" s="2890"/>
      <c r="O4" s="2888"/>
      <c r="P4" s="2888"/>
    </row>
    <row r="5" spans="1:16">
      <c r="A5" s="47" t="s">
        <v>1795</v>
      </c>
      <c r="B5" s="3164" t="s">
        <v>1796</v>
      </c>
      <c r="C5" s="3164"/>
      <c r="D5" s="48">
        <f>ROUND($D$3*E5/$E$3,2)</f>
        <v>0</v>
      </c>
      <c r="E5" s="49">
        <f>SUMIF('数据-基础表'!$11:$11,"住宅",'数据-基础表'!$5:$5)</f>
        <v>0</v>
      </c>
      <c r="F5" s="2888"/>
      <c r="G5" s="1307"/>
      <c r="H5" s="1157" t="s">
        <v>1792</v>
      </c>
      <c r="I5" s="964">
        <f>ROUND(E31/D31,2)</f>
        <v>6.1</v>
      </c>
      <c r="J5" s="2888"/>
      <c r="K5" s="2888"/>
      <c r="L5" s="2888"/>
      <c r="M5" s="2888"/>
      <c r="N5" s="2888"/>
      <c r="O5" s="2888"/>
      <c r="P5" s="2888"/>
    </row>
    <row r="6" spans="1:16" ht="15" thickBot="1">
      <c r="A6" s="1831"/>
      <c r="B6" s="3164" t="s">
        <v>1797</v>
      </c>
      <c r="C6" s="3164"/>
      <c r="D6" s="48">
        <f>ROUND($D$3*E6/$E$3,2)</f>
        <v>5000</v>
      </c>
      <c r="E6" s="49">
        <f>E3-E5</f>
        <v>30509.71999999999</v>
      </c>
      <c r="F6" s="2888"/>
      <c r="G6" s="2882" t="s">
        <v>1798</v>
      </c>
      <c r="H6" s="1308" t="s">
        <v>1799</v>
      </c>
      <c r="I6" s="2883">
        <f>ROUND(F31/D31,2)</f>
        <v>5.77</v>
      </c>
      <c r="J6" s="2888"/>
      <c r="K6" s="2888"/>
      <c r="L6" s="2888"/>
      <c r="M6" s="2888"/>
      <c r="N6" s="2888"/>
      <c r="O6" s="2888"/>
      <c r="P6" s="2888"/>
    </row>
    <row r="7" spans="1:16" ht="15.75" thickBot="1">
      <c r="A7" s="3156"/>
      <c r="B7" s="3157"/>
      <c r="C7" s="3158"/>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4725.8500000000004</v>
      </c>
      <c r="E8" s="51">
        <f>SUMIF('数据-基础表'!BB10:BK10,"地上",'数据-基础表'!BB5:BK5)</f>
        <v>28836.85999999999</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274.14999999999998</v>
      </c>
      <c r="E11" s="51">
        <f>SUMPRODUCT(('数据-基础表'!BB10:BK10="地下")*('数据-基础表'!BB11:BK11="办公")*('数据-基础表'!BB5:BK5))+'数据-基础表'!BP5</f>
        <v>1672.86</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5000</v>
      </c>
      <c r="E16" s="53">
        <f>SUM(E8:E15)</f>
        <v>30509.71999999999</v>
      </c>
      <c r="F16" s="2888"/>
      <c r="G16" s="2889"/>
      <c r="H16" s="1835" t="s">
        <v>1821</v>
      </c>
      <c r="I16" s="1836"/>
      <c r="J16" s="1301"/>
      <c r="K16" s="3153" t="s">
        <v>1821</v>
      </c>
      <c r="L16" s="3154"/>
      <c r="M16" s="3154"/>
      <c r="N16" s="3154"/>
      <c r="O16" s="3154"/>
      <c r="P16" s="3155"/>
    </row>
    <row r="17" spans="1:19" ht="15">
      <c r="A17" s="1837" t="s">
        <v>1822</v>
      </c>
      <c r="B17" s="1838" t="s">
        <v>1823</v>
      </c>
      <c r="C17" s="1839" t="s">
        <v>1824</v>
      </c>
      <c r="D17" s="1840" t="s">
        <v>1812</v>
      </c>
      <c r="E17" s="1841" t="s">
        <v>1813</v>
      </c>
      <c r="F17" s="1842"/>
      <c r="G17" s="1843"/>
      <c r="H17" s="1844" t="s">
        <v>1825</v>
      </c>
      <c r="I17" s="1845" t="s">
        <v>1810</v>
      </c>
      <c r="J17" s="1301"/>
      <c r="K17" s="3150" t="s">
        <v>1826</v>
      </c>
      <c r="L17" s="3151"/>
      <c r="M17" s="3152"/>
      <c r="N17" s="3150" t="s">
        <v>1827</v>
      </c>
      <c r="O17" s="3151"/>
      <c r="P17" s="3152"/>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3158</v>
      </c>
      <c r="D19" s="48">
        <f>ROUND($D$3*E19/$E$3,2)</f>
        <v>728.83</v>
      </c>
      <c r="E19" s="56">
        <f t="shared" ref="E19:E26" si="1">SUM(F19:G19)</f>
        <v>4447.29</v>
      </c>
      <c r="F19" s="3027">
        <f>'数据-基础表'!K13</f>
        <v>4447.29</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728.83</v>
      </c>
      <c r="S19" s="1158">
        <f t="shared" si="5"/>
        <v>4447.29</v>
      </c>
    </row>
    <row r="20" spans="1:19">
      <c r="A20" s="1858"/>
      <c r="B20" s="50" t="s">
        <v>1839</v>
      </c>
      <c r="C20" s="3063" t="s">
        <v>3159</v>
      </c>
      <c r="D20" s="48">
        <f t="shared" ref="D20:D26" si="6">ROUND($D$3*E20/$E$3,2)</f>
        <v>4271.17</v>
      </c>
      <c r="E20" s="56">
        <f t="shared" si="1"/>
        <v>26062.429999999989</v>
      </c>
      <c r="F20" s="3027">
        <f>'数据-基础表'!I13</f>
        <v>24389.569999999989</v>
      </c>
      <c r="G20" s="3028">
        <f>'数据-基础表'!M13</f>
        <v>1672.86</v>
      </c>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4271.17</v>
      </c>
      <c r="S20" s="1158">
        <f t="shared" si="5"/>
        <v>26062.429999999989</v>
      </c>
    </row>
    <row r="21" spans="1:19">
      <c r="A21" s="1858"/>
      <c r="B21" s="50" t="s">
        <v>1839</v>
      </c>
      <c r="C21" s="1855"/>
      <c r="D21" s="48">
        <f t="shared" si="6"/>
        <v>0</v>
      </c>
      <c r="E21" s="56">
        <f t="shared" si="1"/>
        <v>0</v>
      </c>
      <c r="F21" s="3027"/>
      <c r="G21" s="3028"/>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5000</v>
      </c>
      <c r="E27" s="1303">
        <f>IF(SUM(E19:E26)='数据-基础表'!BA5,SUM(E19:E26),IF(F27="地上面积有误","面积有误","地下面积有误"))</f>
        <v>30509.71999999999</v>
      </c>
      <c r="F27" s="1302">
        <f>IF(SUM(F19:F26)=E8,SUM(F19:F26),"地上面积有误")</f>
        <v>28836.85999999999</v>
      </c>
      <c r="G27" s="1304">
        <f>SUM(G19:G26)</f>
        <v>1672.86</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5000</v>
      </c>
      <c r="S27" s="1157">
        <f>IF(SUM(S19:S26)=$E$3,SUM(S19:S26),SUM(S19:S26)&amp;"误差"&amp;ROUND(SUM(S19:S26)-E3,2))</f>
        <v>30509.71999999999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5000</v>
      </c>
      <c r="E31" s="685">
        <f>E27+E30</f>
        <v>30509.71999999999</v>
      </c>
      <c r="F31" s="686">
        <f>F27+F30</f>
        <v>28836.85999999999</v>
      </c>
      <c r="G31" s="687">
        <f>G27+G30</f>
        <v>1672.86</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6">
      <c r="D33" s="1866"/>
    </row>
    <row r="36" spans="4:6">
      <c r="F36" s="1825">
        <f>F20*2.5</f>
        <v>60973.924999999974</v>
      </c>
    </row>
    <row r="37" spans="4:6">
      <c r="F37" s="1825">
        <f>F19*3.5</f>
        <v>15565.514999999999</v>
      </c>
    </row>
    <row r="38" spans="4:6">
      <c r="F38" s="1825">
        <f>G20*1</f>
        <v>1672.86</v>
      </c>
    </row>
    <row r="39" spans="4:6">
      <c r="F39" s="1825">
        <f>F36+F37+F38</f>
        <v>78212.299999999974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3" width="9.75" style="1870" customWidth="1"/>
    <col min="24"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6" customFormat="1" ht="15.75" thickBot="1">
      <c r="A2" s="1871" t="s">
        <v>1847</v>
      </c>
      <c r="B2" s="1176">
        <f>项目基本情况!D3</f>
        <v>44120</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3"/>
      <c r="AO2" s="2903"/>
      <c r="AP2" s="2903"/>
      <c r="AQ2" s="2903"/>
      <c r="AR2" s="2903"/>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3"/>
      <c r="AO3" s="2903"/>
      <c r="AP3" s="2903"/>
      <c r="AQ3" s="2903"/>
      <c r="AR3" s="2903"/>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3"/>
      <c r="AO4" s="2903"/>
      <c r="AP4" s="2903"/>
      <c r="AQ4" s="2903"/>
      <c r="AR4" s="2903"/>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3160</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1-2层饭店</v>
      </c>
      <c r="B6" s="1901" t="str">
        <f>IF(A6=0,"","经营性")</f>
        <v>经营性</v>
      </c>
      <c r="C6" s="1902" t="s">
        <v>1343</v>
      </c>
      <c r="D6" s="967">
        <f>SUMIF(项目基本情况!D$12:I$12,C6,项目基本情况!D$14:I$14)</f>
        <v>40</v>
      </c>
      <c r="E6" s="966">
        <f>IF(B6="","",SUMIF(项目基本情况!D$12:I$12,C6,项目基本情况!D$13:I$13))</f>
        <v>52296</v>
      </c>
      <c r="F6" s="68">
        <f>SUMIF(项目基本情况!D$12:I$12,C6,项目基本情况!D$15:I$15)</f>
        <v>22.4</v>
      </c>
      <c r="G6" s="69">
        <f>IF(ISERROR(ROUND(POWER(1+H6,D6-F6)*(POWER(1+H6,F6)-1)/(POWER(1+H6,D6)-1),3)),0,ROUND(POWER(1+H6,D6-F6)*(POWER(1+H6,F6)-1)/(POWER(1+H6,D6)-1),3))</f>
        <v>0.77500000000000002</v>
      </c>
      <c r="H6" s="741">
        <v>0.05</v>
      </c>
      <c r="I6" s="741">
        <v>5.5E-2</v>
      </c>
      <c r="J6" s="70">
        <v>8.5000000000000006E-2</v>
      </c>
      <c r="K6" s="1161">
        <f>SUMIF('数据-汇总表'!C$19:C$33,A6,'数据-汇总表'!E$19:E$33)</f>
        <v>4447.29</v>
      </c>
      <c r="L6" s="742">
        <v>5000</v>
      </c>
      <c r="M6" s="71">
        <f t="shared" ref="M6:M14" si="0">ROUND(K6*L6/10000,0)</f>
        <v>2224</v>
      </c>
      <c r="N6" s="740">
        <v>0.92</v>
      </c>
      <c r="O6" s="71" t="str">
        <f>IF($N$5="成新度","——",ROUND(M6*N6,0))</f>
        <v>——</v>
      </c>
      <c r="P6" s="72" t="str">
        <f>IF($N$5="成新度","——",M6-O6)</f>
        <v>——</v>
      </c>
      <c r="Q6" s="743">
        <v>0.2</v>
      </c>
      <c r="R6" s="73">
        <f ca="1">SUMIF('数据-汇总表'!C$19:C$33,A6,'数据-汇总表'!R$19:R$27)</f>
        <v>728.83</v>
      </c>
      <c r="S6" s="54">
        <f>IF('数据-汇总表'!$I$17="按面积比例",SUMIF('数据-汇总表'!C$19:C$33,A6,'数据-汇总表'!K$19:K$33),SUMIF('数据-汇总表'!C$19:C$33,A6,'数据-汇总表'!N$19:N$33))</f>
        <v>0</v>
      </c>
      <c r="T6" s="1334">
        <f>ROUND($L$14*S6/10000,0)</f>
        <v>0</v>
      </c>
      <c r="U6" s="74">
        <v>6.8</v>
      </c>
      <c r="V6" s="75">
        <v>0.03</v>
      </c>
      <c r="W6" s="75">
        <v>0.1</v>
      </c>
      <c r="X6" s="1171"/>
      <c r="Y6" s="76">
        <f>N6</f>
        <v>0.92</v>
      </c>
      <c r="Z6" s="77"/>
      <c r="AA6" s="70"/>
      <c r="AB6" s="70"/>
      <c r="AC6" s="1171"/>
      <c r="AD6" s="78"/>
      <c r="AE6" s="1172">
        <f ca="1">IF(AN6="",0,SUMIF(INDIRECT("'"&amp;AN6&amp;"'"&amp;"!E:E"),$AE$5,INDIRECT("'"&amp;AN6&amp;"'"&amp;"!F:F")))</f>
        <v>22.4</v>
      </c>
      <c r="AF6" s="1534"/>
      <c r="AG6" s="143">
        <f>IF(AF6="",0,AE6-AF6)</f>
        <v>0</v>
      </c>
      <c r="AH6" s="79"/>
      <c r="AI6" s="81">
        <v>365</v>
      </c>
      <c r="AJ6" s="82"/>
      <c r="AK6" s="83">
        <v>1.4999999999999999E-2</v>
      </c>
      <c r="AL6" s="84">
        <v>2E-3</v>
      </c>
      <c r="AM6" s="85">
        <v>0.02</v>
      </c>
      <c r="AN6" s="1903" t="s">
        <v>3161</v>
      </c>
      <c r="AO6" s="55">
        <f ca="1">SUMIF(INDIRECT("'"&amp;AN6&amp;"'"&amp;"!A:A"),"总价",INDIRECT("'"&amp;AN6&amp;"'"&amp;"!B:B"))</f>
        <v>12419</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办公</v>
      </c>
      <c r="B7" s="1901" t="str">
        <f t="shared" ref="B7:B13" si="1">IF(A7=0,"","经营性")</f>
        <v>经营性</v>
      </c>
      <c r="C7" s="1902" t="s">
        <v>27</v>
      </c>
      <c r="D7" s="967">
        <f>SUMIF(项目基本情况!D$12:I$12,C7,项目基本情况!D$14:I$14)</f>
        <v>50</v>
      </c>
      <c r="E7" s="966">
        <f>IF(B7="","",SUMIF(项目基本情况!D$12:I$12,C7,项目基本情况!D$13:I$13))</f>
        <v>52296</v>
      </c>
      <c r="F7" s="68">
        <f>SUMIF(项目基本情况!D$12:I$12,C7,项目基本情况!D$15:I$15)</f>
        <v>22.4</v>
      </c>
      <c r="G7" s="69">
        <f t="shared" ref="G7:G11" si="2">IF(ISERROR(ROUND(POWER(1+H7,D7-F7)*(POWER(1+H7,F7)-1)/(POWER(1+H7,D7)-1),3)),0,ROUND(POWER(1+H7,D7-F7)*(POWER(1+H7,F7)-1)/(POWER(1+H7,D7)-1),3))</f>
        <v>0.72799999999999998</v>
      </c>
      <c r="H7" s="741">
        <v>0.05</v>
      </c>
      <c r="I7" s="741">
        <v>5.5E-2</v>
      </c>
      <c r="J7" s="70">
        <v>8.5000000000000006E-2</v>
      </c>
      <c r="K7" s="1161">
        <f>SUMIF('数据-汇总表'!C$19:C$33,A7,'数据-汇总表'!E$19:E$33)</f>
        <v>26062.429999999989</v>
      </c>
      <c r="L7" s="742">
        <f>L6</f>
        <v>5000</v>
      </c>
      <c r="M7" s="71">
        <f t="shared" si="0"/>
        <v>13031</v>
      </c>
      <c r="N7" s="740">
        <v>0.92</v>
      </c>
      <c r="O7" s="71" t="str">
        <f t="shared" ref="O7:O14" si="3">IF($N$5="成新度","——",ROUND(M7*N7,0))</f>
        <v>——</v>
      </c>
      <c r="P7" s="72" t="str">
        <f t="shared" ref="P7:P14" si="4">IF($N$5="成新度","——",M7-O7)</f>
        <v>——</v>
      </c>
      <c r="Q7" s="743">
        <f>Q6</f>
        <v>0.2</v>
      </c>
      <c r="R7" s="73">
        <f ca="1">SUMIF('数据-汇总表'!C$19:C$33,A7,'数据-汇总表'!R$19:R$27)</f>
        <v>4271.17</v>
      </c>
      <c r="S7" s="54">
        <f>IF('数据-汇总表'!$I$17="按面积比例",SUMIF('数据-汇总表'!C$19:C$33,A7,'数据-汇总表'!K$19:K$33),SUMIF('数据-汇总表'!C$19:C$33,A7,'数据-汇总表'!N$19:N$33))</f>
        <v>0</v>
      </c>
      <c r="T7" s="1334">
        <f t="shared" ref="T7:T13" si="5">ROUND($L$14*S7/10000,0)</f>
        <v>0</v>
      </c>
      <c r="U7" s="74">
        <v>5.24</v>
      </c>
      <c r="V7" s="75">
        <v>0.03</v>
      </c>
      <c r="W7" s="75">
        <f>W6</f>
        <v>0.1</v>
      </c>
      <c r="X7" s="1171"/>
      <c r="Y7" s="76">
        <f>N7</f>
        <v>0.92</v>
      </c>
      <c r="Z7" s="77"/>
      <c r="AA7" s="70"/>
      <c r="AB7" s="70"/>
      <c r="AC7" s="1171"/>
      <c r="AD7" s="78"/>
      <c r="AE7" s="1172">
        <f t="shared" ref="AE7:AE13" ca="1" si="6">IF(AN7="",0,SUMIF(INDIRECT("'"&amp;AN7&amp;"'"&amp;"!E:E"),$AE$5,INDIRECT("'"&amp;AN7&amp;"'"&amp;"!F:F")))</f>
        <v>22.4</v>
      </c>
      <c r="AF7" s="1534"/>
      <c r="AG7" s="143">
        <f t="shared" ref="AG7:AG13" si="7">IF(AF7="",0,AE7-AF7)</f>
        <v>0</v>
      </c>
      <c r="AH7" s="79"/>
      <c r="AI7" s="81">
        <v>365</v>
      </c>
      <c r="AJ7" s="82"/>
      <c r="AK7" s="83">
        <v>1.4999999999999999E-2</v>
      </c>
      <c r="AL7" s="84">
        <v>2E-3</v>
      </c>
      <c r="AM7" s="85">
        <v>0.02</v>
      </c>
      <c r="AN7" s="1903" t="s">
        <v>3183</v>
      </c>
      <c r="AO7" s="55">
        <f t="shared" ref="AO7:AO13" ca="1" si="8">SUMIF(INDIRECT("'"&amp;AN7&amp;"'"&amp;"!A:A"),"总价",INDIRECT("'"&amp;AN7&amp;"'"&amp;"!B:B"))</f>
        <v>54845</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1"/>
      <c r="AO14" s="2903"/>
      <c r="AP14" s="2903"/>
      <c r="AQ14" s="2903"/>
      <c r="AR14" s="2903"/>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1"/>
      <c r="AO15" s="2903"/>
      <c r="AP15" s="2903"/>
      <c r="AQ15" s="2903"/>
      <c r="AR15" s="2903"/>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0.73499999999999999</v>
      </c>
      <c r="H16" s="95">
        <f>ROUND(SUMPRODUCT(H6:H13,K6:K13)/SUMPRODUCT((H6:H13&gt;0)*(K6:K13)),3)</f>
        <v>0.05</v>
      </c>
      <c r="I16" s="96"/>
      <c r="J16" s="96"/>
      <c r="K16" s="97">
        <f>SUM(K6:K15)</f>
        <v>30509.71999999999</v>
      </c>
      <c r="L16" s="98">
        <f>ROUND(M16*10000/SUM(K6:K14),0)</f>
        <v>5000</v>
      </c>
      <c r="M16" s="98">
        <f>SUM(M6:M14)</f>
        <v>15255</v>
      </c>
      <c r="N16" s="99">
        <f>ROUND(SUMPRODUCT(M6:M14,N6:N14)/M16,3)</f>
        <v>0.92</v>
      </c>
      <c r="O16" s="98">
        <f>SUM(O6:O14)</f>
        <v>0</v>
      </c>
      <c r="P16" s="98">
        <f>SUM(P6:P14)</f>
        <v>0</v>
      </c>
      <c r="Q16" s="100">
        <f>ROUND(SUMPRODUCT(Q6:Q13,K6:K13)/SUMPRODUCT((Q6:Q13&gt;0)*(K6:K13)),2)</f>
        <v>0.2</v>
      </c>
      <c r="R16" s="1165">
        <f ca="1">SUM(R6:R13)</f>
        <v>5000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v>2013</v>
      </c>
      <c r="O18" s="2901">
        <f>53/60</f>
        <v>0.8833333333333333</v>
      </c>
      <c r="P18" s="3064">
        <f>(95%+88%)/2</f>
        <v>0.91500000000000004</v>
      </c>
      <c r="Q18" s="2901"/>
      <c r="R18" s="2901"/>
      <c r="S18" s="2901"/>
      <c r="T18" s="3066" t="s">
        <v>3185</v>
      </c>
      <c r="U18" s="3066" t="s">
        <v>3186</v>
      </c>
      <c r="V18" s="3066" t="s">
        <v>3187</v>
      </c>
      <c r="W18" s="3066" t="s">
        <v>3188</v>
      </c>
      <c r="X18" s="2901"/>
      <c r="Y18" s="3066" t="s">
        <v>3189</v>
      </c>
      <c r="Z18" s="3066" t="s">
        <v>3186</v>
      </c>
      <c r="AA18" s="3066" t="s">
        <v>3190</v>
      </c>
      <c r="AB18" s="2901"/>
      <c r="AC18" s="2901"/>
      <c r="AD18" s="2901"/>
      <c r="AE18" s="2901"/>
      <c r="AF18" s="2901"/>
      <c r="AG18" s="2901"/>
      <c r="AH18" s="2901"/>
      <c r="AI18" s="2901"/>
      <c r="AJ18" s="2901"/>
      <c r="AK18" s="2901"/>
      <c r="AL18" s="2901"/>
      <c r="AM18" s="2901"/>
      <c r="AN18" s="2901"/>
      <c r="AO18" s="2901"/>
      <c r="AP18" s="2901"/>
      <c r="AQ18" s="2901"/>
      <c r="AR18" s="2901"/>
    </row>
    <row r="19" spans="1:67" ht="14.25">
      <c r="A19" s="1910" t="s">
        <v>1897</v>
      </c>
      <c r="B19" s="108">
        <v>0</v>
      </c>
      <c r="C19" s="3031" t="s">
        <v>3048</v>
      </c>
      <c r="D19" s="2906"/>
      <c r="E19" s="2903"/>
      <c r="F19" s="2903"/>
      <c r="G19" s="2903"/>
      <c r="H19" s="2903"/>
      <c r="I19" s="2903"/>
      <c r="J19" s="2903"/>
      <c r="K19" s="2902"/>
      <c r="L19" s="2902"/>
      <c r="M19" s="2901"/>
      <c r="N19" s="2901"/>
      <c r="O19" s="2901"/>
      <c r="P19" s="2901"/>
      <c r="Q19" s="2901"/>
      <c r="R19" s="2901"/>
      <c r="S19" s="2901"/>
      <c r="T19" s="2901" t="s">
        <v>3181</v>
      </c>
      <c r="U19" s="2901">
        <v>8</v>
      </c>
      <c r="V19" s="2901">
        <v>1</v>
      </c>
      <c r="W19" s="2901">
        <f>K6/2</f>
        <v>2223.645</v>
      </c>
      <c r="X19" s="2901"/>
      <c r="Y19" s="2901">
        <f>'数据-汇总表'!F20</f>
        <v>24389.569999999989</v>
      </c>
      <c r="Z19" s="2901">
        <v>5.5</v>
      </c>
      <c r="AA19" s="2901">
        <f>ROUND((Z19*Y19+Z20*Y20)/Y21,2)</f>
        <v>5.24</v>
      </c>
      <c r="AB19" s="2901"/>
      <c r="AC19" s="2901"/>
      <c r="AD19" s="2901"/>
      <c r="AE19" s="2901"/>
      <c r="AF19" s="2901"/>
      <c r="AG19" s="2901"/>
      <c r="AH19" s="2901"/>
      <c r="AI19" s="2901"/>
      <c r="AJ19" s="2901"/>
      <c r="AK19" s="2901"/>
      <c r="AL19" s="2901"/>
      <c r="AM19" s="2901"/>
      <c r="AN19" s="2901"/>
      <c r="AO19" s="2901"/>
      <c r="AP19" s="2901"/>
      <c r="AQ19" s="2901"/>
      <c r="AR19" s="2901"/>
    </row>
    <row r="20" spans="1:67" ht="14.25">
      <c r="A20" s="1911" t="s">
        <v>1898</v>
      </c>
      <c r="B20" s="109">
        <v>3</v>
      </c>
      <c r="C20" s="3032" t="s">
        <v>3046</v>
      </c>
      <c r="D20" s="2906"/>
      <c r="E20" s="2903"/>
      <c r="F20" s="2903"/>
      <c r="G20" s="2903"/>
      <c r="H20" s="2903"/>
      <c r="I20" s="2903"/>
      <c r="J20" s="2903"/>
      <c r="K20" s="2902"/>
      <c r="L20" s="2902"/>
      <c r="M20" s="2901"/>
      <c r="N20" s="2901"/>
      <c r="O20" s="2901"/>
      <c r="P20" s="2901"/>
      <c r="Q20" s="2901"/>
      <c r="R20" s="2901"/>
      <c r="S20" s="2901"/>
      <c r="T20" s="2901" t="s">
        <v>3182</v>
      </c>
      <c r="U20" s="2901">
        <f>U19*V20</f>
        <v>5.6</v>
      </c>
      <c r="V20" s="2901">
        <v>0.7</v>
      </c>
      <c r="W20" s="2905">
        <f>K6-W19</f>
        <v>2223.645</v>
      </c>
      <c r="X20" s="2901"/>
      <c r="Y20" s="2901">
        <f>'数据-汇总表'!G20</f>
        <v>1672.86</v>
      </c>
      <c r="Z20" s="2901">
        <v>1.5</v>
      </c>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2" t="s">
        <v>1899</v>
      </c>
      <c r="B21" s="109">
        <v>3</v>
      </c>
      <c r="C21" s="2903"/>
      <c r="D21" s="2906"/>
      <c r="E21" s="2903"/>
      <c r="F21" s="2903"/>
      <c r="G21" s="2903"/>
      <c r="H21" s="2903"/>
      <c r="I21" s="2903"/>
      <c r="J21" s="2903"/>
      <c r="K21" s="2902"/>
      <c r="L21" s="2902"/>
      <c r="M21" s="2901"/>
      <c r="N21" s="2901"/>
      <c r="O21" s="2901"/>
      <c r="P21" s="2901"/>
      <c r="Q21" s="2901"/>
      <c r="R21" s="2901"/>
      <c r="S21" s="2901"/>
      <c r="T21" s="2901"/>
      <c r="U21" s="2901">
        <f>(U19*W19+U20*W20)/W21</f>
        <v>6.8</v>
      </c>
      <c r="V21" s="2901"/>
      <c r="W21" s="2905">
        <f>W19+W20</f>
        <v>4447.29</v>
      </c>
      <c r="X21" s="2901"/>
      <c r="Y21" s="2901">
        <f>Y19+Y20</f>
        <v>26062.429999999989</v>
      </c>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1" t="s">
        <v>1900</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2" t="s">
        <v>1901</v>
      </c>
      <c r="B23" s="110">
        <f>B19+B21</f>
        <v>3</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3"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4"/>
      <c r="B25" s="1875"/>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1" t="s">
        <v>1903</v>
      </c>
      <c r="B26" s="1914"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6" customFormat="1" ht="27.75">
      <c r="A27" s="1915" t="s">
        <v>1906</v>
      </c>
      <c r="B27" s="112">
        <v>160</v>
      </c>
      <c r="C27" s="3033" t="s">
        <v>3050</v>
      </c>
      <c r="D27" s="2909"/>
      <c r="E27" s="2890"/>
      <c r="F27" s="2890"/>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0"/>
      <c r="D28" s="2909"/>
      <c r="E28" s="2890"/>
      <c r="F28" s="2890"/>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610</v>
      </c>
      <c r="C29" s="3034" t="s">
        <v>3036</v>
      </c>
      <c r="D29" s="2909"/>
      <c r="E29" s="2890"/>
      <c r="F29" s="2890"/>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0"/>
      <c r="D30" s="2909"/>
      <c r="E30" s="2890"/>
      <c r="F30" s="2890"/>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8"/>
      <c r="D31" s="2909"/>
      <c r="E31" s="2890"/>
      <c r="F31" s="2890"/>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5" t="s">
        <v>3037</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5" t="s">
        <v>3038</v>
      </c>
      <c r="D34" s="2914" t="s">
        <v>3047</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5" t="s">
        <v>3039</v>
      </c>
      <c r="D35" s="2909"/>
      <c r="E35" s="2890"/>
      <c r="F35" s="2890"/>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5" t="s">
        <v>3040</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9" t="s">
        <v>1916</v>
      </c>
      <c r="B37" s="120">
        <v>0.03</v>
      </c>
      <c r="C37" s="3035" t="s">
        <v>3041</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7" t="s">
        <v>1917</v>
      </c>
      <c r="B38" s="118">
        <v>0.03</v>
      </c>
      <c r="C38" s="3035" t="s">
        <v>3041</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20"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20" t="s">
        <v>1919</v>
      </c>
      <c r="B40" s="1210">
        <f ca="1">存贷款利率!G1</f>
        <v>4.7500000000000001E-2</v>
      </c>
      <c r="C40" s="3035" t="s">
        <v>3042</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5" t="s">
        <v>1920</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1" t="s">
        <v>1921</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1" t="s">
        <v>1922</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2" t="s">
        <v>1923</v>
      </c>
      <c r="B44" s="124">
        <v>7.0000000000000007E-2</v>
      </c>
      <c r="C44" s="3035" t="s">
        <v>3051</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2" t="s">
        <v>1924</v>
      </c>
      <c r="B45" s="122">
        <v>0.03</v>
      </c>
      <c r="C45" s="3034" t="s">
        <v>3043</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2" t="s">
        <v>1925</v>
      </c>
      <c r="B46" s="122">
        <v>0.02</v>
      </c>
      <c r="C46" s="3034" t="s">
        <v>3044</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3" t="s">
        <v>1926</v>
      </c>
      <c r="B47" s="125"/>
      <c r="C47" s="3037" t="s">
        <v>3052</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4" t="s">
        <v>1927</v>
      </c>
      <c r="B48" s="126">
        <v>0.03</v>
      </c>
      <c r="C48" s="3034" t="s">
        <v>3043</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20" t="s">
        <v>1928</v>
      </c>
      <c r="B49" s="122">
        <v>5.0000000000000001E-4</v>
      </c>
      <c r="C49" s="3034" t="s">
        <v>3045</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5" t="s">
        <v>1929</v>
      </c>
      <c r="B50" s="127">
        <v>1.2E-2</v>
      </c>
      <c r="C50" s="2890"/>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8" t="s">
        <v>1930</v>
      </c>
      <c r="B51" s="128">
        <v>0.12</v>
      </c>
      <c r="C51" s="2890"/>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5" t="s">
        <v>1931</v>
      </c>
      <c r="B52" s="129">
        <f>SUMIF(A54:A63,B53,B54:B63)</f>
        <v>18</v>
      </c>
      <c r="C52" s="2890"/>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7" t="s">
        <v>1932</v>
      </c>
      <c r="B53" s="1926" t="s">
        <v>442</v>
      </c>
      <c r="C53" s="2890" t="s">
        <v>1933</v>
      </c>
      <c r="D53" s="3036" t="s">
        <v>3049</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7" t="s">
        <v>1934</v>
      </c>
      <c r="B54" s="80"/>
      <c r="C54" s="2890">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7" t="s">
        <v>1935</v>
      </c>
      <c r="B55" s="80"/>
      <c r="C55" s="2890">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7" t="s">
        <v>1936</v>
      </c>
      <c r="B56" s="80">
        <v>18</v>
      </c>
      <c r="C56" s="2890">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7" t="s">
        <v>1937</v>
      </c>
      <c r="B57" s="80"/>
      <c r="C57" s="2890">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7" t="s">
        <v>1938</v>
      </c>
      <c r="B58" s="80"/>
      <c r="C58" s="2890">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7" t="s">
        <v>1939</v>
      </c>
      <c r="B59" s="80"/>
      <c r="C59" s="2890">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7" t="s">
        <v>1940</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7" t="s">
        <v>1941</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7" t="s">
        <v>1942</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8" t="s">
        <v>1943</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3"/>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3"/>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3"/>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3"/>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3"/>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65" t="s">
        <v>3028</v>
      </c>
      <c r="B1" s="3166"/>
      <c r="C1" s="3166"/>
      <c r="D1" s="3166"/>
      <c r="E1" s="3166"/>
      <c r="F1" s="3166"/>
      <c r="G1" s="316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3023</v>
      </c>
      <c r="D2" s="2689"/>
      <c r="E2" s="2686"/>
      <c r="F2" s="2690"/>
      <c r="G2" s="2688" t="s">
        <v>3024</v>
      </c>
      <c r="H2" s="907"/>
      <c r="I2" s="907"/>
      <c r="J2" s="907"/>
      <c r="K2" s="907"/>
      <c r="L2" s="907"/>
      <c r="M2" s="907"/>
      <c r="N2" s="907"/>
      <c r="O2" s="907"/>
      <c r="P2" s="907"/>
      <c r="Q2" s="907"/>
      <c r="R2" s="907"/>
    </row>
    <row r="3" spans="1:29" ht="48">
      <c r="A3" s="2669" t="s">
        <v>3025</v>
      </c>
      <c r="B3" s="2691" t="s">
        <v>2994</v>
      </c>
      <c r="C3" s="2692" t="s">
        <v>3026</v>
      </c>
      <c r="D3" s="2693"/>
      <c r="E3" s="2670" t="s">
        <v>3025</v>
      </c>
      <c r="F3" s="2694" t="s">
        <v>2995</v>
      </c>
      <c r="G3" s="2695" t="s">
        <v>3027</v>
      </c>
      <c r="H3" s="907"/>
      <c r="I3" s="907"/>
      <c r="J3" s="907"/>
      <c r="K3" s="907"/>
      <c r="L3" s="907"/>
      <c r="M3" s="907"/>
      <c r="N3" s="907"/>
      <c r="O3" s="907"/>
      <c r="P3" s="907"/>
      <c r="Q3" s="907"/>
      <c r="R3" s="907"/>
    </row>
    <row r="4" spans="1:29" ht="36.75">
      <c r="A4" s="2670"/>
      <c r="B4" s="329" t="s">
        <v>2996</v>
      </c>
      <c r="C4" s="2696" t="s">
        <v>2997</v>
      </c>
      <c r="D4" s="2693"/>
      <c r="E4" s="2697"/>
      <c r="F4" s="1559" t="s">
        <v>2998</v>
      </c>
      <c r="G4" s="2698" t="s">
        <v>2999</v>
      </c>
      <c r="H4" s="907"/>
      <c r="I4" s="907"/>
      <c r="J4" s="907"/>
      <c r="K4" s="907"/>
      <c r="L4" s="907"/>
      <c r="M4" s="907"/>
      <c r="N4" s="907"/>
      <c r="O4" s="907"/>
      <c r="P4" s="907"/>
      <c r="Q4" s="907"/>
      <c r="R4" s="907"/>
    </row>
    <row r="5" spans="1:29" ht="36.75">
      <c r="A5" s="2670"/>
      <c r="B5" s="329" t="s">
        <v>3000</v>
      </c>
      <c r="C5" s="2696" t="s">
        <v>3001</v>
      </c>
      <c r="D5" s="2693"/>
      <c r="E5" s="2697"/>
      <c r="F5" s="329" t="s">
        <v>3002</v>
      </c>
      <c r="G5" s="2698" t="s">
        <v>3003</v>
      </c>
      <c r="H5" s="907"/>
      <c r="I5" s="907"/>
      <c r="J5" s="907"/>
      <c r="K5" s="907"/>
      <c r="L5" s="907"/>
      <c r="M5" s="907"/>
      <c r="N5" s="907"/>
      <c r="O5" s="907"/>
      <c r="P5" s="907"/>
      <c r="Q5" s="907"/>
      <c r="R5" s="907"/>
    </row>
    <row r="6" spans="1:29" ht="36">
      <c r="A6" s="2670"/>
      <c r="B6" s="329" t="s">
        <v>3004</v>
      </c>
      <c r="C6" s="2698" t="s">
        <v>2999</v>
      </c>
      <c r="D6" s="2693"/>
      <c r="E6" s="2697"/>
      <c r="F6" s="329" t="s">
        <v>3005</v>
      </c>
      <c r="G6" s="2698" t="s">
        <v>3006</v>
      </c>
      <c r="H6" s="907"/>
      <c r="I6" s="907"/>
      <c r="J6" s="907"/>
      <c r="K6" s="907"/>
      <c r="L6" s="907"/>
      <c r="M6" s="907"/>
      <c r="N6" s="907"/>
      <c r="O6" s="907"/>
      <c r="P6" s="907"/>
      <c r="Q6" s="907"/>
      <c r="R6" s="907"/>
    </row>
    <row r="7" spans="1:29" ht="24.75" thickBot="1">
      <c r="A7" s="2670"/>
      <c r="B7" s="329" t="s">
        <v>3002</v>
      </c>
      <c r="C7" s="2698" t="s">
        <v>3003</v>
      </c>
      <c r="D7" s="2699"/>
      <c r="E7" s="2700"/>
      <c r="F7" s="2701" t="s">
        <v>3007</v>
      </c>
      <c r="G7" s="2702" t="s">
        <v>3008</v>
      </c>
      <c r="H7" s="907"/>
      <c r="I7" s="907"/>
      <c r="J7" s="907"/>
      <c r="K7" s="907"/>
      <c r="L7" s="907"/>
      <c r="M7" s="907"/>
      <c r="N7" s="907"/>
      <c r="O7" s="907"/>
      <c r="P7" s="907"/>
      <c r="Q7" s="907"/>
      <c r="R7" s="907"/>
    </row>
    <row r="8" spans="1:29">
      <c r="A8" s="2670"/>
      <c r="B8" s="329" t="s">
        <v>3005</v>
      </c>
      <c r="C8" s="2698" t="s">
        <v>3006</v>
      </c>
      <c r="D8" s="2699"/>
      <c r="E8" s="2699"/>
      <c r="F8" s="2703"/>
      <c r="G8" s="2703"/>
      <c r="H8" s="907"/>
      <c r="I8" s="907"/>
      <c r="J8" s="907"/>
      <c r="K8" s="907"/>
      <c r="L8" s="907"/>
      <c r="M8" s="907"/>
      <c r="N8" s="907"/>
      <c r="O8" s="907"/>
      <c r="P8" s="907"/>
      <c r="Q8" s="907"/>
      <c r="R8" s="907"/>
    </row>
    <row r="9" spans="1:29" ht="24">
      <c r="A9" s="2670"/>
      <c r="B9" s="329" t="s">
        <v>3009</v>
      </c>
      <c r="C9" s="2696" t="s">
        <v>3010</v>
      </c>
      <c r="D9" s="2693"/>
      <c r="E9" s="2699"/>
      <c r="F9" s="2703"/>
      <c r="G9" s="2703"/>
      <c r="H9" s="907"/>
      <c r="I9" s="907"/>
      <c r="J9" s="907"/>
      <c r="K9" s="907"/>
      <c r="L9" s="907"/>
      <c r="M9" s="907"/>
      <c r="N9" s="907"/>
      <c r="O9" s="907"/>
      <c r="P9" s="907"/>
      <c r="Q9" s="907"/>
      <c r="R9" s="907"/>
    </row>
    <row r="10" spans="1:29" s="2709" customFormat="1" ht="15" thickBot="1">
      <c r="A10" s="2671"/>
      <c r="B10" s="2704" t="s">
        <v>3011</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3029</v>
      </c>
      <c r="B13" s="2712"/>
      <c r="C13" s="2712"/>
      <c r="D13" s="2710"/>
      <c r="E13" s="2712"/>
      <c r="F13" s="2712"/>
      <c r="G13" s="2712"/>
    </row>
    <row r="14" spans="1:29" ht="15" thickBot="1">
      <c r="A14" s="2722"/>
      <c r="B14" s="2722"/>
      <c r="C14" s="2723" t="s">
        <v>3012</v>
      </c>
      <c r="D14" s="2693"/>
      <c r="E14" s="2724"/>
      <c r="F14" s="2724"/>
      <c r="G14" s="2688" t="s">
        <v>3013</v>
      </c>
    </row>
    <row r="15" spans="1:29" ht="51">
      <c r="A15" s="2672" t="s">
        <v>3014</v>
      </c>
      <c r="B15" s="2725" t="s">
        <v>2994</v>
      </c>
      <c r="C15" s="2726" t="str">
        <f>C3</f>
        <v>估价对象周边居住用地比例、居住小区规模和社区发展完善程度，综合评价居住社区成熟度一般</v>
      </c>
      <c r="D15" s="2693"/>
      <c r="E15" s="2673" t="s">
        <v>3015</v>
      </c>
      <c r="F15" s="2725" t="s">
        <v>3016</v>
      </c>
      <c r="G15" s="2727" t="str">
        <f>G3</f>
        <v>估价对象位于XX开发区，园区建设成熟度XX，产业集聚程度XX</v>
      </c>
    </row>
    <row r="16" spans="1:29" ht="38.25">
      <c r="A16" s="2674"/>
      <c r="B16" s="2728" t="s">
        <v>2996</v>
      </c>
      <c r="C16" s="2729" t="str">
        <f>C4</f>
        <v>估价对象位于XX商圈，周边商业氛围成熟，人流量大，商业繁华度好</v>
      </c>
      <c r="D16" s="2693"/>
      <c r="E16" s="2675"/>
      <c r="F16" s="2730" t="s">
        <v>2998</v>
      </c>
      <c r="G16" s="2731" t="str">
        <f>G4</f>
        <v>估价对象周边道路状况、公共交通通达情况、停车便捷程度，综合评价交通便捷度较好</v>
      </c>
    </row>
    <row r="17" spans="1:18" ht="38.25">
      <c r="A17" s="2674"/>
      <c r="B17" s="2728" t="s">
        <v>3000</v>
      </c>
      <c r="C17" s="2729" t="str">
        <f>C5</f>
        <v>估价对象位于XX商圈，周边办公楼项目较多，入驻率高，办公集聚程度较好</v>
      </c>
      <c r="D17" s="2699"/>
      <c r="E17" s="2675"/>
      <c r="F17" s="2730" t="s">
        <v>3017</v>
      </c>
      <c r="G17" s="2732"/>
    </row>
    <row r="18" spans="1:18" ht="38.25">
      <c r="A18" s="2674"/>
      <c r="B18" s="2730" t="s">
        <v>3004</v>
      </c>
      <c r="C18" s="2731" t="str">
        <f>C6</f>
        <v>估价对象周边道路状况、公共交通通达情况、停车便捷程度，综合评价交通便捷度较好</v>
      </c>
      <c r="D18" s="2699"/>
      <c r="E18" s="2675"/>
      <c r="F18" s="2730" t="s">
        <v>3007</v>
      </c>
      <c r="G18" s="2731" t="str">
        <f>G7</f>
        <v>该园区内是否有污染型企业，绿化情况，卫生条件，整体环境状况判断</v>
      </c>
    </row>
    <row r="19" spans="1:18" ht="25.5">
      <c r="A19" s="2674"/>
      <c r="B19" s="2730" t="s">
        <v>3018</v>
      </c>
      <c r="C19" s="2732"/>
      <c r="D19" s="2693"/>
      <c r="E19" s="2675"/>
      <c r="F19" s="329" t="s">
        <v>3002</v>
      </c>
      <c r="G19" s="2731" t="str">
        <f>G5</f>
        <v>估价对象所在区域公共配套设施齐备情况</v>
      </c>
    </row>
    <row r="20" spans="1:18" ht="25.5">
      <c r="A20" s="2674"/>
      <c r="B20" s="2730" t="s">
        <v>3019</v>
      </c>
      <c r="C20" s="2729" t="str">
        <f>C9</f>
        <v>区域自然环境：；人文环境；综合评价环境状况一般</v>
      </c>
      <c r="D20" s="2699"/>
      <c r="E20" s="2675"/>
      <c r="F20" s="329" t="s">
        <v>3005</v>
      </c>
      <c r="G20" s="2731" t="str">
        <f>G6</f>
        <v>估价对象所在区域基础设施水平</v>
      </c>
    </row>
    <row r="21" spans="1:18" ht="25.5">
      <c r="A21" s="2674"/>
      <c r="B21" s="329" t="s">
        <v>3002</v>
      </c>
      <c r="C21" s="2731" t="str">
        <f>C7</f>
        <v>估价对象所在区域公共配套设施齐备情况</v>
      </c>
      <c r="D21" s="2693"/>
      <c r="E21" s="2675"/>
      <c r="F21" s="2730" t="s">
        <v>3020</v>
      </c>
      <c r="G21" s="2733"/>
    </row>
    <row r="22" spans="1:18" ht="13.5" customHeight="1">
      <c r="A22" s="2674"/>
      <c r="B22" s="329" t="s">
        <v>3005</v>
      </c>
      <c r="C22" s="2731" t="str">
        <f>C8</f>
        <v>估价对象所在区域基础设施水平</v>
      </c>
      <c r="D22" s="2693"/>
      <c r="E22" s="2675"/>
      <c r="F22" s="2730" t="s">
        <v>3011</v>
      </c>
      <c r="G22" s="2732"/>
    </row>
    <row r="23" spans="1:18" s="907" customFormat="1" ht="15" thickBot="1">
      <c r="A23" s="2674"/>
      <c r="B23" s="2730" t="s">
        <v>3020</v>
      </c>
      <c r="C23" s="2733"/>
      <c r="D23" s="1929"/>
      <c r="E23" s="2676"/>
      <c r="F23" s="2734" t="s">
        <v>3021</v>
      </c>
      <c r="G23" s="2735"/>
      <c r="H23" s="2719"/>
      <c r="I23" s="2720"/>
      <c r="J23" s="2719"/>
      <c r="K23" s="2719"/>
      <c r="L23" s="2720"/>
      <c r="M23" s="2719"/>
      <c r="N23" s="2719"/>
      <c r="O23" s="2720"/>
      <c r="P23" s="2719"/>
      <c r="Q23" s="2719"/>
      <c r="R23" s="2721"/>
    </row>
    <row r="24" spans="1:18" s="907" customFormat="1" ht="15" thickBot="1">
      <c r="A24" s="2677"/>
      <c r="B24" s="2734" t="s">
        <v>3022</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5" sqref="E25"/>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30509.71999999999</v>
      </c>
      <c r="C1" s="2916"/>
      <c r="D1" s="2916"/>
      <c r="E1" s="2916"/>
      <c r="F1" s="2916"/>
      <c r="G1" s="2917"/>
      <c r="H1" s="2918"/>
      <c r="I1" s="2918"/>
      <c r="J1" s="2918"/>
      <c r="K1" s="2918"/>
    </row>
    <row r="2" spans="1:11" ht="16.5">
      <c r="A2" s="2740" t="s">
        <v>1319</v>
      </c>
      <c r="B2" s="2740">
        <f>SUM(C14:C23)</f>
        <v>5000</v>
      </c>
      <c r="C2" s="2916"/>
      <c r="D2" s="2916"/>
      <c r="E2" s="2916"/>
      <c r="F2" s="2916"/>
      <c r="G2" s="2917"/>
      <c r="H2" s="2918"/>
      <c r="I2" s="2918"/>
      <c r="J2" s="2918"/>
      <c r="K2" s="2918"/>
    </row>
    <row r="3" spans="1:11" ht="16.5">
      <c r="A3" s="2740" t="s">
        <v>1328</v>
      </c>
      <c r="B3" s="2742">
        <f>项目基本情况!D3</f>
        <v>44120</v>
      </c>
      <c r="C3" s="2916"/>
      <c r="D3" s="2916"/>
      <c r="E3" s="2916"/>
      <c r="F3" s="2916"/>
      <c r="G3" s="2917"/>
      <c r="H3" s="2918"/>
      <c r="I3" s="2918"/>
      <c r="J3" s="2918"/>
      <c r="K3" s="2918"/>
    </row>
    <row r="4" spans="1:11" ht="33">
      <c r="A4" s="2740" t="s">
        <v>1327</v>
      </c>
      <c r="B4" s="2740" t="s">
        <v>1326</v>
      </c>
      <c r="C4" s="2740" t="s">
        <v>1325</v>
      </c>
      <c r="D4" s="2740" t="s">
        <v>1324</v>
      </c>
      <c r="E4" s="2916"/>
      <c r="F4" s="2917"/>
      <c r="G4" s="2917"/>
      <c r="H4" s="2918"/>
      <c r="I4" s="2918"/>
      <c r="J4" s="2918"/>
      <c r="K4" s="2918"/>
    </row>
    <row r="5" spans="1:11" ht="16.5">
      <c r="A5" s="2740" t="s">
        <v>1323</v>
      </c>
      <c r="B5" s="2740">
        <f ca="1">SUM(D14:D23)</f>
        <v>78399</v>
      </c>
      <c r="C5" s="2740">
        <f ca="1">ROUND(B5*10000/$B$1,0)</f>
        <v>25696</v>
      </c>
      <c r="D5" s="2740">
        <f ca="1">ROUND(B5*10000/$B$2,0)</f>
        <v>156798</v>
      </c>
      <c r="E5" s="2916"/>
      <c r="F5" s="2917"/>
      <c r="G5" s="2917"/>
      <c r="H5" s="2918"/>
      <c r="I5" s="2918"/>
      <c r="J5" s="2918"/>
      <c r="K5" s="2918"/>
    </row>
    <row r="6" spans="1:11" ht="16.5">
      <c r="A6" s="2740" t="s">
        <v>1322</v>
      </c>
      <c r="B6" s="2740">
        <f ca="1">SUM(G14:G23)</f>
        <v>78399</v>
      </c>
      <c r="C6" s="2740">
        <f ca="1">ROUND(B6*10000/$B$1,0)</f>
        <v>25696</v>
      </c>
      <c r="D6" s="2740">
        <f ca="1">ROUND(B6*10000/$B$2,0)</f>
        <v>156798</v>
      </c>
      <c r="E6" s="2916"/>
      <c r="F6" s="2917"/>
      <c r="G6" s="2917"/>
      <c r="H6" s="2918"/>
      <c r="I6" s="2918"/>
      <c r="J6" s="2918"/>
      <c r="K6" s="2918"/>
    </row>
    <row r="7" spans="1:11" ht="16.5">
      <c r="A7" s="2740" t="s">
        <v>1330</v>
      </c>
      <c r="B7" s="2740">
        <f>SUM(H14:H23)</f>
        <v>0</v>
      </c>
      <c r="C7" s="2740">
        <f>ROUND(B7*10000/$B$1,0)</f>
        <v>0</v>
      </c>
      <c r="D7" s="2740">
        <f>ROUND(B7*10000/$B$2,0)</f>
        <v>0</v>
      </c>
      <c r="E7" s="2916"/>
      <c r="F7" s="2917"/>
      <c r="G7" s="2917"/>
      <c r="H7" s="2918"/>
      <c r="I7" s="2918"/>
      <c r="J7" s="2918"/>
      <c r="K7" s="2918"/>
    </row>
    <row r="8" spans="1:11" ht="16.5">
      <c r="A8" s="2740" t="s">
        <v>1252</v>
      </c>
      <c r="B8" s="2740">
        <f>SUM(I14:I23)</f>
        <v>0</v>
      </c>
      <c r="C8" s="2740">
        <f>ROUND(B8*10000/$B$1,0)</f>
        <v>0</v>
      </c>
      <c r="D8" s="2740">
        <f>ROUND(B8*10000/$B$2,0)</f>
        <v>0</v>
      </c>
      <c r="E8" s="2916"/>
      <c r="F8" s="2917"/>
      <c r="G8" s="2917"/>
      <c r="H8" s="2918"/>
      <c r="I8" s="2918"/>
      <c r="J8" s="2918"/>
      <c r="K8" s="2918"/>
    </row>
    <row r="9" spans="1:11" ht="16.5">
      <c r="A9" s="2740" t="s">
        <v>1321</v>
      </c>
      <c r="B9" s="2748"/>
      <c r="C9" s="2916"/>
      <c r="D9" s="2916"/>
      <c r="E9" s="2916"/>
      <c r="F9" s="2917"/>
      <c r="G9" s="2917"/>
      <c r="H9" s="2918"/>
      <c r="I9" s="2918"/>
      <c r="J9" s="2918"/>
      <c r="K9" s="2918"/>
    </row>
    <row r="10" spans="1:11" ht="16.5">
      <c r="A10" s="2740" t="s">
        <v>1320</v>
      </c>
      <c r="B10" s="2748"/>
      <c r="C10" s="2916"/>
      <c r="D10" s="2916"/>
      <c r="E10" s="2916"/>
      <c r="F10" s="2917"/>
      <c r="G10" s="2917"/>
      <c r="H10" s="2918"/>
      <c r="I10" s="2918"/>
      <c r="J10" s="2918"/>
      <c r="K10" s="2918"/>
    </row>
    <row r="11" spans="1:11" ht="16.5">
      <c r="A11" s="2740" t="s">
        <v>1336</v>
      </c>
      <c r="B11" s="2748"/>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3" t="s">
        <v>1335</v>
      </c>
      <c r="B13" s="2744" t="s">
        <v>1332</v>
      </c>
      <c r="C13" s="2744" t="s">
        <v>1334</v>
      </c>
      <c r="D13" s="2744" t="s">
        <v>1333</v>
      </c>
      <c r="E13" s="2740" t="s">
        <v>1325</v>
      </c>
      <c r="F13" s="2740" t="s">
        <v>1324</v>
      </c>
      <c r="G13" s="2744" t="s">
        <v>1318</v>
      </c>
      <c r="H13" s="2744" t="s">
        <v>1329</v>
      </c>
      <c r="I13" s="2744" t="s">
        <v>1317</v>
      </c>
      <c r="J13" s="2917"/>
      <c r="K13" s="2918"/>
    </row>
    <row r="14" spans="1:11" ht="16.5">
      <c r="A14" s="2745" t="s">
        <v>1316</v>
      </c>
      <c r="B14" s="2746">
        <f>结果表!B118</f>
        <v>30509.71999999999</v>
      </c>
      <c r="C14" s="2746">
        <f>结果表!C118</f>
        <v>5000</v>
      </c>
      <c r="D14" s="2746">
        <f ca="1">结果表!H118</f>
        <v>78399</v>
      </c>
      <c r="E14" s="2746">
        <f ca="1">ROUND(D14*10000/B14,0)</f>
        <v>25696</v>
      </c>
      <c r="F14" s="2746">
        <f ca="1">ROUND(D14*10000/C14,0)</f>
        <v>156798</v>
      </c>
      <c r="G14" s="2746">
        <f ca="1">结果表!D122</f>
        <v>78399</v>
      </c>
      <c r="H14" s="2746" t="str">
        <f>结果表!D124</f>
        <v>——</v>
      </c>
      <c r="I14" s="2746" t="str">
        <f>结果表!D126</f>
        <v>——</v>
      </c>
      <c r="J14" s="2917"/>
      <c r="K14" s="2918"/>
    </row>
    <row r="15" spans="1:11" ht="16.5">
      <c r="A15" s="2745" t="s">
        <v>1315</v>
      </c>
      <c r="B15" s="2747"/>
      <c r="C15" s="2747"/>
      <c r="D15" s="2747"/>
      <c r="E15" s="2746" t="e">
        <f t="shared" ref="E15:E23" si="0">ROUND(D15*10000/B15,0)</f>
        <v>#DIV/0!</v>
      </c>
      <c r="F15" s="2746" t="e">
        <f t="shared" ref="F15:F23" si="1">ROUND(D15*10000/C15,0)</f>
        <v>#DIV/0!</v>
      </c>
      <c r="G15" s="1502"/>
      <c r="H15" s="1502"/>
      <c r="I15" s="2747"/>
      <c r="J15" s="2917"/>
      <c r="K15" s="2918"/>
    </row>
    <row r="16" spans="1:11" ht="16.5">
      <c r="A16" s="2745" t="s">
        <v>1314</v>
      </c>
      <c r="B16" s="2747"/>
      <c r="C16" s="2747"/>
      <c r="D16" s="2747"/>
      <c r="E16" s="2746" t="e">
        <f t="shared" si="0"/>
        <v>#DIV/0!</v>
      </c>
      <c r="F16" s="2746" t="e">
        <f t="shared" si="1"/>
        <v>#DIV/0!</v>
      </c>
      <c r="G16" s="1502"/>
      <c r="H16" s="1502"/>
      <c r="I16" s="2747"/>
      <c r="J16" s="2918"/>
      <c r="K16" s="2918"/>
    </row>
    <row r="17" spans="1:11" ht="16.5">
      <c r="A17" s="2745" t="s">
        <v>1313</v>
      </c>
      <c r="B17" s="2747"/>
      <c r="C17" s="2747"/>
      <c r="D17" s="2747"/>
      <c r="E17" s="2746" t="e">
        <f t="shared" si="0"/>
        <v>#DIV/0!</v>
      </c>
      <c r="F17" s="2746" t="e">
        <f t="shared" si="1"/>
        <v>#DIV/0!</v>
      </c>
      <c r="G17" s="1502"/>
      <c r="H17" s="1502"/>
      <c r="I17" s="2747"/>
      <c r="J17" s="2918"/>
      <c r="K17" s="2918"/>
    </row>
    <row r="18" spans="1:11" ht="16.5">
      <c r="A18" s="2745" t="s">
        <v>1312</v>
      </c>
      <c r="B18" s="2747"/>
      <c r="C18" s="2747"/>
      <c r="D18" s="2747"/>
      <c r="E18" s="2746" t="e">
        <f t="shared" si="0"/>
        <v>#DIV/0!</v>
      </c>
      <c r="F18" s="2746" t="e">
        <f t="shared" si="1"/>
        <v>#DIV/0!</v>
      </c>
      <c r="G18" s="2747"/>
      <c r="H18" s="2747"/>
      <c r="I18" s="2747"/>
      <c r="J18" s="2918"/>
      <c r="K18" s="2918"/>
    </row>
    <row r="19" spans="1:11" ht="16.5">
      <c r="A19" s="2745" t="s">
        <v>1311</v>
      </c>
      <c r="B19" s="2747"/>
      <c r="C19" s="2747"/>
      <c r="D19" s="2747"/>
      <c r="E19" s="2746" t="e">
        <f t="shared" si="0"/>
        <v>#DIV/0!</v>
      </c>
      <c r="F19" s="2746" t="e">
        <f t="shared" si="1"/>
        <v>#DIV/0!</v>
      </c>
      <c r="G19" s="2747"/>
      <c r="H19" s="2747"/>
      <c r="I19" s="2747"/>
      <c r="J19" s="2918"/>
      <c r="K19" s="2918"/>
    </row>
    <row r="20" spans="1:11" ht="16.5">
      <c r="A20" s="2745" t="s">
        <v>1310</v>
      </c>
      <c r="B20" s="2747"/>
      <c r="C20" s="2747"/>
      <c r="D20" s="2747"/>
      <c r="E20" s="2746" t="e">
        <f t="shared" si="0"/>
        <v>#DIV/0!</v>
      </c>
      <c r="F20" s="2746" t="e">
        <f t="shared" si="1"/>
        <v>#DIV/0!</v>
      </c>
      <c r="G20" s="2747"/>
      <c r="H20" s="2747"/>
      <c r="I20" s="2747"/>
      <c r="J20" s="2918"/>
      <c r="K20" s="2918"/>
    </row>
    <row r="21" spans="1:11" ht="16.5">
      <c r="A21" s="2745" t="s">
        <v>1309</v>
      </c>
      <c r="B21" s="2747"/>
      <c r="C21" s="2747"/>
      <c r="D21" s="2747"/>
      <c r="E21" s="2746" t="e">
        <f t="shared" si="0"/>
        <v>#DIV/0!</v>
      </c>
      <c r="F21" s="2746" t="e">
        <f t="shared" si="1"/>
        <v>#DIV/0!</v>
      </c>
      <c r="G21" s="2747"/>
      <c r="H21" s="2747"/>
      <c r="I21" s="2747"/>
      <c r="J21" s="2918"/>
      <c r="K21" s="2918"/>
    </row>
    <row r="22" spans="1:11" ht="16.5">
      <c r="A22" s="2745" t="s">
        <v>1308</v>
      </c>
      <c r="B22" s="2747"/>
      <c r="C22" s="2747"/>
      <c r="D22" s="2747"/>
      <c r="E22" s="2746" t="e">
        <f t="shared" si="0"/>
        <v>#DIV/0!</v>
      </c>
      <c r="F22" s="2746" t="e">
        <f t="shared" si="1"/>
        <v>#DIV/0!</v>
      </c>
      <c r="G22" s="2747"/>
      <c r="H22" s="2747"/>
      <c r="I22" s="2747"/>
      <c r="J22" s="2918"/>
      <c r="K22" s="2918"/>
    </row>
    <row r="23" spans="1:11" ht="16.5">
      <c r="A23" s="2745" t="s">
        <v>1307</v>
      </c>
      <c r="B23" s="2747"/>
      <c r="C23" s="2747"/>
      <c r="D23" s="2747"/>
      <c r="E23" s="2748" t="e">
        <f t="shared" si="0"/>
        <v>#DIV/0!</v>
      </c>
      <c r="F23" s="2748" t="e">
        <f t="shared" si="1"/>
        <v>#DIV/0!</v>
      </c>
      <c r="G23" s="2747"/>
      <c r="H23" s="2747"/>
      <c r="I23" s="2747"/>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90" zoomScaleNormal="100" zoomScaleSheetLayoutView="90" zoomScalePageLayoutView="80" workbookViewId="0">
      <selection activeCell="G74" sqref="G7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3164</v>
      </c>
      <c r="H1" s="1938" t="str">
        <f>IF(G1="现房","——","估价对象范围")</f>
        <v>——</v>
      </c>
      <c r="I1" s="1939" t="s">
        <v>70</v>
      </c>
    </row>
    <row r="2" spans="1:12" ht="21.75" customHeight="1" thickBot="1">
      <c r="A2" s="3237" t="str">
        <f>项目基本情况!S2</f>
        <v>北京市丰台区芳群园三区4号楼(中乐六星酒店)房地产</v>
      </c>
      <c r="B2" s="3238"/>
      <c r="C2" s="3238"/>
      <c r="D2" s="3238"/>
      <c r="E2" s="3238"/>
      <c r="F2" s="3238"/>
      <c r="G2" s="3238"/>
      <c r="H2" s="3238"/>
      <c r="I2" s="3239"/>
    </row>
    <row r="3" spans="1:12" ht="12.75">
      <c r="A3" s="3242" t="s">
        <v>1951</v>
      </c>
      <c r="B3" s="3243"/>
      <c r="C3" s="3243"/>
      <c r="D3" s="3243"/>
      <c r="E3" s="3243"/>
      <c r="F3" s="3243"/>
      <c r="G3" s="3243"/>
      <c r="H3" s="3243"/>
      <c r="I3" s="3243"/>
    </row>
    <row r="4" spans="1:12" ht="14.25">
      <c r="A4" s="1942" t="s">
        <v>1952</v>
      </c>
      <c r="B4" s="1943" t="s">
        <v>1953</v>
      </c>
      <c r="C4" s="1944" t="s">
        <v>3163</v>
      </c>
      <c r="D4" s="1944" t="s">
        <v>3191</v>
      </c>
      <c r="E4" s="3247" t="s">
        <v>1954</v>
      </c>
      <c r="F4" s="3248"/>
      <c r="G4" s="3248"/>
      <c r="H4" s="3248"/>
      <c r="I4" s="324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2" t="s">
        <v>1955</v>
      </c>
      <c r="B5" s="3240">
        <v>25</v>
      </c>
      <c r="C5" s="3244"/>
      <c r="D5" s="3241"/>
      <c r="E5" s="136" t="s">
        <v>1956</v>
      </c>
      <c r="F5" s="1945"/>
      <c r="G5" s="1945"/>
      <c r="H5" s="1945"/>
      <c r="I5" s="1559"/>
    </row>
    <row r="6" spans="1:12" ht="12.75">
      <c r="A6" s="3182"/>
      <c r="B6" s="3240"/>
      <c r="C6" s="3246"/>
      <c r="D6" s="3241"/>
      <c r="E6" s="136" t="s">
        <v>1957</v>
      </c>
      <c r="F6" s="1945"/>
      <c r="G6" s="1945"/>
      <c r="H6" s="1945"/>
      <c r="I6" s="1559"/>
    </row>
    <row r="7" spans="1:12" ht="12.75">
      <c r="A7" s="3182"/>
      <c r="B7" s="3240"/>
      <c r="C7" s="3245"/>
      <c r="D7" s="3241"/>
      <c r="E7" s="136" t="s">
        <v>1958</v>
      </c>
      <c r="F7" s="1945"/>
      <c r="G7" s="1945"/>
      <c r="H7" s="1945"/>
      <c r="I7" s="1559"/>
    </row>
    <row r="8" spans="1:12" ht="12.75">
      <c r="A8" s="3182" t="s">
        <v>1959</v>
      </c>
      <c r="B8" s="3240">
        <v>15</v>
      </c>
      <c r="C8" s="3244"/>
      <c r="D8" s="3241"/>
      <c r="E8" s="136" t="s">
        <v>1960</v>
      </c>
      <c r="F8" s="1945"/>
      <c r="G8" s="1945"/>
      <c r="H8" s="1945"/>
      <c r="I8" s="1559"/>
    </row>
    <row r="9" spans="1:12" ht="12.75">
      <c r="A9" s="3182"/>
      <c r="B9" s="3240"/>
      <c r="C9" s="3245"/>
      <c r="D9" s="3241"/>
      <c r="E9" s="136" t="s">
        <v>1961</v>
      </c>
      <c r="F9" s="1945"/>
      <c r="G9" s="1945"/>
      <c r="H9" s="1945"/>
      <c r="I9" s="1559"/>
    </row>
    <row r="10" spans="1:12" ht="12.75">
      <c r="A10" s="3182" t="s">
        <v>1962</v>
      </c>
      <c r="B10" s="3240">
        <v>15</v>
      </c>
      <c r="C10" s="3244"/>
      <c r="D10" s="3241"/>
      <c r="E10" s="136" t="s">
        <v>1963</v>
      </c>
      <c r="F10" s="1945"/>
      <c r="G10" s="1945"/>
      <c r="H10" s="1945"/>
      <c r="I10" s="1559"/>
    </row>
    <row r="11" spans="1:12" ht="12.75">
      <c r="A11" s="3182"/>
      <c r="B11" s="3240"/>
      <c r="C11" s="3245"/>
      <c r="D11" s="3241"/>
      <c r="E11" s="136" t="s">
        <v>1964</v>
      </c>
      <c r="F11" s="1945"/>
      <c r="G11" s="1945"/>
      <c r="H11" s="1945"/>
      <c r="I11" s="1559"/>
    </row>
    <row r="12" spans="1:12" ht="12.75">
      <c r="A12" s="3182" t="s">
        <v>1965</v>
      </c>
      <c r="B12" s="3240">
        <v>15</v>
      </c>
      <c r="C12" s="3244"/>
      <c r="D12" s="3241"/>
      <c r="E12" s="136" t="s">
        <v>1966</v>
      </c>
      <c r="F12" s="1945"/>
      <c r="G12" s="1945"/>
      <c r="H12" s="1945"/>
      <c r="I12" s="1559"/>
    </row>
    <row r="13" spans="1:12" ht="12.75">
      <c r="A13" s="3182"/>
      <c r="B13" s="3240"/>
      <c r="C13" s="3245"/>
      <c r="D13" s="3241"/>
      <c r="E13" s="136" t="s">
        <v>1967</v>
      </c>
      <c r="F13" s="1945"/>
      <c r="G13" s="1945"/>
      <c r="H13" s="1945"/>
      <c r="I13" s="1559"/>
    </row>
    <row r="14" spans="1:12" ht="12.75">
      <c r="A14" s="3182" t="s">
        <v>1968</v>
      </c>
      <c r="B14" s="3240">
        <v>30</v>
      </c>
      <c r="C14" s="3260">
        <v>6</v>
      </c>
      <c r="D14" s="3231">
        <v>4</v>
      </c>
      <c r="E14" s="136" t="s">
        <v>1969</v>
      </c>
      <c r="F14" s="1945"/>
      <c r="G14" s="1945"/>
      <c r="H14" s="1945"/>
      <c r="I14" s="1559"/>
    </row>
    <row r="15" spans="1:12" ht="12.75">
      <c r="A15" s="3182"/>
      <c r="B15" s="3240"/>
      <c r="C15" s="3261"/>
      <c r="D15" s="3231"/>
      <c r="E15" s="136" t="s">
        <v>1970</v>
      </c>
      <c r="F15" s="1945"/>
      <c r="G15" s="1945"/>
      <c r="H15" s="1945"/>
      <c r="I15" s="1559"/>
    </row>
    <row r="16" spans="1:12" ht="12.75">
      <c r="A16" s="3182"/>
      <c r="B16" s="3240"/>
      <c r="C16" s="3262"/>
      <c r="D16" s="3231"/>
      <c r="E16" s="136" t="s">
        <v>1971</v>
      </c>
      <c r="F16" s="1945"/>
      <c r="G16" s="1945"/>
      <c r="H16" s="1945"/>
      <c r="I16" s="1559"/>
    </row>
    <row r="17" spans="1:36" ht="15">
      <c r="A17" s="1946" t="s">
        <v>1972</v>
      </c>
      <c r="B17" s="60"/>
      <c r="C17" s="137">
        <f>SUM(C5:C16)</f>
        <v>6</v>
      </c>
      <c r="D17" s="137">
        <f>SUM(D5:D16)</f>
        <v>4</v>
      </c>
      <c r="E17" s="134"/>
      <c r="F17" s="134"/>
      <c r="G17" s="134"/>
      <c r="H17" s="134"/>
      <c r="I17" s="134"/>
      <c r="K17" s="308"/>
      <c r="L17" s="308" t="s">
        <v>1973</v>
      </c>
      <c r="M17" s="308" t="s">
        <v>1974</v>
      </c>
    </row>
    <row r="18" spans="1:36" ht="31.9" customHeight="1" thickBot="1">
      <c r="A18" s="1947" t="s">
        <v>1975</v>
      </c>
      <c r="B18" s="1948"/>
      <c r="C18" s="138">
        <f>ROUND(C17/SUM(C17:D17),2)</f>
        <v>0.6</v>
      </c>
      <c r="D18" s="138">
        <f>1-C18</f>
        <v>0.4</v>
      </c>
      <c r="E18" s="3266" t="s">
        <v>2871</v>
      </c>
      <c r="F18" s="3267"/>
      <c r="G18" s="3267"/>
      <c r="H18" s="3267"/>
      <c r="I18" s="3267"/>
      <c r="K18" s="308" t="s">
        <v>1976</v>
      </c>
      <c r="L18" s="308">
        <f>IF(C1="",'数据-汇总表'!E3,SUMIF(项目类型,C1,'数据-汇总表'!E17:E26)+SUMIF(项目类型,C1,'数据-汇总表'!I17:I26))</f>
        <v>30509.71999999999</v>
      </c>
      <c r="M18" s="308">
        <f>IF(C1="",'数据-汇总表'!E3,SUMIF(项目类型,C1,'数据-汇总表'!E17:E26))</f>
        <v>30509.71999999999</v>
      </c>
    </row>
    <row r="19" spans="1:36" ht="15">
      <c r="A19" s="1949" t="s">
        <v>1977</v>
      </c>
      <c r="B19" s="1950" t="s">
        <v>1978</v>
      </c>
      <c r="C19" s="139">
        <f ca="1">SUMIF(INDIRECT("'"&amp;C4&amp;"'"&amp;"!A:A"),结果表!B19,INDIRECT("'"&amp;C4&amp;"'"&amp;"!B:B"))</f>
        <v>85823</v>
      </c>
      <c r="D19" s="140">
        <f ca="1">SUMIF(INDIRECT("'"&amp;D4&amp;"'"&amp;"!A:A"),结果表!B19,INDIRECT("'"&amp;D4&amp;"'"&amp;"!B:B"))</f>
        <v>67264</v>
      </c>
      <c r="E19" s="1949" t="s">
        <v>1979</v>
      </c>
      <c r="F19" s="1950" t="s">
        <v>1978</v>
      </c>
      <c r="G19" s="141">
        <f ca="1">ROUND(C19*$C$18+D19*$D$18,0)</f>
        <v>78399</v>
      </c>
      <c r="H19" s="1951" t="s">
        <v>1980</v>
      </c>
      <c r="I19" s="134"/>
      <c r="K19" s="308" t="s">
        <v>1981</v>
      </c>
      <c r="L19" s="308">
        <f>IF(C1="",'数据-汇总表'!D3,SUMIF(项目类型,C1,'数据-汇总表'!D17:D26)+SUMIF(项目类型,C1,'数据-汇总表'!H17:H27))</f>
        <v>5000</v>
      </c>
      <c r="M19" s="308">
        <f>IF(C1="",'数据-汇总表'!D3,SUMIF(项目类型,C1,'数据-汇总表'!D17:D26))</f>
        <v>5000</v>
      </c>
    </row>
    <row r="20" spans="1:36" ht="15">
      <c r="A20" s="1952"/>
      <c r="B20" s="1157" t="s">
        <v>1982</v>
      </c>
      <c r="C20" s="142">
        <f ca="1">SUMIF(INDIRECT("'"&amp;C4&amp;"'"&amp;"!A:A"),结果表!B20,INDIRECT("'"&amp;C4&amp;"'"&amp;"!B:B"))</f>
        <v>28130</v>
      </c>
      <c r="D20" s="143">
        <f ca="1">SUMIF(INDIRECT("'"&amp;D4&amp;"'"&amp;"!A:A"),结果表!B20,INDIRECT("'"&amp;D4&amp;"'"&amp;"!B:B"))</f>
        <v>22047</v>
      </c>
      <c r="E20" s="1952"/>
      <c r="F20" s="1157" t="s">
        <v>1982</v>
      </c>
      <c r="G20" s="144">
        <f ca="1">ROUND(C20*$C$18+D20*$D$18,0)</f>
        <v>25697</v>
      </c>
      <c r="H20" s="917" t="s">
        <v>1983</v>
      </c>
      <c r="I20" s="134"/>
    </row>
    <row r="21" spans="1:36" ht="15" customHeight="1" thickBot="1">
      <c r="A21" s="937"/>
      <c r="B21" s="1953" t="s">
        <v>1984</v>
      </c>
      <c r="C21" s="728">
        <f ca="1">ROUND(C19*10000/L19,0)</f>
        <v>171646</v>
      </c>
      <c r="D21" s="729">
        <f ca="1">ROUND(D19*10000/L19,0)</f>
        <v>134528</v>
      </c>
      <c r="E21" s="937"/>
      <c r="F21" s="1953" t="s">
        <v>1984</v>
      </c>
      <c r="G21" s="145">
        <f ca="1">ROUND(G19*10000/L19,0)</f>
        <v>156798</v>
      </c>
      <c r="H21" s="1954" t="s">
        <v>1983</v>
      </c>
      <c r="I21" s="134"/>
    </row>
    <row r="22" spans="1:36" ht="15" thickBot="1">
      <c r="A22" s="1876" t="s">
        <v>1985</v>
      </c>
      <c r="B22" s="1955"/>
      <c r="C22" s="1956"/>
      <c r="D22" s="730">
        <f ca="1">IF(C19&lt;D19,D19/C19-1,C19/D19-1)</f>
        <v>0.27591282112274018</v>
      </c>
      <c r="E22" s="134"/>
      <c r="F22" s="134"/>
      <c r="G22" s="134"/>
      <c r="H22" s="134"/>
      <c r="I22" s="134"/>
    </row>
    <row r="23" spans="1:36" ht="13.5" thickBot="1">
      <c r="A23" s="1935"/>
      <c r="B23" s="1935"/>
      <c r="C23" s="1935"/>
      <c r="D23" s="1935"/>
      <c r="E23" s="134"/>
      <c r="F23" s="134"/>
      <c r="G23" s="134"/>
      <c r="H23" s="134"/>
      <c r="I23" s="134"/>
    </row>
    <row r="24" spans="1:36" ht="14.25">
      <c r="A24" s="3256" t="s">
        <v>1986</v>
      </c>
      <c r="B24" s="1950" t="s">
        <v>1978</v>
      </c>
      <c r="C24" s="141">
        <f>IF(B30=0,0,D30)</f>
        <v>0</v>
      </c>
      <c r="D24" s="1957"/>
      <c r="E24" s="134"/>
      <c r="F24" s="134"/>
      <c r="G24" s="134"/>
      <c r="H24" s="134"/>
      <c r="I24" s="134"/>
    </row>
    <row r="25" spans="1:36" ht="14.25">
      <c r="A25" s="325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2872</v>
      </c>
      <c r="F30" s="134"/>
      <c r="G30" s="134"/>
      <c r="H30" s="134"/>
      <c r="I30" s="134"/>
    </row>
    <row r="31" spans="1:36" s="2529" customFormat="1" ht="26.45" customHeight="1" thickTop="1" thickBot="1">
      <c r="A31" s="2524"/>
      <c r="B31" s="2525"/>
      <c r="C31" s="2525"/>
      <c r="D31" s="2525"/>
      <c r="E31" s="2525"/>
      <c r="F31" s="2525"/>
      <c r="G31" s="2525"/>
      <c r="H31" s="2525"/>
      <c r="I31" s="2526" t="s">
        <v>2873</v>
      </c>
      <c r="J31" s="2919"/>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78399</v>
      </c>
      <c r="D32" s="1963" t="s">
        <v>3192</v>
      </c>
      <c r="E32" s="134"/>
      <c r="F32" s="134"/>
      <c r="G32" s="134"/>
      <c r="H32" s="134"/>
      <c r="I32" s="134"/>
    </row>
    <row r="33" spans="1:15" ht="15">
      <c r="A33" s="894" t="s">
        <v>1993</v>
      </c>
      <c r="B33" s="1964"/>
      <c r="C33" s="1965" t="s">
        <v>3193</v>
      </c>
      <c r="D33" s="1966" t="s">
        <v>3163</v>
      </c>
      <c r="E33" s="1967" t="s">
        <v>1994</v>
      </c>
      <c r="F33" s="1968" t="str">
        <f>IF(D32="楼面单价","取值（单价）","取值（总价）")</f>
        <v>取值（总价）</v>
      </c>
      <c r="G33" s="134"/>
      <c r="H33" s="134"/>
      <c r="I33" s="134"/>
    </row>
    <row r="34" spans="1:15" ht="15">
      <c r="A34" s="1969"/>
      <c r="B34" s="1970" t="s">
        <v>1995</v>
      </c>
      <c r="C34" s="153">
        <f ca="1">IF(C33="自定义",F34,C32-C35)</f>
        <v>58329</v>
      </c>
      <c r="D34" s="970">
        <f ca="1">IF(C33="自定义",ROUND(C34/C32,3),IF(C33="收益比率",SUMIF(INDIRECT("'"&amp;D33&amp;"'"&amp;"!b:b"),"土地收益比率",INDIRECT("'"&amp;D33&amp;"'"&amp;"!c:c")),SUMIF(INDIRECT("'"&amp;D33&amp;"'"&amp;"!b:b"),"土地成本比率",INDIRECT("'"&amp;D33&amp;"'"&amp;"!c:c"))))</f>
        <v>0.74399999999999999</v>
      </c>
      <c r="E34" s="1971" t="s">
        <v>1996</v>
      </c>
      <c r="F34" s="1500"/>
      <c r="G34" s="134"/>
      <c r="H34" s="134"/>
      <c r="I34" s="134"/>
    </row>
    <row r="35" spans="1:15" ht="15.75" thickBot="1">
      <c r="A35" s="1972"/>
      <c r="B35" s="1973" t="s">
        <v>1997</v>
      </c>
      <c r="C35" s="1332">
        <f ca="1">IF(C33="自定义",F35,ROUND(C32*D35,0))</f>
        <v>20070</v>
      </c>
      <c r="D35" s="1333">
        <f ca="1">IF(C33="自定义",ROUND(C35/C32,3),IF(C33="收益比率",SUMIF(INDIRECT("'"&amp;D33&amp;"'"&amp;"!b:b"),"建筑物收益比率",INDIRECT("'"&amp;D33&amp;"'"&amp;"!c:c")),SUMIF(INDIRECT("'"&amp;D33&amp;"'"&amp;"!b:b"),"建筑物成本比率",INDIRECT("'"&amp;D33&amp;"'"&amp;"!c:c"))))</f>
        <v>0.25600000000000001</v>
      </c>
      <c r="E35" s="1974" t="s">
        <v>1998</v>
      </c>
      <c r="F35" s="159"/>
      <c r="G35" s="134"/>
      <c r="H35" s="134"/>
      <c r="I35" s="134"/>
    </row>
    <row r="36" spans="1:15" ht="15.75" thickBot="1">
      <c r="A36" s="3232" t="s">
        <v>1999</v>
      </c>
      <c r="B36" s="1975" t="s">
        <v>2000</v>
      </c>
      <c r="C36" s="150"/>
      <c r="D36" s="1976"/>
      <c r="E36" s="1977"/>
      <c r="F36" s="1978"/>
      <c r="G36" s="134"/>
      <c r="H36" s="134"/>
      <c r="I36" s="134"/>
    </row>
    <row r="37" spans="1:15" ht="15.75" thickBot="1">
      <c r="A37" s="3233"/>
      <c r="B37" s="1862" t="s">
        <v>2001</v>
      </c>
      <c r="C37" s="152"/>
      <c r="D37" s="1301"/>
      <c r="E37" s="1301"/>
      <c r="F37" s="1978"/>
      <c r="G37" s="134"/>
      <c r="H37" s="134"/>
      <c r="I37" s="134"/>
    </row>
    <row r="38" spans="1:15" ht="15.75" thickBot="1">
      <c r="A38" s="3234"/>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3" t="s">
        <v>2013</v>
      </c>
      <c r="B45" s="3254"/>
      <c r="C45" s="3255"/>
      <c r="D45" s="160">
        <f ca="1">ROUND(H101*F45,0)</f>
        <v>78399</v>
      </c>
      <c r="E45" s="161" t="s">
        <v>2014</v>
      </c>
      <c r="F45" s="162">
        <v>1</v>
      </c>
      <c r="G45" s="163" t="s">
        <v>2015</v>
      </c>
      <c r="H45" s="134"/>
      <c r="I45" s="134"/>
      <c r="J45" s="3169" t="s">
        <v>2016</v>
      </c>
      <c r="K45" s="3169"/>
      <c r="L45" s="3169"/>
      <c r="M45" s="3169"/>
      <c r="N45" s="3169"/>
      <c r="O45" s="3169"/>
    </row>
    <row r="46" spans="1:15" ht="14.25" customHeight="1">
      <c r="A46" s="3250" t="s">
        <v>2017</v>
      </c>
      <c r="B46" s="3251"/>
      <c r="C46" s="3251"/>
      <c r="D46" s="3251"/>
      <c r="E46" s="3251"/>
      <c r="F46" s="3251"/>
      <c r="G46" s="3252"/>
      <c r="H46" s="1994"/>
      <c r="I46" s="164"/>
      <c r="J46" s="2751">
        <v>1</v>
      </c>
      <c r="K46" s="3170" t="s">
        <v>2018</v>
      </c>
      <c r="L46" s="3170"/>
      <c r="M46" s="3171"/>
      <c r="N46" s="3171"/>
      <c r="O46" s="3171"/>
    </row>
    <row r="47" spans="1:15" ht="12" customHeight="1">
      <c r="A47" s="165" t="s">
        <v>2019</v>
      </c>
      <c r="B47" s="166"/>
      <c r="C47" s="167"/>
      <c r="D47" s="1247" t="s">
        <v>2020</v>
      </c>
      <c r="E47" s="308" t="s">
        <v>2021</v>
      </c>
      <c r="F47" s="168" t="s">
        <v>2022</v>
      </c>
      <c r="G47" s="2774" t="s">
        <v>2023</v>
      </c>
      <c r="H47" s="2775"/>
      <c r="I47" s="164"/>
      <c r="J47" s="2751">
        <v>2</v>
      </c>
      <c r="K47" s="3170" t="s">
        <v>2024</v>
      </c>
      <c r="L47" s="3170"/>
      <c r="M47" s="3172">
        <f>'数据-取费表'!B2</f>
        <v>44120</v>
      </c>
      <c r="N47" s="3172"/>
      <c r="O47" s="3172"/>
    </row>
    <row r="48" spans="1:15" ht="25.5">
      <c r="A48" s="3235" t="s">
        <v>2025</v>
      </c>
      <c r="B48" s="3236"/>
      <c r="C48" s="3236"/>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70" t="s">
        <v>2027</v>
      </c>
      <c r="L48" s="3170"/>
      <c r="M48" s="3173">
        <f ca="1">H101</f>
        <v>78399</v>
      </c>
      <c r="N48" s="3173"/>
      <c r="O48" s="3173"/>
    </row>
    <row r="49" spans="1:35" ht="25.5" customHeight="1">
      <c r="A49" s="2558" t="s">
        <v>2028</v>
      </c>
      <c r="B49" s="3218" t="s">
        <v>2029</v>
      </c>
      <c r="C49" s="3218"/>
      <c r="D49" s="1777">
        <v>0</v>
      </c>
      <c r="E49" s="330" t="s">
        <v>2030</v>
      </c>
      <c r="F49" s="2652" t="s">
        <v>34</v>
      </c>
      <c r="G49" s="3201"/>
      <c r="H49" s="2530" t="s">
        <v>2874</v>
      </c>
      <c r="I49" s="2531"/>
      <c r="J49" s="2751">
        <v>4</v>
      </c>
      <c r="K49" s="3170" t="str">
        <f>IF(项目基本情况!E8="房地产抵押价值","房地产抵押价值","抵押担保权已注销时的房地产抵押价值")</f>
        <v>房地产抵押价值</v>
      </c>
      <c r="L49" s="3170"/>
      <c r="M49" s="3173">
        <f ca="1">IF(项目基本情况!E8="房地产抵押价值",H107,H109)</f>
        <v>78399</v>
      </c>
      <c r="N49" s="3173"/>
      <c r="O49" s="3173"/>
    </row>
    <row r="50" spans="1:35" ht="25.5" customHeight="1">
      <c r="A50" s="2779"/>
      <c r="B50" s="3218" t="s">
        <v>2031</v>
      </c>
      <c r="C50" s="3218"/>
      <c r="D50" s="2780"/>
      <c r="E50" s="338"/>
      <c r="F50" s="2652"/>
      <c r="G50" s="3202"/>
      <c r="H50" s="2532" t="s">
        <v>2875</v>
      </c>
      <c r="I50" s="2531"/>
      <c r="J50" s="3169" t="s">
        <v>2032</v>
      </c>
      <c r="K50" s="3169"/>
      <c r="L50" s="3169"/>
      <c r="M50" s="3169"/>
      <c r="N50" s="3169"/>
      <c r="O50" s="3169"/>
    </row>
    <row r="51" spans="1:35" ht="20.45" customHeight="1">
      <c r="A51" s="2781"/>
      <c r="B51" s="3218" t="s">
        <v>2033</v>
      </c>
      <c r="C51" s="3218"/>
      <c r="D51" s="1247"/>
      <c r="E51" s="333"/>
      <c r="F51" s="2652"/>
      <c r="G51" s="3203"/>
      <c r="H51" s="2532" t="s">
        <v>2876</v>
      </c>
      <c r="I51" s="2531"/>
      <c r="J51" s="2752" t="s">
        <v>2034</v>
      </c>
      <c r="K51" s="3170" t="s">
        <v>2035</v>
      </c>
      <c r="L51" s="3170"/>
      <c r="M51" s="2752" t="s">
        <v>2036</v>
      </c>
      <c r="N51" s="2752" t="s">
        <v>2037</v>
      </c>
      <c r="O51" s="2752" t="s">
        <v>2038</v>
      </c>
    </row>
    <row r="52" spans="1:35" ht="24" customHeight="1">
      <c r="A52" s="2560" t="s">
        <v>2039</v>
      </c>
      <c r="B52" s="3218" t="s">
        <v>2040</v>
      </c>
      <c r="C52" s="3218"/>
      <c r="D52" s="1247">
        <f ca="1">ROUND(D45*'数据-取费表'!B41/(1+'数据-取费表'!C42),0)</f>
        <v>4181</v>
      </c>
      <c r="E52" s="2559" t="s">
        <v>2041</v>
      </c>
      <c r="F52" s="2782">
        <f>'数据-取费表'!B41</f>
        <v>5.6000000000000001E-2</v>
      </c>
      <c r="G52" s="2783"/>
      <c r="H52" s="2772"/>
      <c r="I52" s="1995"/>
      <c r="J52" s="2751">
        <v>1</v>
      </c>
      <c r="K52" s="3195" t="s">
        <v>2042</v>
      </c>
      <c r="L52" s="3195"/>
      <c r="M52" s="2753" t="b">
        <f>D48</f>
        <v>0</v>
      </c>
      <c r="N52" s="2751" t="str">
        <f>E48</f>
        <v>销售额×税（费）率</v>
      </c>
      <c r="O52" s="2754">
        <f>F48</f>
        <v>5.6000000000000001E-2</v>
      </c>
    </row>
    <row r="53" spans="1:35" ht="12" customHeight="1">
      <c r="A53" s="2560" t="s">
        <v>2043</v>
      </c>
      <c r="B53" s="3219" t="s">
        <v>3033</v>
      </c>
      <c r="C53" s="3220"/>
      <c r="D53" s="1247">
        <f ca="1">ROUND(D45*'数据-取费表'!B41/(1+'数据-取费表'!C42),0)</f>
        <v>4181</v>
      </c>
      <c r="E53" s="2559" t="s">
        <v>2041</v>
      </c>
      <c r="F53" s="2782">
        <f>'数据-取费表'!B41</f>
        <v>5.6000000000000001E-2</v>
      </c>
      <c r="G53" s="2783"/>
      <c r="H53" s="2772"/>
      <c r="I53" s="1995"/>
      <c r="J53" s="2751">
        <v>2</v>
      </c>
      <c r="K53" s="3195" t="s">
        <v>2044</v>
      </c>
      <c r="L53" s="3195"/>
      <c r="M53" s="2753">
        <f t="shared" ref="M53:O54" ca="1" si="0">D55</f>
        <v>39</v>
      </c>
      <c r="N53" s="2751" t="str">
        <f t="shared" si="0"/>
        <v>销售额×税（费）率</v>
      </c>
      <c r="O53" s="2754" t="str">
        <f t="shared" si="0"/>
        <v>免征</v>
      </c>
    </row>
    <row r="54" spans="1:35" ht="12" customHeight="1">
      <c r="A54" s="2560" t="s">
        <v>2045</v>
      </c>
      <c r="B54" s="3219" t="s">
        <v>3034</v>
      </c>
      <c r="C54" s="3220"/>
      <c r="D54" s="1247">
        <f ca="1">C68</f>
        <v>4181</v>
      </c>
      <c r="E54" s="333" t="s">
        <v>2046</v>
      </c>
      <c r="F54" s="2782">
        <f>'数据-取费表'!B41</f>
        <v>5.6000000000000001E-2</v>
      </c>
      <c r="G54" s="2783"/>
      <c r="H54" s="2784"/>
      <c r="I54" s="1995"/>
      <c r="J54" s="2751">
        <v>3</v>
      </c>
      <c r="K54" s="3195" t="s">
        <v>2047</v>
      </c>
      <c r="L54" s="3195"/>
      <c r="M54" s="2753">
        <f t="shared" ca="1" si="0"/>
        <v>44374</v>
      </c>
      <c r="N54" s="2751" t="str">
        <f t="shared" si="0"/>
        <v>增值额×税（费）率</v>
      </c>
      <c r="O54" s="2755" t="str">
        <f t="shared" si="0"/>
        <v>免征</v>
      </c>
    </row>
    <row r="55" spans="1:35" ht="24" customHeight="1">
      <c r="A55" s="3259" t="s">
        <v>2048</v>
      </c>
      <c r="B55" s="3236"/>
      <c r="C55" s="3236"/>
      <c r="D55" s="2549">
        <f ca="1">IF(H55="个人住宅",0,ROUND(D45*I55,0))</f>
        <v>39</v>
      </c>
      <c r="E55" s="2559" t="s">
        <v>2049</v>
      </c>
      <c r="F55" s="2782" t="str">
        <f>IF(H55="正常",I55,"免征")</f>
        <v>免征</v>
      </c>
      <c r="G55" s="2783"/>
      <c r="H55" s="2778"/>
      <c r="I55" s="170">
        <f>'数据-取费表'!B49</f>
        <v>5.0000000000000001E-4</v>
      </c>
      <c r="J55" s="2751">
        <f>IF(H59="非个人房产","",4)</f>
        <v>4</v>
      </c>
      <c r="K55" s="3195" t="str">
        <f>IF(H59="非个人房产","——","个人所得税")</f>
        <v>个人所得税</v>
      </c>
      <c r="L55" s="3195"/>
      <c r="M55" s="2756">
        <f ca="1">D59</f>
        <v>747</v>
      </c>
      <c r="N55" s="2230" t="str">
        <f>E59</f>
        <v>差额计税</v>
      </c>
      <c r="O55" s="2757">
        <f>F59</f>
        <v>0.01</v>
      </c>
    </row>
    <row r="56" spans="1:35" ht="24.75">
      <c r="A56" s="3259" t="s">
        <v>2050</v>
      </c>
      <c r="B56" s="3236"/>
      <c r="C56" s="3236"/>
      <c r="D56" s="2549">
        <f ca="1">IF(H56="个人住宅",D57,D58)</f>
        <v>44374</v>
      </c>
      <c r="E56" s="2559" t="s">
        <v>2051</v>
      </c>
      <c r="F56" s="2782" t="str">
        <f>IF(H56="正常",F58,"免征")</f>
        <v>免征</v>
      </c>
      <c r="G56" s="2785" t="s">
        <v>2052</v>
      </c>
      <c r="H56" s="2786"/>
      <c r="I56" s="1996"/>
      <c r="J56" s="2751" t="str">
        <f>IF(项目基本情况!K6="上海银行",IF(J55="",4,J55+1),"")</f>
        <v/>
      </c>
      <c r="K56" s="3176" t="str">
        <f>IF(项目基本情况!K6="上海银行","其他处置费用","")</f>
        <v/>
      </c>
      <c r="L56" s="3177"/>
      <c r="M56" s="2753" t="str">
        <f>IF(项目基本情况!K6="上海银行",M69,"")</f>
        <v/>
      </c>
      <c r="N56" s="3176" t="str">
        <f>IF(项目基本情况!K6="上海银行","包含处置中涉及的律师、诉讼、拍卖、评估等费用","")</f>
        <v/>
      </c>
      <c r="O56" s="3179"/>
    </row>
    <row r="57" spans="1:35" ht="12.75">
      <c r="A57" s="2560" t="s">
        <v>2028</v>
      </c>
      <c r="B57" s="3219" t="s">
        <v>2053</v>
      </c>
      <c r="C57" s="3220"/>
      <c r="D57" s="1777">
        <v>0</v>
      </c>
      <c r="E57" s="330" t="s">
        <v>2030</v>
      </c>
      <c r="F57" s="308"/>
      <c r="G57" s="2783"/>
      <c r="H57" s="2787"/>
      <c r="I57" s="1996"/>
      <c r="J57" s="3195">
        <f>IF(AND(J55="",J56=""),4,IF(项目基本情况!K6="上海银行",结果表!J56+1,结果表!J55+1))</f>
        <v>5</v>
      </c>
      <c r="K57" s="3195" t="s">
        <v>2054</v>
      </c>
      <c r="L57" s="2758" t="s">
        <v>2055</v>
      </c>
      <c r="M57" s="2759"/>
      <c r="N57" s="2760">
        <f ca="1">SUMIF(M52:M56,"&lt;9e307")</f>
        <v>45160</v>
      </c>
      <c r="O57" s="2761"/>
      <c r="P57" s="2920">
        <f ca="1">N57/M49</f>
        <v>0.57602775545606444</v>
      </c>
    </row>
    <row r="58" spans="1:35" ht="24.75">
      <c r="A58" s="2560" t="s">
        <v>2039</v>
      </c>
      <c r="B58" s="3219" t="s">
        <v>2056</v>
      </c>
      <c r="C58" s="3218"/>
      <c r="D58" s="2549">
        <f ca="1">IF(H58="转让取得",C81,C97)</f>
        <v>44374</v>
      </c>
      <c r="E58" s="2559" t="s">
        <v>2051</v>
      </c>
      <c r="F58" s="308" t="s">
        <v>34</v>
      </c>
      <c r="G58" s="2783"/>
      <c r="H58" s="2786"/>
      <c r="I58" s="1996"/>
      <c r="J58" s="3195"/>
      <c r="K58" s="3195"/>
      <c r="L58" s="2758" t="s">
        <v>2057</v>
      </c>
      <c r="M58" s="2762"/>
      <c r="N58" s="2763" t="str">
        <f ca="1">NUMBERSTRING(INT(N57*10000),2)&amp;"元整"</f>
        <v>肆亿伍仟壹佰陆拾万元整</v>
      </c>
      <c r="O58" s="2764"/>
    </row>
    <row r="59" spans="1:35" ht="24.75" thickBot="1">
      <c r="A59" s="3199" t="s">
        <v>2058</v>
      </c>
      <c r="B59" s="3200"/>
      <c r="C59" s="3200"/>
      <c r="D59" s="2788">
        <f ca="1">IF(H59="非个人房产","——",IF(H59="个人住宅（满五唯一有凭证）",0,IF(H59="个人其他（无凭证）",ROUND(D45*F59,0),ROUND(C67*F59,0))))</f>
        <v>747</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2877</v>
      </c>
      <c r="J59" s="3197">
        <f>J57+1</f>
        <v>6</v>
      </c>
      <c r="K59" s="3195" t="s">
        <v>2059</v>
      </c>
      <c r="L59" s="2751" t="s">
        <v>2055</v>
      </c>
      <c r="M59" s="2765"/>
      <c r="N59" s="2766">
        <f ca="1">M49-N57</f>
        <v>33239</v>
      </c>
      <c r="O59" s="2767"/>
    </row>
    <row r="60" spans="1:35" ht="12" customHeight="1">
      <c r="A60" s="1997"/>
      <c r="B60" s="1935"/>
      <c r="C60" s="1935"/>
      <c r="D60" s="1935"/>
      <c r="E60" s="1765"/>
      <c r="F60" s="1996"/>
      <c r="G60" s="1996"/>
      <c r="H60" s="1998"/>
      <c r="I60" s="134"/>
      <c r="J60" s="3198"/>
      <c r="K60" s="3195"/>
      <c r="L60" s="2758" t="s">
        <v>2057</v>
      </c>
      <c r="M60" s="2762"/>
      <c r="N60" s="2763" t="str">
        <f ca="1">NUMBERSTRING(INT(N59*10000),2)&amp;"元整"</f>
        <v>叁亿叁仟贰佰叁拾玖万元整</v>
      </c>
      <c r="O60" s="2764"/>
    </row>
    <row r="61" spans="1:35" ht="13.5" thickBot="1">
      <c r="A61" s="3258" t="s">
        <v>2060</v>
      </c>
      <c r="B61" s="3258"/>
      <c r="C61" s="3258"/>
      <c r="D61" s="3258"/>
      <c r="E61" s="3258"/>
      <c r="F61" s="1996"/>
      <c r="G61" s="1996"/>
      <c r="H61" s="1998"/>
      <c r="I61" s="134"/>
      <c r="J61" s="2751">
        <f>J59+1</f>
        <v>7</v>
      </c>
      <c r="K61" s="3195" t="s">
        <v>2061</v>
      </c>
      <c r="L61" s="3195"/>
      <c r="M61" s="2768"/>
      <c r="N61" s="2769">
        <f ca="1">ROUND(N59*10000/'数据-汇总表'!E3,0)</f>
        <v>10895</v>
      </c>
      <c r="O61" s="2770"/>
    </row>
    <row r="62" spans="1:35" ht="12.75">
      <c r="A62" s="3214" t="s">
        <v>2062</v>
      </c>
      <c r="B62" s="3215"/>
      <c r="C62" s="2211"/>
      <c r="D62" s="2211" t="s">
        <v>2063</v>
      </c>
      <c r="E62" s="171" t="s">
        <v>2064</v>
      </c>
      <c r="F62" s="1996"/>
      <c r="G62" s="1996"/>
      <c r="H62" s="1998"/>
      <c r="I62" s="134"/>
    </row>
    <row r="63" spans="1:35" ht="12.75">
      <c r="A63" s="178" t="s">
        <v>775</v>
      </c>
      <c r="B63" s="172" t="s">
        <v>2065</v>
      </c>
      <c r="C63" s="2792">
        <f ca="1">ROUND((C64+C65)/(1+'数据-取费表'!C42),0)</f>
        <v>74666</v>
      </c>
      <c r="D63" s="172"/>
      <c r="E63" s="173"/>
      <c r="F63" s="1996"/>
      <c r="G63" s="1996"/>
      <c r="H63" s="1998"/>
      <c r="I63" s="134"/>
      <c r="J63" s="3178" t="s">
        <v>2066</v>
      </c>
      <c r="K63" s="1503" t="s">
        <v>2067</v>
      </c>
      <c r="L63" s="1503">
        <f ca="1">IF(M49&gt;10000,M49*0.5%,IF(AND(M49&gt;1000,M49&lt;=10000),M49*1%,IF(AND(M49&gt;100,M49&lt;=1000),M49*3%,IF(AND(M49&gt;10,M49&lt;=100),M49*5%,M49*8%))))</f>
        <v>391.995</v>
      </c>
      <c r="M63" s="308">
        <f ca="1">ROUND(L63,1)</f>
        <v>392</v>
      </c>
      <c r="N63" s="2771"/>
      <c r="Z63" s="1940"/>
      <c r="AI63" s="1941"/>
    </row>
    <row r="64" spans="1:35" ht="14.25" customHeight="1">
      <c r="A64" s="174" t="s">
        <v>770</v>
      </c>
      <c r="B64" s="175" t="s">
        <v>2068</v>
      </c>
      <c r="C64" s="2793">
        <f ca="1">D45</f>
        <v>78399</v>
      </c>
      <c r="D64" s="175" t="s">
        <v>32</v>
      </c>
      <c r="E64" s="177"/>
      <c r="F64" s="1996"/>
      <c r="G64" s="1996"/>
      <c r="H64" s="1998"/>
      <c r="I64" s="134"/>
      <c r="J64" s="3178"/>
      <c r="K64" s="1503" t="s">
        <v>2069</v>
      </c>
      <c r="L64" s="1503">
        <f ca="1">IF(M49&gt;2000,M49*0.5%,IF(AND(M49&gt;1000,M49&lt;=2000),M49*0.6%,IF(AND(M49&gt;500,M49&lt;=1000),M49*0.7%,IF(AND(M49&gt;200,M49&lt;=500),M49*0.8%,IF(AND(M49&gt;100,M49&lt;=200),M49*0.9%,IF(AND(M49&gt;50,M49&lt;=100),M49*1%,IF(AND(M49&gt;20,M49&lt;=50),M49*1.5%,IF(AND(M49&gt;10,M49&lt;=20),M49*2%,IF(AND(M49&gt;1,M49&lt;=10),M49*2.5%)))))))))</f>
        <v>391.995</v>
      </c>
      <c r="M64" s="308">
        <f t="shared" ref="M64:M65" ca="1" si="1">ROUND(L64,1)</f>
        <v>392</v>
      </c>
      <c r="N64" s="2772" t="s">
        <v>2070</v>
      </c>
      <c r="Z64" s="1940"/>
      <c r="AI64" s="1941"/>
    </row>
    <row r="65" spans="1:35" ht="14.25" customHeight="1">
      <c r="A65" s="174" t="s">
        <v>771</v>
      </c>
      <c r="B65" s="175" t="s">
        <v>2071</v>
      </c>
      <c r="C65" s="2794"/>
      <c r="D65" s="175"/>
      <c r="E65" s="177"/>
      <c r="F65" s="1996"/>
      <c r="G65" s="1996"/>
      <c r="H65" s="1998"/>
      <c r="I65" s="134"/>
      <c r="J65" s="3178"/>
      <c r="K65" s="1503" t="s">
        <v>2072</v>
      </c>
      <c r="L65" s="1503">
        <f ca="1">IF(M49&gt;1000,M49*0.1%,IF(AND(M49&gt;500,M49&lt;=1000),M49*0.5%,IF(AND(M49&gt;50,M49&lt;=500),M49*1%,IF(AND(M49&gt;1,M49&lt;=50),M49*1.5%))))</f>
        <v>78.399000000000001</v>
      </c>
      <c r="M65" s="308">
        <f t="shared" ca="1" si="1"/>
        <v>78.400000000000006</v>
      </c>
      <c r="N65" s="2772" t="s">
        <v>2070</v>
      </c>
      <c r="Z65" s="1940"/>
      <c r="AI65" s="1941"/>
    </row>
    <row r="66" spans="1:35" ht="14.25" customHeight="1">
      <c r="A66" s="178" t="s">
        <v>772</v>
      </c>
      <c r="B66" s="179" t="s">
        <v>2073</v>
      </c>
      <c r="C66" s="2795"/>
      <c r="D66" s="179" t="s">
        <v>32</v>
      </c>
      <c r="E66" s="1511" t="s">
        <v>1337</v>
      </c>
      <c r="F66" s="1996"/>
      <c r="G66" s="1996"/>
      <c r="H66" s="1998"/>
      <c r="I66" s="134"/>
      <c r="J66" s="3178"/>
      <c r="K66" s="1503" t="s">
        <v>2074</v>
      </c>
      <c r="L66" s="1503">
        <f ca="1">M49*0.5%</f>
        <v>391.995</v>
      </c>
      <c r="M66" s="308">
        <f ca="1">IF(L66&gt;0.5,0.5,ROUND(L66,0))</f>
        <v>0.5</v>
      </c>
      <c r="N66" s="2772" t="s">
        <v>2075</v>
      </c>
      <c r="Z66" s="1940"/>
      <c r="AI66" s="1941"/>
    </row>
    <row r="67" spans="1:35" ht="14.25" customHeight="1">
      <c r="A67" s="178" t="s">
        <v>773</v>
      </c>
      <c r="B67" s="179" t="s">
        <v>2076</v>
      </c>
      <c r="C67" s="2796">
        <f ca="1">C63-C66</f>
        <v>74666</v>
      </c>
      <c r="D67" s="175" t="s">
        <v>32</v>
      </c>
      <c r="E67" s="177"/>
      <c r="F67" s="1996"/>
      <c r="G67" s="1996"/>
      <c r="H67" s="1998"/>
      <c r="I67" s="134"/>
      <c r="J67" s="3178"/>
      <c r="K67" s="1503" t="s">
        <v>2077</v>
      </c>
      <c r="L67" s="1503">
        <f ca="1">IF(M49&gt;=10000,(8.25+(M49-10000)*0.01%),IF(AND(M49&gt;=8000,M49&lt;10000),(7.85+(M49-8000)*0.02%),IF(AND(M49&gt;=5000,M49&lt;8000),(6.65+(M49-5000)*0.04%),IF(AND(M49&gt;=2000,M49&lt;5000),(4.25+(PM49-2000)*0.08%),IF(AND(M49&gt;=1000,M49&lt;2000),(2.75+(M49-1000)*0.15%),IF(AND(M49&gt;=100,M49&lt;1000),(0.5+(M49-100)*0.25%),IF(AND(M49&gt;0,M49&lt;100),M49*0.5%)))))))</f>
        <v>15.0899</v>
      </c>
      <c r="M67" s="308">
        <f ca="1">ROUND(L67*0.9,1)</f>
        <v>13.6</v>
      </c>
      <c r="N67" s="2771"/>
      <c r="Z67" s="1940"/>
      <c r="AI67" s="1941"/>
    </row>
    <row r="68" spans="1:35" ht="14.25" customHeight="1" thickBot="1">
      <c r="A68" s="181" t="s">
        <v>774</v>
      </c>
      <c r="B68" s="182" t="s">
        <v>2078</v>
      </c>
      <c r="C68" s="2797">
        <f ca="1">IF(C67&lt;=0,0,ROUND(C67*D68,0))</f>
        <v>4181</v>
      </c>
      <c r="D68" s="2798">
        <f>'数据-取费表'!B41</f>
        <v>5.6000000000000001E-2</v>
      </c>
      <c r="E68" s="184"/>
      <c r="F68" s="1996"/>
      <c r="G68" s="1996"/>
      <c r="H68" s="1998"/>
      <c r="I68" s="134"/>
      <c r="J68" s="3178"/>
      <c r="K68" s="1503" t="s">
        <v>2079</v>
      </c>
      <c r="L68" s="1503">
        <f ca="1">IF(M49&gt;10000,M49*0.5%,IF(AND(M49&gt;5000,M49&lt;=10000),M49*1%,IF(AND(M49&gt;1000,M49&lt;=5000),M49*2%,IF(AND(M49&gt;200,M49&lt;=1000),M49*3%,M49*5%))))</f>
        <v>391.995</v>
      </c>
      <c r="M68" s="308">
        <f ca="1">ROUND(L68,1)</f>
        <v>392</v>
      </c>
      <c r="N68" s="2771"/>
      <c r="Z68" s="1940"/>
      <c r="AI68" s="1941"/>
    </row>
    <row r="69" spans="1:35" s="1960" customFormat="1" ht="16.5" customHeight="1">
      <c r="A69" s="1999"/>
      <c r="B69" s="2000"/>
      <c r="C69" s="2001"/>
      <c r="D69" s="2002"/>
      <c r="E69" s="2003"/>
      <c r="F69" s="1765"/>
      <c r="G69" s="1765"/>
      <c r="H69" s="1764"/>
      <c r="I69" s="1935"/>
      <c r="J69" s="3178"/>
      <c r="K69" s="1503" t="s">
        <v>2080</v>
      </c>
      <c r="L69" s="1503"/>
      <c r="M69" s="308">
        <f ca="1">ROUND(SUM(M63:M68),0)</f>
        <v>1269</v>
      </c>
      <c r="N69" s="2773">
        <f ca="1">M69/M49</f>
        <v>1.6186430949374355E-2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2" t="s">
        <v>2081</v>
      </c>
      <c r="B70" s="3223"/>
      <c r="C70" s="3223"/>
      <c r="D70" s="3223"/>
      <c r="E70" s="3223"/>
      <c r="F70" s="3223"/>
      <c r="G70" s="3223"/>
      <c r="H70" s="3223"/>
      <c r="I70" s="2004"/>
      <c r="J70" s="2921"/>
      <c r="K70" s="2921"/>
      <c r="L70" s="2921"/>
      <c r="M70" s="2921"/>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4" t="s">
        <v>2062</v>
      </c>
      <c r="B71" s="3215"/>
      <c r="C71" s="2211"/>
      <c r="D71" s="2211" t="s">
        <v>2063</v>
      </c>
      <c r="E71" s="185" t="s">
        <v>2064</v>
      </c>
      <c r="F71" s="186"/>
      <c r="G71" s="186"/>
      <c r="H71" s="187"/>
      <c r="I71" s="2008"/>
      <c r="J71" s="2921"/>
      <c r="K71" s="2921"/>
      <c r="L71" s="2921"/>
      <c r="M71" s="2921"/>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74666</v>
      </c>
      <c r="D72" s="175" t="s">
        <v>32</v>
      </c>
      <c r="E72" s="2556"/>
      <c r="F72" s="2555"/>
      <c r="G72" s="2555"/>
      <c r="H72" s="188"/>
      <c r="I72" s="2008"/>
      <c r="J72" s="2921"/>
      <c r="K72" s="2921"/>
      <c r="L72" s="2921"/>
      <c r="M72" s="2921"/>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448</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19" t="s">
        <v>2089</v>
      </c>
      <c r="F76" s="3218"/>
      <c r="G76" s="3218"/>
      <c r="H76" s="322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448</v>
      </c>
      <c r="D78" s="2805">
        <f>'数据-取费表'!B43</f>
        <v>6.000000000000001E-3</v>
      </c>
      <c r="E78" s="3211" t="s">
        <v>2093</v>
      </c>
      <c r="F78" s="3212"/>
      <c r="G78" s="3212"/>
      <c r="H78" s="321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74218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165.66517857142858</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44374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2" t="s">
        <v>2097</v>
      </c>
      <c r="B83" s="3223"/>
      <c r="C83" s="3223"/>
      <c r="D83" s="3223"/>
      <c r="E83" s="3223"/>
      <c r="F83" s="3223"/>
      <c r="G83" s="3223"/>
      <c r="H83" s="322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4" t="s">
        <v>2062</v>
      </c>
      <c r="B84" s="3215"/>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74666</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448</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80" t="s">
        <v>2869</v>
      </c>
      <c r="H90" s="3181"/>
      <c r="I90" s="2009"/>
      <c r="J90" s="2749"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11" t="s">
        <v>2106</v>
      </c>
      <c r="F91" s="3212"/>
      <c r="G91" s="321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11" t="s">
        <v>2109</v>
      </c>
      <c r="F92" s="3212"/>
      <c r="G92" s="3212"/>
      <c r="H92" s="3213"/>
      <c r="I92" s="2009"/>
      <c r="J92" s="2750"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448</v>
      </c>
      <c r="D93" s="2805">
        <f>'数据-取费表'!B43</f>
        <v>6.000000000000001E-3</v>
      </c>
      <c r="E93" s="3211" t="s">
        <v>2093</v>
      </c>
      <c r="F93" s="3212"/>
      <c r="G93" s="3212"/>
      <c r="H93" s="321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63" t="s">
        <v>2113</v>
      </c>
      <c r="F94" s="3264"/>
      <c r="G94" s="3264"/>
      <c r="H94" s="326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74218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165.66517857142858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44374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1" t="s">
        <v>2115</v>
      </c>
      <c r="B100" s="3162"/>
      <c r="C100" s="3162"/>
      <c r="D100" s="3196"/>
      <c r="E100" s="3162" t="s">
        <v>2116</v>
      </c>
      <c r="F100" s="3162"/>
      <c r="G100" s="3162"/>
      <c r="H100" s="3196"/>
      <c r="I100" s="134"/>
    </row>
    <row r="101" spans="1:35" ht="18.75" customHeight="1">
      <c r="A101" s="3204" t="s">
        <v>2117</v>
      </c>
      <c r="B101" s="3205"/>
      <c r="C101" s="2813" t="str">
        <f>C4</f>
        <v>成本法</v>
      </c>
      <c r="D101" s="2814" t="str">
        <f>D4</f>
        <v>收益法（汇总）</v>
      </c>
      <c r="E101" s="3174" t="s">
        <v>2118</v>
      </c>
      <c r="F101" s="3175"/>
      <c r="G101" s="2015" t="s">
        <v>2119</v>
      </c>
      <c r="H101" s="2823">
        <f ca="1">H118</f>
        <v>78399</v>
      </c>
      <c r="I101" s="134"/>
    </row>
    <row r="102" spans="1:35" ht="18.75" customHeight="1">
      <c r="A102" s="3206" t="s">
        <v>2120</v>
      </c>
      <c r="B102" s="2812" t="s">
        <v>2119</v>
      </c>
      <c r="C102" s="2813">
        <f ca="1">C19</f>
        <v>85823</v>
      </c>
      <c r="D102" s="2814">
        <f ca="1">D19</f>
        <v>67264</v>
      </c>
      <c r="E102" s="3174"/>
      <c r="F102" s="3175"/>
      <c r="G102" s="2015" t="s">
        <v>2121</v>
      </c>
      <c r="H102" s="2783">
        <f ca="1">I118</f>
        <v>25696</v>
      </c>
      <c r="I102" s="134"/>
    </row>
    <row r="103" spans="1:35" ht="42.75" customHeight="1">
      <c r="A103" s="3206"/>
      <c r="B103" s="2812" t="s">
        <v>2121</v>
      </c>
      <c r="C103" s="2815">
        <f ca="1">C20</f>
        <v>28130</v>
      </c>
      <c r="D103" s="2816">
        <f ca="1">D20</f>
        <v>22047</v>
      </c>
      <c r="E103" s="3167" t="s">
        <v>2122</v>
      </c>
      <c r="F103" s="3168"/>
      <c r="G103" s="2016" t="s">
        <v>2123</v>
      </c>
      <c r="H103" s="2823">
        <f>IF(D36="正常操作",H104+H105+H106,H105+H106)</f>
        <v>0</v>
      </c>
      <c r="I103" s="134"/>
    </row>
    <row r="104" spans="1:35" ht="18.75" customHeight="1">
      <c r="A104" s="3206" t="s">
        <v>2124</v>
      </c>
      <c r="B104" s="2817" t="s">
        <v>2119</v>
      </c>
      <c r="C104" s="2818">
        <f ca="1">H118</f>
        <v>78399</v>
      </c>
      <c r="D104" s="2819"/>
      <c r="E104" s="1862" t="s">
        <v>2125</v>
      </c>
      <c r="F104" s="1853"/>
      <c r="G104" s="2016" t="s">
        <v>2123</v>
      </c>
      <c r="H104" s="2824">
        <f>IF(D36="同一抵押权人同一抵押物续贷",C36&amp;"（续贷，未扣减，详见特别提示）",C36)</f>
        <v>0</v>
      </c>
      <c r="I104" s="134"/>
    </row>
    <row r="105" spans="1:35" ht="18.75" customHeight="1" thickBot="1">
      <c r="A105" s="3216"/>
      <c r="B105" s="2820" t="s">
        <v>2121</v>
      </c>
      <c r="C105" s="2821">
        <f ca="1">I118</f>
        <v>25696</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07" t="str">
        <f>IF(项目基本情况!E8="已注销","——","3.房地产抵押价值")</f>
        <v>3.房地产抵押价值</v>
      </c>
      <c r="F107" s="3175"/>
      <c r="G107" s="2015" t="s">
        <v>2119</v>
      </c>
      <c r="H107" s="2823">
        <f ca="1">IF(E107="——","——",H101-H103)</f>
        <v>78399</v>
      </c>
      <c r="I107" s="134"/>
    </row>
    <row r="108" spans="1:35" ht="18.75" customHeight="1">
      <c r="A108" s="134"/>
      <c r="B108" s="134"/>
      <c r="C108" s="134"/>
      <c r="D108" s="134"/>
      <c r="E108" s="3207"/>
      <c r="F108" s="3175"/>
      <c r="G108" s="2015" t="s">
        <v>2121</v>
      </c>
      <c r="H108" s="2783">
        <f ca="1">ROUND(H107*10000/'数据-汇总表'!E3,0)</f>
        <v>25696</v>
      </c>
      <c r="I108" s="134"/>
    </row>
    <row r="109" spans="1:35" ht="18.75" customHeight="1">
      <c r="A109" s="134"/>
      <c r="B109" s="134"/>
      <c r="C109" s="134"/>
      <c r="D109" s="134"/>
      <c r="E109" s="3207" t="str">
        <f>IF(项目基本情况!E8="已注销及未注销","4.抵押担保权已注销时的房地产抵押价值",IF(项目基本情况!E8="已注销","3.抵押担保权已注销时的房地产抵押价值","——"))</f>
        <v>——</v>
      </c>
      <c r="F109" s="3175"/>
      <c r="G109" s="2015" t="s">
        <v>2119</v>
      </c>
      <c r="H109" s="2826" t="str">
        <f>IF(E109="——","——",H101-H105-H106)</f>
        <v>——</v>
      </c>
      <c r="I109" s="134"/>
    </row>
    <row r="110" spans="1:35" ht="18.75" customHeight="1">
      <c r="A110" s="134"/>
      <c r="B110" s="134"/>
      <c r="C110" s="134"/>
      <c r="D110" s="134"/>
      <c r="E110" s="3207"/>
      <c r="F110" s="3175"/>
      <c r="G110" s="2015" t="s">
        <v>2121</v>
      </c>
      <c r="H110" s="2783" t="str">
        <f>IF(H109="——","——",ROUND(H109*10000/'数据-汇总表'!E3,0))</f>
        <v>——</v>
      </c>
      <c r="I110" s="134"/>
    </row>
    <row r="111" spans="1:35" ht="18.75" customHeight="1">
      <c r="A111" s="134"/>
      <c r="B111" s="134"/>
      <c r="C111" s="134"/>
      <c r="D111" s="134"/>
      <c r="E111" s="3208" t="str">
        <f>IF(项目基本情况!E9="抵押净值",IF(OR(项目基本情况!E8="已注销",项目基本情况!E8="房地产抵押价值"),"4.抵押净值","5.抵押净值"),"——")</f>
        <v>——</v>
      </c>
      <c r="F111" s="3194"/>
      <c r="G111" s="2015" t="s">
        <v>2119</v>
      </c>
      <c r="H111" s="2823" t="str">
        <f>IF(E111="——","——",N59)</f>
        <v>——</v>
      </c>
      <c r="I111" s="134"/>
    </row>
    <row r="112" spans="1:35" ht="18.75" customHeight="1" thickBot="1">
      <c r="A112" s="134"/>
      <c r="B112" s="134"/>
      <c r="C112" s="134"/>
      <c r="D112" s="134"/>
      <c r="E112" s="3209"/>
      <c r="F112" s="3210"/>
      <c r="G112" s="2018" t="s">
        <v>2121</v>
      </c>
      <c r="H112" s="2827" t="str">
        <f>IF(E111="——","——",N61)</f>
        <v>——</v>
      </c>
      <c r="I112" s="134"/>
    </row>
    <row r="113" spans="1:27" ht="18.75" customHeight="1">
      <c r="A113" s="134"/>
      <c r="B113" s="134"/>
      <c r="C113" s="134"/>
      <c r="D113" s="134"/>
      <c r="E113" s="3217" t="s">
        <v>2127</v>
      </c>
      <c r="F113" s="3217"/>
      <c r="G113" s="3217"/>
      <c r="H113" s="3217"/>
      <c r="I113" s="134"/>
    </row>
    <row r="114" spans="1:27" ht="3.75" customHeight="1">
      <c r="A114" s="1935"/>
      <c r="B114" s="1935"/>
      <c r="C114" s="1935"/>
      <c r="D114" s="1935"/>
      <c r="E114" s="1997"/>
      <c r="F114" s="1997"/>
      <c r="G114" s="1997"/>
      <c r="H114" s="1997"/>
      <c r="I114" s="1935"/>
    </row>
    <row r="115" spans="1:27" ht="18.75" customHeight="1">
      <c r="A115" s="3228" t="s">
        <v>2129</v>
      </c>
      <c r="B115" s="3229"/>
      <c r="C115" s="3229"/>
      <c r="D115" s="3229"/>
      <c r="E115" s="3229"/>
      <c r="F115" s="3229"/>
      <c r="G115" s="3229"/>
      <c r="H115" s="3229"/>
      <c r="I115" s="3230"/>
    </row>
    <row r="116" spans="1:27" ht="27" customHeight="1">
      <c r="A116" s="3182" t="s">
        <v>2130</v>
      </c>
      <c r="B116" s="3186" t="s">
        <v>3200</v>
      </c>
      <c r="C116" s="3186" t="s">
        <v>3199</v>
      </c>
      <c r="D116" s="3192" t="s">
        <v>2131</v>
      </c>
      <c r="E116" s="3193"/>
      <c r="F116" s="3224" t="s">
        <v>3198</v>
      </c>
      <c r="G116" s="3224"/>
      <c r="H116" s="3182" t="s">
        <v>2132</v>
      </c>
      <c r="I116" s="3182"/>
    </row>
    <row r="117" spans="1:27" ht="18.75" customHeight="1">
      <c r="A117" s="3182"/>
      <c r="B117" s="3187"/>
      <c r="C117" s="3187"/>
      <c r="D117" s="2554" t="s">
        <v>2133</v>
      </c>
      <c r="E117" s="2554" t="s">
        <v>2134</v>
      </c>
      <c r="F117" s="2554" t="s">
        <v>2133</v>
      </c>
      <c r="G117" s="2554" t="s">
        <v>2135</v>
      </c>
      <c r="H117" s="2554" t="s">
        <v>2133</v>
      </c>
      <c r="I117" s="2554" t="s">
        <v>2135</v>
      </c>
    </row>
    <row r="118" spans="1:27" ht="24.75" customHeight="1">
      <c r="A118" s="2828" t="str">
        <f>项目基本情况!S2</f>
        <v>北京市丰台区芳群园三区4号楼(中乐六星酒店)房地产</v>
      </c>
      <c r="B118" s="2554">
        <f>M18</f>
        <v>30509.71999999999</v>
      </c>
      <c r="C118" s="2554">
        <f>M19</f>
        <v>5000</v>
      </c>
      <c r="D118" s="2554">
        <f ca="1">ROUND(IF(D32="总价",C34,E118*B118/10000),0)</f>
        <v>58329</v>
      </c>
      <c r="E118" s="2554">
        <f ca="1">ROUND(IF(C33="自定义",IF(D32="楼面单价",C34,D118*10000/B118),I118-G118),0)</f>
        <v>19118</v>
      </c>
      <c r="F118" s="2554">
        <f ca="1">ROUND(IF(D32="总价",C35,G118*B118/10000),0)</f>
        <v>20070</v>
      </c>
      <c r="G118" s="2554">
        <f ca="1">ROUND(IF(D32="楼面单价",C35,F118*10000/B118),0)</f>
        <v>6578</v>
      </c>
      <c r="H118" s="2554">
        <f ca="1">ROUND(IF(D32="总价",C32,I118*B118/10000),0)</f>
        <v>78399</v>
      </c>
      <c r="I118" s="2554">
        <f ca="1">ROUND(IF(D32="楼面单价",C32,H118*10000/B118),0)</f>
        <v>25696</v>
      </c>
    </row>
    <row r="119" spans="1:27" ht="18.75" customHeight="1">
      <c r="A119" s="3182" t="s">
        <v>2136</v>
      </c>
      <c r="B119" s="3182"/>
      <c r="C119" s="3182"/>
      <c r="D119" s="3188" t="str">
        <f ca="1">NUMBERSTRING(INT(D118*10000),2)&amp;"元整"</f>
        <v>伍亿捌仟叁佰贰拾玖万元整</v>
      </c>
      <c r="E119" s="3189"/>
      <c r="F119" s="3188" t="str">
        <f ca="1">NUMBERSTRING(INT(F118*10000),2)&amp;"元整"</f>
        <v>贰亿零柒拾万元整</v>
      </c>
      <c r="G119" s="3189"/>
      <c r="H119" s="3188" t="str">
        <f ca="1">NUMBERSTRING(INT(H118*10000),2)&amp;"元整"</f>
        <v>柒亿捌仟叁佰玖拾玖万元整</v>
      </c>
      <c r="I119" s="3189"/>
    </row>
    <row r="120" spans="1:27" ht="18.75" customHeight="1">
      <c r="A120" s="3183" t="str">
        <f>IF(项目基本情况!B9="房地产市场价值","",MID(E103,3,LEN(E103)-2))</f>
        <v>估价师知悉的法定优先受偿款</v>
      </c>
      <c r="B120" s="3184"/>
      <c r="C120" s="3185"/>
      <c r="D120" s="3183">
        <f>H103</f>
        <v>0</v>
      </c>
      <c r="E120" s="3184"/>
      <c r="F120" s="3184"/>
      <c r="G120" s="3184"/>
      <c r="H120" s="3184"/>
      <c r="I120" s="318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5" t="s">
        <v>2136</v>
      </c>
      <c r="B121" s="3226"/>
      <c r="C121" s="3227"/>
      <c r="D121" s="3188" t="str">
        <f>IF(D120=0,"零元整",NUMBERSTRING(INT(D120*10000),2)&amp;"元整")</f>
        <v>零元整</v>
      </c>
      <c r="E121" s="3190"/>
      <c r="F121" s="3190"/>
      <c r="G121" s="3190"/>
      <c r="H121" s="3190"/>
      <c r="I121" s="3189"/>
      <c r="AA121" s="734"/>
    </row>
    <row r="122" spans="1:27" ht="18.75" customHeight="1">
      <c r="A122" s="3194" t="str">
        <f>IF(项目基本情况!B9="房地产市场价值","",MID(E107,3,LEN(E107)-2))</f>
        <v>房地产抵押价值</v>
      </c>
      <c r="B122" s="3194"/>
      <c r="C122" s="3194"/>
      <c r="D122" s="3183">
        <f ca="1">H107</f>
        <v>78399</v>
      </c>
      <c r="E122" s="3184"/>
      <c r="F122" s="3184"/>
      <c r="G122" s="3184"/>
      <c r="H122" s="3184"/>
      <c r="I122" s="3185"/>
      <c r="AA122" s="734"/>
    </row>
    <row r="123" spans="1:27" ht="18.75" customHeight="1">
      <c r="A123" s="3182" t="s">
        <v>2136</v>
      </c>
      <c r="B123" s="3182"/>
      <c r="C123" s="3182"/>
      <c r="D123" s="3188" t="str">
        <f ca="1">NUMBERSTRING(INT(D122*10000),2)&amp;"元整"</f>
        <v>柒亿捌仟叁佰玖拾玖万元整</v>
      </c>
      <c r="E123" s="3190"/>
      <c r="F123" s="3190"/>
      <c r="G123" s="3190"/>
      <c r="H123" s="3190"/>
      <c r="I123" s="3189"/>
      <c r="AA123" s="734"/>
    </row>
    <row r="124" spans="1:27" ht="18.75" customHeight="1">
      <c r="A124" s="3194" t="str">
        <f>IF(项目基本情况!B9="房地产市场价值","",MID(E109,3,LEN(E109)-2))</f>
        <v/>
      </c>
      <c r="B124" s="3194"/>
      <c r="C124" s="3194"/>
      <c r="D124" s="3183" t="str">
        <f>H109</f>
        <v>——</v>
      </c>
      <c r="E124" s="3184"/>
      <c r="F124" s="3184"/>
      <c r="G124" s="3184"/>
      <c r="H124" s="3184"/>
      <c r="I124" s="3185"/>
      <c r="AA124" s="734"/>
    </row>
    <row r="125" spans="1:27" ht="18.75" customHeight="1">
      <c r="A125" s="3182" t="s">
        <v>2136</v>
      </c>
      <c r="B125" s="3182"/>
      <c r="C125" s="3182"/>
      <c r="D125" s="3188" t="e">
        <f>NUMBERSTRING(INT(D124*10000),2)&amp;"元整"</f>
        <v>#VALUE!</v>
      </c>
      <c r="E125" s="3190"/>
      <c r="F125" s="3190"/>
      <c r="G125" s="3190"/>
      <c r="H125" s="3190"/>
      <c r="I125" s="3189"/>
      <c r="AA125" s="734"/>
    </row>
    <row r="126" spans="1:27" ht="18.75" customHeight="1">
      <c r="A126" s="3194" t="str">
        <f>IF(项目基本情况!B9="房地产市场价值","",MID(E111,3,LEN(E111)-2))</f>
        <v/>
      </c>
      <c r="B126" s="3194"/>
      <c r="C126" s="3194"/>
      <c r="D126" s="3183" t="str">
        <f>H111</f>
        <v>——</v>
      </c>
      <c r="E126" s="3184"/>
      <c r="F126" s="3184"/>
      <c r="G126" s="3184"/>
      <c r="H126" s="3184"/>
      <c r="I126" s="3185"/>
      <c r="AA126" s="734"/>
    </row>
    <row r="127" spans="1:27" ht="18.75" customHeight="1">
      <c r="A127" s="3182" t="s">
        <v>2136</v>
      </c>
      <c r="B127" s="3182"/>
      <c r="C127" s="3182"/>
      <c r="D127" s="3188" t="e">
        <f>NUMBERSTRING(INT(D126*10000),2)&amp;"元整"</f>
        <v>#VALUE!</v>
      </c>
      <c r="E127" s="3190"/>
      <c r="F127" s="3190"/>
      <c r="G127" s="3190"/>
      <c r="H127" s="3190"/>
      <c r="I127" s="3189"/>
      <c r="AA127" s="734"/>
    </row>
    <row r="128" spans="1:27" ht="21.75" customHeight="1">
      <c r="A128" s="3191" t="s">
        <v>2137</v>
      </c>
      <c r="B128" s="3191"/>
      <c r="C128" s="3191"/>
      <c r="D128" s="3191"/>
      <c r="E128" s="3191"/>
      <c r="F128" s="3191"/>
      <c r="G128" s="3191"/>
      <c r="H128" s="3191"/>
      <c r="I128" s="3191"/>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9" t="str">
        <f>项目基本情况!B1</f>
        <v>北京市丰台区芳群园三区4号楼(中乐六星酒店)房地产抵押价值预评估</v>
      </c>
      <c r="C37" s="3069"/>
      <c r="D37" s="3069"/>
      <c r="E37" s="3069"/>
      <c r="F37" s="3069"/>
      <c r="G37" s="3069"/>
      <c r="H37" s="3069"/>
      <c r="I37" s="306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B27" sqref="B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8</v>
      </c>
    </row>
    <row r="2" spans="1:9" s="206" customFormat="1" ht="18" customHeight="1">
      <c r="A2" s="207" t="s">
        <v>2146</v>
      </c>
      <c r="B2" s="208">
        <f ca="1">IF(D2="——",C52,C52-E2)</f>
        <v>85823</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28130</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41814</v>
      </c>
      <c r="D5" s="217" t="s">
        <v>2153</v>
      </c>
      <c r="E5" s="218" t="s">
        <v>2154</v>
      </c>
      <c r="F5" s="218" t="s">
        <v>2155</v>
      </c>
      <c r="G5" s="219"/>
    </row>
    <row r="6" spans="1:9" s="220" customFormat="1" ht="13.5" customHeight="1">
      <c r="A6" s="886" t="s">
        <v>2156</v>
      </c>
      <c r="B6" s="221" t="s">
        <v>2157</v>
      </c>
      <c r="C6" s="3065">
        <f ca="1">基准地价修正!C26</f>
        <v>39984</v>
      </c>
      <c r="D6" s="223"/>
      <c r="E6" s="224"/>
      <c r="F6" s="224"/>
      <c r="G6" s="225"/>
    </row>
    <row r="7" spans="1:9" s="220" customFormat="1" ht="13.5" customHeight="1">
      <c r="A7" s="886" t="s">
        <v>2158</v>
      </c>
      <c r="B7" s="221" t="s">
        <v>2159</v>
      </c>
      <c r="C7" s="226">
        <f ca="1">ROUND(C6*F7,0)</f>
        <v>1220</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610</v>
      </c>
      <c r="D8" s="228"/>
      <c r="E8" s="226"/>
      <c r="F8" s="227"/>
      <c r="G8" s="2044" t="s">
        <v>3178</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160</v>
      </c>
      <c r="F9" s="227"/>
      <c r="G9" s="2045" t="s">
        <v>3179</v>
      </c>
      <c r="H9" s="1299"/>
      <c r="I9" s="2046" t="s">
        <v>2163</v>
      </c>
    </row>
    <row r="10" spans="1:9" s="220" customFormat="1" ht="13.5" customHeight="1">
      <c r="A10" s="887" t="s">
        <v>801</v>
      </c>
      <c r="B10" s="230" t="s">
        <v>2164</v>
      </c>
      <c r="C10" s="231">
        <f ca="1">ROUND(D10*E10/10000,0)</f>
        <v>610</v>
      </c>
      <c r="D10" s="954">
        <f ca="1">IF(B1="",'数据-汇总表'!E6,IF(INDIRECT("'数据-取费表'!c"&amp;$G$1)="住宅",INDIRECT("'数据-取费表'!s"&amp;$G$1),INDIRECT("'数据-取费表'!k"&amp;$G$1)+INDIRECT("'数据-取费表'!s"&amp;$G$1)))</f>
        <v>30509.71999999999</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30509.71999999999</v>
      </c>
      <c r="E19" s="217">
        <f>'数据-取费表'!B31</f>
        <v>200</v>
      </c>
      <c r="F19" s="237"/>
      <c r="G19" s="2044" t="s">
        <v>3180</v>
      </c>
    </row>
    <row r="20" spans="1:7" s="220" customFormat="1" ht="13.5" customHeight="1">
      <c r="A20" s="261" t="s">
        <v>2177</v>
      </c>
      <c r="B20" s="216" t="s">
        <v>2178</v>
      </c>
      <c r="C20" s="238">
        <f ca="1">ROUND((C5+C19)*F20,0)</f>
        <v>1254</v>
      </c>
      <c r="D20" s="238"/>
      <c r="E20" s="238"/>
      <c r="F20" s="239">
        <f>'数据-取费表'!B37</f>
        <v>0.03</v>
      </c>
      <c r="G20" s="240" t="s">
        <v>2179</v>
      </c>
    </row>
    <row r="21" spans="1:7" s="220" customFormat="1" ht="13.5" customHeight="1">
      <c r="A21" s="261" t="s">
        <v>2180</v>
      </c>
      <c r="B21" s="216" t="s">
        <v>2181</v>
      </c>
      <c r="C21" s="241">
        <f>F21</f>
        <v>0.03</v>
      </c>
      <c r="D21" s="242" t="s">
        <v>2182</v>
      </c>
      <c r="E21" s="238"/>
      <c r="F21" s="239">
        <f>'数据-取费表'!B38</f>
        <v>0.03</v>
      </c>
      <c r="G21" s="240" t="s">
        <v>2183</v>
      </c>
    </row>
    <row r="22" spans="1:7" s="220" customFormat="1" ht="13.5" customHeight="1">
      <c r="A22" s="261" t="s">
        <v>2184</v>
      </c>
      <c r="B22" s="216" t="s">
        <v>2185</v>
      </c>
      <c r="C22" s="1264">
        <f ca="1">ROUND(SUM(C23:C25),0)</f>
        <v>6336</v>
      </c>
      <c r="D22" s="241">
        <f ca="1">C26</f>
        <v>2.2000000000000001E-3</v>
      </c>
      <c r="E22" s="242" t="s">
        <v>2182</v>
      </c>
      <c r="F22" s="243">
        <f ca="1">'数据-取费表'!B40</f>
        <v>4.7500000000000001E-2</v>
      </c>
      <c r="G22" s="240" t="str">
        <f>IF('数据-取费表'!B22&lt;=1,"单利计息","复利计息")</f>
        <v>复利计息</v>
      </c>
    </row>
    <row r="23" spans="1:7" s="220" customFormat="1" ht="13.5" customHeight="1">
      <c r="A23" s="888" t="s">
        <v>2186</v>
      </c>
      <c r="B23" s="221" t="s">
        <v>2187</v>
      </c>
      <c r="C23" s="1265">
        <f ca="1">ROUND(IF('数据-取费表'!B22&lt;=1,C5*F22*'数据-取费表'!B23,C5*(POWER((1+F22),'数据-取费表'!B23)-1)),0)</f>
        <v>6246</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90</v>
      </c>
      <c r="D25" s="244"/>
      <c r="E25" s="247"/>
      <c r="F25" s="245"/>
      <c r="G25" s="248" t="s">
        <v>2194</v>
      </c>
    </row>
    <row r="26" spans="1:7" s="220" customFormat="1">
      <c r="A26" s="888" t="s">
        <v>795</v>
      </c>
      <c r="B26" s="221" t="s">
        <v>2195</v>
      </c>
      <c r="C26" s="244">
        <f ca="1">ROUND(IF('数据-取费表'!B22&lt;=1,F21*F22*'数据-取费表'!B23/2,F21*(POWER((1+F22),'数据-取费表'!B23/2)-1)),4)</f>
        <v>2.2000000000000001E-3</v>
      </c>
      <c r="D26" s="244"/>
      <c r="E26" s="247"/>
      <c r="F26" s="245"/>
      <c r="G26" s="249"/>
    </row>
    <row r="27" spans="1:7" s="220" customFormat="1" ht="24.75">
      <c r="A27" s="261" t="s">
        <v>2196</v>
      </c>
      <c r="B27" s="250" t="s">
        <v>2197</v>
      </c>
      <c r="C27" s="251">
        <f ca="1">C28</f>
        <v>8614</v>
      </c>
      <c r="D27" s="241">
        <f ca="1">C29</f>
        <v>6.0000000000000001E-3</v>
      </c>
      <c r="E27" s="242" t="s">
        <v>2198</v>
      </c>
      <c r="F27" s="252">
        <f ca="1">IF(B1="",'数据-取费表'!Q16,INDIRECT("'数据-取费表'!q"&amp;$G$1))</f>
        <v>0.2</v>
      </c>
      <c r="G27" s="253" t="s">
        <v>2199</v>
      </c>
    </row>
    <row r="28" spans="1:7" s="220" customFormat="1" ht="13.5" customHeight="1">
      <c r="A28" s="888" t="s">
        <v>791</v>
      </c>
      <c r="B28" s="254" t="s">
        <v>2200</v>
      </c>
      <c r="C28" s="255">
        <f ca="1">ROUND((C5+C19+C20)*F27*'数据-取费表'!B21/'数据-取费表'!B20,0)</f>
        <v>8614</v>
      </c>
      <c r="D28" s="241"/>
      <c r="E28" s="242"/>
      <c r="F28" s="252"/>
      <c r="G28" s="253"/>
    </row>
    <row r="29" spans="1:7" s="220" customFormat="1" ht="13.5" customHeight="1">
      <c r="A29" s="888" t="s">
        <v>792</v>
      </c>
      <c r="B29" s="254" t="s">
        <v>2201</v>
      </c>
      <c r="C29" s="244">
        <f ca="1">ROUND(C21*F27*'数据-取费表'!B21/'数据-取费表'!B20,4)</f>
        <v>6.0000000000000001E-3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63861</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16552</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15255</v>
      </c>
      <c r="D34" s="223"/>
      <c r="E34" s="226"/>
      <c r="F34" s="263">
        <f ca="1">IF('数据-取费表'!B24=0,1,IF(B1="",'数据-取费表'!N16,INDIRECT("'数据-取费表'!n"&amp;$G$1)))</f>
        <v>1</v>
      </c>
      <c r="G34" s="225" t="s">
        <v>2210</v>
      </c>
    </row>
    <row r="35" spans="1:7" ht="13.5" customHeight="1">
      <c r="A35" s="888" t="s">
        <v>796</v>
      </c>
      <c r="B35" s="221" t="s">
        <v>2211</v>
      </c>
      <c r="C35" s="226">
        <f ca="1">ROUND(C34*F35,0)</f>
        <v>458</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610</v>
      </c>
      <c r="D37" s="223">
        <f ca="1">D19</f>
        <v>30509.71999999999</v>
      </c>
      <c r="E37" s="255">
        <f>'数据-取费表'!B35</f>
        <v>200</v>
      </c>
      <c r="F37" s="265"/>
      <c r="G37" s="267" t="s">
        <v>2216</v>
      </c>
    </row>
    <row r="38" spans="1:7" ht="13.5" customHeight="1">
      <c r="A38" s="888" t="s">
        <v>799</v>
      </c>
      <c r="B38" s="221" t="s">
        <v>2217</v>
      </c>
      <c r="C38" s="226">
        <f ca="1">ROUND(C34*F38,0)</f>
        <v>229</v>
      </c>
      <c r="D38" s="226"/>
      <c r="E38" s="226"/>
      <c r="F38" s="265">
        <f>'数据-取费表'!B36</f>
        <v>1.4999999999999999E-2</v>
      </c>
      <c r="G38" s="225" t="s">
        <v>2212</v>
      </c>
    </row>
    <row r="39" spans="1:7" s="220" customFormat="1" ht="13.5" customHeight="1">
      <c r="A39" s="261" t="s">
        <v>2218</v>
      </c>
      <c r="B39" s="216" t="s">
        <v>2219</v>
      </c>
      <c r="C39" s="238">
        <f ca="1">ROUND(C33*F20,0)</f>
        <v>497</v>
      </c>
      <c r="D39" s="238"/>
      <c r="E39" s="238"/>
      <c r="F39" s="2537">
        <f>F20</f>
        <v>0.03</v>
      </c>
      <c r="G39" s="240" t="s">
        <v>2220</v>
      </c>
    </row>
    <row r="40" spans="1:7" s="220" customFormat="1" ht="13.5" customHeight="1">
      <c r="A40" s="261" t="s">
        <v>2221</v>
      </c>
      <c r="B40" s="216" t="s">
        <v>2222</v>
      </c>
      <c r="C40" s="1497">
        <f>F21</f>
        <v>0.03</v>
      </c>
      <c r="D40" s="242" t="s">
        <v>2223</v>
      </c>
      <c r="E40" s="238"/>
      <c r="F40" s="2537">
        <f>F21</f>
        <v>0.03</v>
      </c>
      <c r="G40" s="240" t="s">
        <v>2224</v>
      </c>
    </row>
    <row r="41" spans="1:7" s="220" customFormat="1" ht="13.5" customHeight="1">
      <c r="A41" s="261" t="s">
        <v>2225</v>
      </c>
      <c r="B41" s="216" t="s">
        <v>2226</v>
      </c>
      <c r="C41" s="238">
        <f ca="1">ROUND(SUM(C42:C43),0)</f>
        <v>1229</v>
      </c>
      <c r="D41" s="241">
        <f ca="1">C44</f>
        <v>2.2000000000000001E-3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1193</v>
      </c>
      <c r="D42" s="244"/>
      <c r="E42" s="244"/>
      <c r="F42" s="245"/>
      <c r="G42" s="3268" t="s">
        <v>2228</v>
      </c>
    </row>
    <row r="43" spans="1:7" ht="13.5" customHeight="1">
      <c r="A43" s="888" t="s">
        <v>792</v>
      </c>
      <c r="B43" s="221" t="s">
        <v>2229</v>
      </c>
      <c r="C43" s="244">
        <f ca="1">ROUND(IF('数据-取费表'!B22&lt;=1,C39*F22*'数据-取费表'!B21/2,C39*(POWER((1+F22),'数据-取费表'!B21/2)-1)),0)</f>
        <v>36</v>
      </c>
      <c r="D43" s="244"/>
      <c r="E43" s="244"/>
      <c r="F43" s="245"/>
      <c r="G43" s="3269"/>
    </row>
    <row r="44" spans="1:7" ht="13.5" customHeight="1">
      <c r="A44" s="888" t="s">
        <v>793</v>
      </c>
      <c r="B44" s="221" t="s">
        <v>2230</v>
      </c>
      <c r="C44" s="244">
        <f ca="1">ROUND(IF('数据-取费表'!B22&lt;=1,C40*F22*'数据-取费表'!B21/2,C40*(POWER((1+F22),'数据-取费表'!B21/2)-1)),4)</f>
        <v>2.2000000000000001E-3</v>
      </c>
      <c r="D44" s="244"/>
      <c r="E44" s="244"/>
      <c r="F44" s="245"/>
      <c r="G44" s="3270"/>
    </row>
    <row r="45" spans="1:7" s="220" customFormat="1" ht="13.5" customHeight="1">
      <c r="A45" s="261" t="s">
        <v>2231</v>
      </c>
      <c r="B45" s="250" t="s">
        <v>2197</v>
      </c>
      <c r="C45" s="251">
        <f ca="1">C46</f>
        <v>3410</v>
      </c>
      <c r="D45" s="241">
        <f ca="1">C47</f>
        <v>6.0000000000000001E-3</v>
      </c>
      <c r="E45" s="242" t="s">
        <v>2223</v>
      </c>
      <c r="F45" s="2539">
        <f ca="1">F27</f>
        <v>0.2</v>
      </c>
      <c r="G45" s="253" t="s">
        <v>2232</v>
      </c>
    </row>
    <row r="46" spans="1:7" s="220" customFormat="1" ht="13.5" customHeight="1">
      <c r="A46" s="888" t="s">
        <v>791</v>
      </c>
      <c r="B46" s="254" t="s">
        <v>2233</v>
      </c>
      <c r="C46" s="255">
        <f ca="1">ROUND((C33+C39)*F27,0)</f>
        <v>3410</v>
      </c>
      <c r="D46" s="269"/>
      <c r="E46" s="242"/>
      <c r="F46" s="252"/>
      <c r="G46" s="253"/>
    </row>
    <row r="47" spans="1:7" s="220" customFormat="1" ht="13.5" customHeight="1">
      <c r="A47" s="888" t="s">
        <v>792</v>
      </c>
      <c r="B47" s="254" t="s">
        <v>2234</v>
      </c>
      <c r="C47" s="244">
        <f ca="1">ROUND(C40*F27,4)</f>
        <v>6.0000000000000001E-3</v>
      </c>
      <c r="D47" s="269"/>
      <c r="E47" s="242"/>
      <c r="F47" s="252"/>
      <c r="G47" s="253"/>
    </row>
    <row r="48" spans="1:7" s="220" customFormat="1" ht="13.5" customHeight="1">
      <c r="A48" s="261" t="s">
        <v>2196</v>
      </c>
      <c r="B48" s="216" t="s">
        <v>2235</v>
      </c>
      <c r="C48" s="1497">
        <f>ROUND(F30/(1+'数据-取费表'!C42),4)</f>
        <v>5.33E-2</v>
      </c>
      <c r="D48" s="242" t="s">
        <v>2223</v>
      </c>
      <c r="E48" s="238"/>
      <c r="F48" s="2538">
        <f>F30</f>
        <v>5.6000000000000001E-2</v>
      </c>
      <c r="G48" s="240" t="s">
        <v>2236</v>
      </c>
    </row>
    <row r="49" spans="1:7" ht="16.5" customHeight="1">
      <c r="A49" s="261" t="s">
        <v>2202</v>
      </c>
      <c r="B49" s="216" t="s">
        <v>2237</v>
      </c>
      <c r="C49" s="238">
        <f ca="1">ROUND((C33+C39+C41+C45)/(1-C40-D41-D45-C48),0)</f>
        <v>23872</v>
      </c>
      <c r="D49" s="238"/>
      <c r="E49" s="238"/>
      <c r="F49" s="270"/>
      <c r="G49" s="240" t="s">
        <v>2238</v>
      </c>
    </row>
    <row r="50" spans="1:7" s="264" customFormat="1" ht="24">
      <c r="A50" s="261" t="s">
        <v>2239</v>
      </c>
      <c r="B50" s="216" t="s">
        <v>2240</v>
      </c>
      <c r="C50" s="238"/>
      <c r="D50" s="238"/>
      <c r="E50" s="238"/>
      <c r="F50" s="270">
        <f>IF('数据-取费表'!B24=0,'数据-取费表'!N16,1)</f>
        <v>0.92</v>
      </c>
      <c r="G50" s="253" t="s">
        <v>2241</v>
      </c>
    </row>
    <row r="51" spans="1:7" ht="16.5" customHeight="1">
      <c r="A51" s="261" t="s">
        <v>2242</v>
      </c>
      <c r="B51" s="216" t="s">
        <v>2243</v>
      </c>
      <c r="C51" s="238">
        <f ca="1">ROUND(C49*F50,0)</f>
        <v>21962</v>
      </c>
      <c r="D51" s="238"/>
      <c r="E51" s="238"/>
      <c r="F51" s="270"/>
      <c r="G51" s="240" t="s">
        <v>2244</v>
      </c>
    </row>
    <row r="52" spans="1:7" s="214" customFormat="1" ht="16.5" thickBot="1">
      <c r="A52" s="271" t="s">
        <v>2245</v>
      </c>
      <c r="B52" s="272"/>
      <c r="C52" s="273">
        <f ca="1">C31+C51</f>
        <v>85823</v>
      </c>
      <c r="D52" s="272"/>
      <c r="E52" s="272"/>
      <c r="F52" s="272"/>
      <c r="G52" s="274"/>
    </row>
    <row r="55" spans="1:7" ht="15">
      <c r="B55" s="276" t="s">
        <v>2246</v>
      </c>
      <c r="C55" s="277"/>
    </row>
    <row r="56" spans="1:7">
      <c r="B56" s="279" t="s">
        <v>1478</v>
      </c>
      <c r="C56" s="281">
        <f ca="1">1-C57</f>
        <v>0.74399999999999999</v>
      </c>
    </row>
    <row r="57" spans="1:7">
      <c r="B57" s="279" t="s">
        <v>1479</v>
      </c>
      <c r="C57" s="280">
        <f ca="1">ROUND(C51/C52,3)</f>
        <v>0.25600000000000001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8</v>
      </c>
      <c r="H1" s="1192" t="str">
        <f>IF(ISERROR(FIND("住宅",B1)),"非住宅","住宅")</f>
        <v>非住宅</v>
      </c>
    </row>
    <row r="2" spans="1:8" s="206" customFormat="1" ht="18" customHeight="1">
      <c r="A2" s="207" t="s">
        <v>2146</v>
      </c>
      <c r="B2" s="208">
        <f ca="1">ROUND(IF(D2="——",C52/10000,C52/10000-E2),0)</f>
        <v>23825</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7809</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6101944</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6101944</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2164</v>
      </c>
      <c r="C10" s="231">
        <f ca="1">ROUND(D10*E10,0)</f>
        <v>6101944</v>
      </c>
      <c r="D10" s="954">
        <f ca="1">IF(B1="",'数据-汇总表'!E6,IF(INDIRECT("'数据-取费表'!c"&amp;$G$1)="住宅",INDIRECT("'数据-取费表'!s"&amp;$G$1),INDIRECT("'数据-取费表'!k"&amp;$G$1)+INDIRECT("'数据-取费表'!s"&amp;$G$1)))</f>
        <v>30509.71999999999</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6101944</v>
      </c>
      <c r="D19" s="958">
        <f ca="1">D9+D10</f>
        <v>30509.71999999999</v>
      </c>
      <c r="E19" s="217">
        <f>'数据-取费表'!B31</f>
        <v>200</v>
      </c>
      <c r="F19" s="237"/>
      <c r="G19" s="2044"/>
    </row>
    <row r="20" spans="1:7" s="220" customFormat="1" ht="13.5" customHeight="1">
      <c r="A20" s="261" t="s">
        <v>2258</v>
      </c>
      <c r="B20" s="216" t="s">
        <v>2259</v>
      </c>
      <c r="C20" s="238">
        <f ca="1">ROUND((C5+C19)*F20,0)</f>
        <v>366117</v>
      </c>
      <c r="D20" s="238"/>
      <c r="E20" s="238"/>
      <c r="F20" s="239">
        <f>'数据-取费表'!B37</f>
        <v>0.03</v>
      </c>
      <c r="G20" s="240" t="s">
        <v>2260</v>
      </c>
    </row>
    <row r="21" spans="1:7" s="220" customFormat="1" ht="13.5" customHeight="1">
      <c r="A21" s="261" t="s">
        <v>2261</v>
      </c>
      <c r="B21" s="216" t="s">
        <v>2262</v>
      </c>
      <c r="C21" s="241">
        <f>F21</f>
        <v>0.03</v>
      </c>
      <c r="D21" s="242" t="s">
        <v>2263</v>
      </c>
      <c r="E21" s="238"/>
      <c r="F21" s="239">
        <f>'数据-取费表'!B38</f>
        <v>0.03</v>
      </c>
      <c r="G21" s="240" t="s">
        <v>2264</v>
      </c>
    </row>
    <row r="22" spans="1:7" s="220" customFormat="1" ht="13.5" customHeight="1">
      <c r="A22" s="261" t="s">
        <v>2265</v>
      </c>
      <c r="B22" s="216" t="s">
        <v>2266</v>
      </c>
      <c r="C22" s="1289">
        <f ca="1">ROUND(SUM(C23:C25),0)</f>
        <v>1849361</v>
      </c>
      <c r="D22" s="241">
        <f ca="1">C26</f>
        <v>2.2000000000000001E-3</v>
      </c>
      <c r="E22" s="242" t="s">
        <v>2263</v>
      </c>
      <c r="F22" s="243">
        <f ca="1">'数据-取费表'!B40</f>
        <v>4.7500000000000001E-2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911484</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911484</v>
      </c>
      <c r="D24" s="244"/>
      <c r="E24" s="244"/>
      <c r="F24" s="245"/>
      <c r="G24" s="246" t="s">
        <v>2270</v>
      </c>
    </row>
    <row r="25" spans="1:7" s="220" customFormat="1" ht="24">
      <c r="A25" s="888" t="s">
        <v>2160</v>
      </c>
      <c r="B25" s="221" t="s">
        <v>2271</v>
      </c>
      <c r="C25" s="1290">
        <f ca="1">ROUND(IF('数据-取费表'!B22&lt;=1,C20*F22*'数据-取费表'!B22/2,C20*(POWER((1+F22),'数据-取费表'!B22/2)-1)),0)</f>
        <v>26393</v>
      </c>
      <c r="D25" s="244"/>
      <c r="E25" s="247"/>
      <c r="F25" s="245"/>
      <c r="G25" s="248" t="s">
        <v>2272</v>
      </c>
    </row>
    <row r="26" spans="1:7" s="220" customFormat="1">
      <c r="A26" s="888" t="s">
        <v>795</v>
      </c>
      <c r="B26" s="221" t="s">
        <v>2195</v>
      </c>
      <c r="C26" s="244">
        <f ca="1">ROUND(IF('数据-取费表'!B22&lt;=1,F21*F22*'数据-取费表'!B22/2,F21*(POWER((1+F22),'数据-取费表'!B22/2)-1)),4)</f>
        <v>2.2000000000000001E-3</v>
      </c>
      <c r="D26" s="244"/>
      <c r="E26" s="247"/>
      <c r="F26" s="245"/>
      <c r="G26" s="249"/>
    </row>
    <row r="27" spans="1:7" s="220" customFormat="1" ht="24.75">
      <c r="A27" s="261" t="s">
        <v>2196</v>
      </c>
      <c r="B27" s="250" t="s">
        <v>2197</v>
      </c>
      <c r="C27" s="251">
        <f ca="1">C28</f>
        <v>2514001</v>
      </c>
      <c r="D27" s="241">
        <f ca="1">C29</f>
        <v>6.0000000000000001E-3</v>
      </c>
      <c r="E27" s="242" t="s">
        <v>2198</v>
      </c>
      <c r="F27" s="252">
        <f ca="1">IF(B1="",'数据-取费表'!Q16,INDIRECT("'数据-取费表'!q"&amp;$G$1))</f>
        <v>0.2</v>
      </c>
      <c r="G27" s="253" t="s">
        <v>2199</v>
      </c>
    </row>
    <row r="28" spans="1:7" s="220" customFormat="1" ht="13.5" customHeight="1">
      <c r="A28" s="888" t="s">
        <v>791</v>
      </c>
      <c r="B28" s="254" t="s">
        <v>2200</v>
      </c>
      <c r="C28" s="255">
        <f ca="1">ROUND((C5+C19+C20)*F27,0)</f>
        <v>2514001</v>
      </c>
      <c r="D28" s="241"/>
      <c r="E28" s="242"/>
      <c r="F28" s="252"/>
      <c r="G28" s="253"/>
    </row>
    <row r="29" spans="1:7" s="220" customFormat="1" ht="13.5" customHeight="1">
      <c r="A29" s="888" t="s">
        <v>792</v>
      </c>
      <c r="B29" s="254" t="s">
        <v>2201</v>
      </c>
      <c r="C29" s="244">
        <f ca="1">ROUND(C21*F27,4)</f>
        <v>6.0000000000000001E-3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18638819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165515231</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152548600</v>
      </c>
      <c r="D34" s="223"/>
      <c r="E34" s="226"/>
      <c r="F34" s="263"/>
      <c r="G34" s="225"/>
    </row>
    <row r="35" spans="1:7" ht="13.5" customHeight="1">
      <c r="A35" s="888" t="s">
        <v>796</v>
      </c>
      <c r="B35" s="221" t="s">
        <v>2211</v>
      </c>
      <c r="C35" s="226">
        <f ca="1">ROUND(C34*F35,0)</f>
        <v>4576458</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6101944</v>
      </c>
      <c r="D37" s="223">
        <f ca="1">D19</f>
        <v>30509.71999999999</v>
      </c>
      <c r="E37" s="255">
        <f>'数据-取费表'!B35</f>
        <v>200</v>
      </c>
      <c r="F37" s="265"/>
      <c r="G37" s="267"/>
    </row>
    <row r="38" spans="1:7" ht="13.5" customHeight="1">
      <c r="A38" s="888" t="s">
        <v>799</v>
      </c>
      <c r="B38" s="221" t="s">
        <v>2217</v>
      </c>
      <c r="C38" s="226">
        <f ca="1">ROUND(C34*F38,0)</f>
        <v>2288229</v>
      </c>
      <c r="D38" s="226"/>
      <c r="E38" s="226"/>
      <c r="F38" s="265">
        <f>'数据-取费表'!B36</f>
        <v>1.4999999999999999E-2</v>
      </c>
      <c r="G38" s="225" t="s">
        <v>2212</v>
      </c>
    </row>
    <row r="39" spans="1:7" s="220" customFormat="1" ht="13.5" customHeight="1">
      <c r="A39" s="261" t="s">
        <v>2218</v>
      </c>
      <c r="B39" s="216" t="s">
        <v>2219</v>
      </c>
      <c r="C39" s="238">
        <f ca="1">ROUND(C33*F20,0)</f>
        <v>4965457</v>
      </c>
      <c r="D39" s="238"/>
      <c r="E39" s="238"/>
      <c r="F39" s="2537">
        <f>F20</f>
        <v>0.03</v>
      </c>
      <c r="G39" s="240" t="s">
        <v>2220</v>
      </c>
    </row>
    <row r="40" spans="1:7" s="220" customFormat="1" ht="13.5" customHeight="1">
      <c r="A40" s="261" t="s">
        <v>2221</v>
      </c>
      <c r="B40" s="216" t="s">
        <v>2222</v>
      </c>
      <c r="C40" s="1497">
        <f>F21</f>
        <v>0.03</v>
      </c>
      <c r="D40" s="242" t="s">
        <v>2223</v>
      </c>
      <c r="E40" s="238"/>
      <c r="F40" s="2537">
        <f>F21</f>
        <v>0.03</v>
      </c>
      <c r="G40" s="240" t="s">
        <v>2224</v>
      </c>
    </row>
    <row r="41" spans="1:7" s="220" customFormat="1" ht="13.5" customHeight="1">
      <c r="A41" s="261" t="s">
        <v>2225</v>
      </c>
      <c r="B41" s="216" t="s">
        <v>2226</v>
      </c>
      <c r="C41" s="238">
        <f ca="1">ROUND(SUM(C42:C43),0)</f>
        <v>12289869</v>
      </c>
      <c r="D41" s="241">
        <f ca="1">C44</f>
        <v>2.2000000000000001E-3</v>
      </c>
      <c r="E41" s="242" t="s">
        <v>2223</v>
      </c>
      <c r="F41" s="2538">
        <f ca="1">F22</f>
        <v>4.7500000000000001E-2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11931912</v>
      </c>
      <c r="D42" s="244"/>
      <c r="E42" s="244"/>
      <c r="F42" s="245"/>
      <c r="G42" s="3268" t="s">
        <v>2275</v>
      </c>
    </row>
    <row r="43" spans="1:7" ht="13.5" customHeight="1">
      <c r="A43" s="888" t="s">
        <v>792</v>
      </c>
      <c r="B43" s="221" t="s">
        <v>2229</v>
      </c>
      <c r="C43" s="244">
        <f ca="1">ROUND(IF('数据-取费表'!B22&lt;=1,C39*F22*'数据-取费表'!B20/2,C39*(POWER((1+F22),'数据-取费表'!B20/2)-1)),0)</f>
        <v>357957</v>
      </c>
      <c r="D43" s="244"/>
      <c r="E43" s="244"/>
      <c r="F43" s="245"/>
      <c r="G43" s="3269"/>
    </row>
    <row r="44" spans="1:7" ht="13.5" customHeight="1">
      <c r="A44" s="888" t="s">
        <v>793</v>
      </c>
      <c r="B44" s="221" t="s">
        <v>2230</v>
      </c>
      <c r="C44" s="244">
        <f ca="1">ROUND(IF('数据-取费表'!B22&lt;=1,C40*F22*'数据-取费表'!B20/2,C40*(POWER((1+F22),'数据-取费表'!B20/2)-1)),4)</f>
        <v>2.2000000000000001E-3</v>
      </c>
      <c r="D44" s="244"/>
      <c r="E44" s="244"/>
      <c r="F44" s="245"/>
      <c r="G44" s="3270"/>
    </row>
    <row r="45" spans="1:7" s="220" customFormat="1" ht="13.5" customHeight="1">
      <c r="A45" s="261" t="s">
        <v>2231</v>
      </c>
      <c r="B45" s="250" t="s">
        <v>2197</v>
      </c>
      <c r="C45" s="251">
        <f ca="1">C46</f>
        <v>34096138</v>
      </c>
      <c r="D45" s="241">
        <f ca="1">C47</f>
        <v>6.0000000000000001E-3</v>
      </c>
      <c r="E45" s="242" t="s">
        <v>2223</v>
      </c>
      <c r="F45" s="2539">
        <f ca="1">F27</f>
        <v>0.2</v>
      </c>
      <c r="G45" s="253" t="s">
        <v>2232</v>
      </c>
    </row>
    <row r="46" spans="1:7" s="220" customFormat="1" ht="13.5" customHeight="1">
      <c r="A46" s="888" t="s">
        <v>791</v>
      </c>
      <c r="B46" s="254" t="s">
        <v>2233</v>
      </c>
      <c r="C46" s="255">
        <f ca="1">ROUND((C33+C39)*F27,0)</f>
        <v>34096138</v>
      </c>
      <c r="D46" s="269"/>
      <c r="E46" s="242"/>
      <c r="F46" s="252"/>
      <c r="G46" s="253"/>
    </row>
    <row r="47" spans="1:7" s="220" customFormat="1" ht="13.5" customHeight="1">
      <c r="A47" s="888" t="s">
        <v>792</v>
      </c>
      <c r="B47" s="254" t="s">
        <v>2234</v>
      </c>
      <c r="C47" s="244">
        <f ca="1">ROUND(C40*F27,4)</f>
        <v>6.0000000000000001E-3</v>
      </c>
      <c r="D47" s="269"/>
      <c r="E47" s="242"/>
      <c r="F47" s="252"/>
      <c r="G47" s="253"/>
    </row>
    <row r="48" spans="1:7" s="220" customFormat="1" ht="13.5" customHeight="1">
      <c r="A48" s="261" t="s">
        <v>2196</v>
      </c>
      <c r="B48" s="216" t="s">
        <v>2235</v>
      </c>
      <c r="C48" s="268">
        <f>ROUND(F30/(1+'数据-取费表'!C42),4)</f>
        <v>5.33E-2</v>
      </c>
      <c r="D48" s="242" t="s">
        <v>2223</v>
      </c>
      <c r="E48" s="238"/>
      <c r="F48" s="2538">
        <f>F30</f>
        <v>5.6000000000000001E-2</v>
      </c>
      <c r="G48" s="240" t="s">
        <v>2236</v>
      </c>
    </row>
    <row r="49" spans="1:7" ht="16.5" customHeight="1">
      <c r="A49" s="261" t="s">
        <v>2202</v>
      </c>
      <c r="B49" s="216" t="s">
        <v>2276</v>
      </c>
      <c r="C49" s="238">
        <f ca="1">ROUND((C33+C39+C41+C45)/(1-C40-D41-D45-C48),0)</f>
        <v>238708525</v>
      </c>
      <c r="D49" s="238"/>
      <c r="E49" s="238"/>
      <c r="F49" s="270"/>
      <c r="G49" s="240" t="s">
        <v>2238</v>
      </c>
    </row>
    <row r="50" spans="1:7" s="264" customFormat="1">
      <c r="A50" s="261" t="s">
        <v>2239</v>
      </c>
      <c r="B50" s="216" t="s">
        <v>2240</v>
      </c>
      <c r="C50" s="238"/>
      <c r="D50" s="238"/>
      <c r="E50" s="238"/>
      <c r="F50" s="270">
        <f>IF('数据-取费表'!B24=0,'数据-取费表'!N16,1)</f>
        <v>0.92</v>
      </c>
      <c r="G50" s="253"/>
    </row>
    <row r="51" spans="1:7" ht="16.5" customHeight="1">
      <c r="A51" s="261" t="s">
        <v>2242</v>
      </c>
      <c r="B51" s="216" t="s">
        <v>2277</v>
      </c>
      <c r="C51" s="238">
        <f ca="1">ROUND(C49*F50,0)</f>
        <v>219611843</v>
      </c>
      <c r="D51" s="238"/>
      <c r="E51" s="238"/>
      <c r="F51" s="270"/>
      <c r="G51" s="240" t="s">
        <v>2244</v>
      </c>
    </row>
    <row r="52" spans="1:7" s="214" customFormat="1" ht="16.5" thickBot="1">
      <c r="A52" s="271" t="s">
        <v>2245</v>
      </c>
      <c r="B52" s="272"/>
      <c r="C52" s="273">
        <f ca="1">C31+C51</f>
        <v>238250662</v>
      </c>
      <c r="D52" s="272"/>
      <c r="E52" s="272"/>
      <c r="F52" s="272"/>
      <c r="G52" s="274"/>
    </row>
    <row r="55" spans="1:7" ht="15">
      <c r="B55" s="276" t="s">
        <v>2246</v>
      </c>
      <c r="C55" s="277"/>
    </row>
    <row r="56" spans="1:7">
      <c r="B56" s="279" t="s">
        <v>1478</v>
      </c>
      <c r="C56" s="281">
        <f ca="1">1-C57</f>
        <v>7.7999999999999958E-2</v>
      </c>
    </row>
    <row r="57" spans="1:7">
      <c r="B57" s="279" t="s">
        <v>1479</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8"/>
      <c r="F1" s="3038"/>
      <c r="G1" s="2901"/>
      <c r="H1" s="3038"/>
      <c r="I1" s="3038"/>
      <c r="J1" s="3038"/>
      <c r="K1" s="3039">
        <f>MATCH(C1,'数据-取费表'!A6:A16,0)+5</f>
        <v>8</v>
      </c>
    </row>
    <row r="2" spans="1:33" ht="18" customHeight="1">
      <c r="A2" s="207" t="s">
        <v>2146</v>
      </c>
      <c r="B2" s="210">
        <f ca="1">C32</f>
        <v>0</v>
      </c>
      <c r="C2" s="282" t="s">
        <v>2279</v>
      </c>
      <c r="D2" s="282"/>
      <c r="E2" s="3038"/>
      <c r="F2" s="3038"/>
      <c r="G2" s="3038"/>
      <c r="H2" s="3038"/>
      <c r="I2" s="3038"/>
      <c r="J2" s="3038"/>
      <c r="K2" s="3038"/>
    </row>
    <row r="3" spans="1:33" ht="18" customHeight="1" thickBot="1">
      <c r="A3" s="209" t="s">
        <v>2148</v>
      </c>
      <c r="B3" s="210">
        <f ca="1">ROUND(B2*10000/IF(C1="",'数据-汇总表'!E3,INDIRECT("'数据-取费表'!K"&amp;$K$1)),0)</f>
        <v>0</v>
      </c>
      <c r="C3" s="282" t="s">
        <v>2280</v>
      </c>
      <c r="D3" s="282"/>
      <c r="E3" s="3038"/>
      <c r="F3" s="3038"/>
      <c r="G3" s="3038"/>
      <c r="H3" s="3038"/>
      <c r="I3" s="3038"/>
      <c r="J3" s="3038"/>
      <c r="K3" s="3038"/>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30509.71999999999</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30509.71999999999</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2314</v>
      </c>
      <c r="C20" s="24">
        <f ca="1">ROUND(D20*E20/10000,0)</f>
        <v>610</v>
      </c>
      <c r="D20" s="955">
        <f ca="1">IF(C1="",'数据-汇总表'!E6,IF(INDIRECT("'数据-取费表'!c"&amp;$K$1)="住宅",INDIRECT("'数据-取费表'!s"&amp;$K$1),INDIRECT("'数据-取费表'!k"&amp;$K$1)+INDIRECT("'数据-取费表'!s"&amp;$K$1)))</f>
        <v>30509.71999999999</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0.03</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0.03</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90" zoomScaleNormal="80" zoomScaleSheetLayoutView="90" workbookViewId="0">
      <selection activeCell="E31" sqref="E31"/>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30509.71999999999</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39984</v>
      </c>
      <c r="C2" s="2187" t="s">
        <v>2632</v>
      </c>
      <c r="D2" s="2188" t="s">
        <v>2633</v>
      </c>
      <c r="E2" s="2189" t="s">
        <v>27</v>
      </c>
      <c r="F2" s="2188" t="s">
        <v>2634</v>
      </c>
      <c r="G2" s="2190" t="str">
        <f>IF(E2="商业",项目基本情况!B37,IF(E2="办公",项目基本情况!C37,IF(E2="住宅",项目基本情况!D37,项目基本情况!E37)))</f>
        <v>四级</v>
      </c>
      <c r="H2" s="2188" t="s">
        <v>2635</v>
      </c>
      <c r="I2" s="2190" t="str">
        <f>IF(E2="商业",项目基本情况!B38,IF(E2="办公",项目基本情况!C38,IF(E2="住宅",项目基本情况!D38,项目基本情况!E38)))</f>
        <v>Ⅳ-11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31808</v>
      </c>
      <c r="U2" s="1375">
        <f>ROUND('数据-汇总表'!F19/2,2)</f>
        <v>2223.65</v>
      </c>
      <c r="V2" s="1374">
        <f ca="1">ROUND(T2*U2/10000,0)</f>
        <v>7073</v>
      </c>
      <c r="W2" s="1378"/>
      <c r="X2" s="1378"/>
      <c r="Y2" s="1378"/>
      <c r="Z2" s="1378"/>
      <c r="AA2" s="1378"/>
      <c r="AB2" s="1378"/>
      <c r="AC2" s="1379"/>
      <c r="AD2" s="1380"/>
      <c r="AE2" s="1380"/>
      <c r="AF2" s="1380"/>
      <c r="AG2" s="1380"/>
      <c r="AH2" s="1380"/>
      <c r="AI2" s="1380"/>
      <c r="AJ2" s="1381"/>
    </row>
    <row r="3" spans="1:36" ht="25.5">
      <c r="A3" s="209" t="s">
        <v>2637</v>
      </c>
      <c r="B3" s="210">
        <f ca="1">ROUND(B2*10000/D1,0)</f>
        <v>13105</v>
      </c>
      <c r="C3" s="2187" t="s">
        <v>2638</v>
      </c>
      <c r="D3" s="2188" t="s">
        <v>2639</v>
      </c>
      <c r="E3" s="2193" t="s">
        <v>3169</v>
      </c>
      <c r="F3" s="2194" t="s">
        <v>2640</v>
      </c>
      <c r="G3" s="855">
        <f>IF(F3="宗地容积率",'数据-汇总表'!I4,IF(F3="估价对象容积率",'数据-汇总表'!I6,'数据-汇总表'!I7))</f>
        <v>5.77</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22832</v>
      </c>
      <c r="U3" s="1375">
        <f>'数据-汇总表'!F19-基准地价修正!U2</f>
        <v>2223.64</v>
      </c>
      <c r="V3" s="1374">
        <f t="shared" ref="V3:V16" ca="1" si="1">ROUND(T3*U3/10000,0)</f>
        <v>5077</v>
      </c>
      <c r="W3" s="1378"/>
      <c r="X3" s="1378"/>
      <c r="Y3" s="1378"/>
      <c r="Z3" s="1378"/>
      <c r="AA3" s="1378"/>
      <c r="AB3" s="1378"/>
      <c r="AC3" s="1379"/>
      <c r="AD3" s="1380"/>
      <c r="AE3" s="1380"/>
      <c r="AF3" s="1380"/>
      <c r="AG3" s="1380"/>
      <c r="AH3" s="1380"/>
      <c r="AI3" s="1380"/>
      <c r="AJ3" s="1381"/>
    </row>
    <row r="4" spans="1:36" ht="15.75">
      <c r="A4" s="3290"/>
      <c r="B4" s="3291"/>
      <c r="C4" s="3291"/>
      <c r="D4" s="3292"/>
      <c r="E4" s="3292"/>
      <c r="F4" s="3292"/>
      <c r="G4" s="3292"/>
      <c r="H4" s="3292"/>
      <c r="I4" s="3292"/>
      <c r="J4" s="3293"/>
      <c r="K4" s="1280"/>
      <c r="L4" s="2192" t="s">
        <v>2644</v>
      </c>
      <c r="M4" s="995">
        <f>SUMPRODUCT((区片价!B49:B75=I2)*(区片价!C3:F3=E2)*(区片价!C49:F75))</f>
        <v>16620</v>
      </c>
      <c r="N4" s="997">
        <f>SUMPRODUCT((因素修正幅度!B49:B75=I2)*(因素修正幅度!C3:F3=E2)*(因素修正幅度!C49:F75))</f>
        <v>9.6000000000000002E-2</v>
      </c>
      <c r="O4" s="1280"/>
      <c r="P4" s="1280"/>
      <c r="Q4" s="1280"/>
      <c r="R4" s="1374">
        <v>3</v>
      </c>
      <c r="S4" s="1374">
        <f>ROUND(IF(G3&gt;1,IF(R4&lt;7,SUMPRODUCT((B93:B98=R4)*(C92:N92=G2)*(C93:N98)),SUMIF(C92:N92,G2,C100:N100)),IF(R4&lt;7,SUMPRODUCT((B102:B107=R4)*(C92:N92=G2)*(C102:N107)),SUMIF(C92:N92,G2,C109:N109))),4)</f>
        <v>1.0788</v>
      </c>
      <c r="T4" s="1374">
        <f t="shared" ca="1" si="0"/>
        <v>18420</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16620</v>
      </c>
      <c r="D5" s="1525">
        <f>ROUND(C6+C16,0)</f>
        <v>16620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14779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16620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12585</v>
      </c>
      <c r="U6" s="1375"/>
      <c r="V6" s="1374">
        <f t="shared" ca="1" si="1"/>
        <v>0</v>
      </c>
      <c r="W6" s="1378"/>
      <c r="X6" s="1378"/>
      <c r="Y6" s="1378"/>
      <c r="Z6" s="1378"/>
      <c r="AA6" s="1378"/>
      <c r="AB6" s="1378"/>
      <c r="AC6" s="2201"/>
      <c r="AD6" s="2202"/>
      <c r="AE6" s="2202"/>
      <c r="AF6" s="2202"/>
      <c r="AG6" s="2202"/>
      <c r="AH6" s="2202"/>
      <c r="AI6" s="2202"/>
      <c r="AJ6" s="2203"/>
    </row>
    <row r="7" spans="1:36" ht="24" hidden="1">
      <c r="A7" s="3271" t="str">
        <f>IF(E2="商业",IF(C8="不临58条商业街","",2),"")</f>
        <v/>
      </c>
      <c r="B7" s="2211" t="s">
        <v>2651</v>
      </c>
      <c r="C7" s="858">
        <f>IF(C8="不临58条商业街",1,ROUND(1+(1.6*E8+1.2*E9+0.8*E10+0.4*E11)*C9,4))</f>
        <v>1</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11067</v>
      </c>
      <c r="U7" s="1375"/>
      <c r="V7" s="1374">
        <f t="shared" ca="1" si="1"/>
        <v>0</v>
      </c>
      <c r="W7" s="1544" t="s">
        <v>2654</v>
      </c>
      <c r="X7" s="1376" t="str">
        <f>G2</f>
        <v>四级</v>
      </c>
      <c r="Y7" s="1376" t="s">
        <v>2655</v>
      </c>
      <c r="Z7" s="1377">
        <f>G3</f>
        <v>5.77</v>
      </c>
      <c r="AA7" s="1378"/>
      <c r="AB7" s="1378"/>
      <c r="AC7" s="1379"/>
      <c r="AD7" s="1380"/>
      <c r="AE7" s="1380"/>
      <c r="AF7" s="1380"/>
      <c r="AG7" s="1380"/>
      <c r="AH7" s="1380"/>
      <c r="AI7" s="1380"/>
      <c r="AJ7" s="1381"/>
    </row>
    <row r="8" spans="1:36" ht="25.5" hidden="1">
      <c r="A8" s="3294"/>
      <c r="B8" s="175" t="s">
        <v>2656</v>
      </c>
      <c r="C8" s="2216" t="s">
        <v>3170</v>
      </c>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7" t="s">
        <v>2659</v>
      </c>
      <c r="X8" s="3288"/>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hidden="1">
      <c r="A9" s="3294"/>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89"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94"/>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94"/>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89" t="s">
        <v>2683</v>
      </c>
      <c r="X11" s="1386" t="s">
        <v>2684</v>
      </c>
      <c r="Y11" s="1387">
        <f>$G$3</f>
        <v>5.77</v>
      </c>
      <c r="Z11" s="1387">
        <f t="shared" ref="Z11:AJ11" si="3">$G$3</f>
        <v>5.77</v>
      </c>
      <c r="AA11" s="1387">
        <f t="shared" si="3"/>
        <v>5.77</v>
      </c>
      <c r="AB11" s="1387">
        <f t="shared" si="3"/>
        <v>5.77</v>
      </c>
      <c r="AC11" s="1387">
        <f t="shared" si="3"/>
        <v>5.77</v>
      </c>
      <c r="AD11" s="1387">
        <f t="shared" si="3"/>
        <v>5.77</v>
      </c>
      <c r="AE11" s="1387">
        <f t="shared" si="3"/>
        <v>5.77</v>
      </c>
      <c r="AF11" s="1387">
        <f t="shared" si="3"/>
        <v>5.77</v>
      </c>
      <c r="AG11" s="1387">
        <f t="shared" si="3"/>
        <v>5.77</v>
      </c>
      <c r="AH11" s="1387">
        <f t="shared" si="3"/>
        <v>5.77</v>
      </c>
      <c r="AI11" s="1387">
        <f t="shared" si="3"/>
        <v>5.77</v>
      </c>
      <c r="AJ11" s="1387">
        <f t="shared" si="3"/>
        <v>5.77</v>
      </c>
    </row>
    <row r="12" spans="1:36" ht="25.5" hidden="1" thickBot="1">
      <c r="A12" s="3271"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89"/>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95"/>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289"/>
      <c r="X13" s="1388"/>
      <c r="Y13" s="1385">
        <f>(-0.163*(Y12^2)-0.59*Y12+7617)*(10^(-4))/Y11</f>
        <v>0.13201039861351821</v>
      </c>
      <c r="Z13" s="1385">
        <f t="shared" ref="Z13:AJ13" si="5">(-0.163*(Z12^2)-0.59*Z12+7617)*(10^(-4))/Z11</f>
        <v>0.13201039861351821</v>
      </c>
      <c r="AA13" s="1385">
        <f t="shared" si="5"/>
        <v>0.13201039861351821</v>
      </c>
      <c r="AB13" s="1385">
        <f t="shared" si="5"/>
        <v>0.13201039861351821</v>
      </c>
      <c r="AC13" s="1385">
        <f t="shared" si="5"/>
        <v>0.13201039861351821</v>
      </c>
      <c r="AD13" s="1385">
        <f t="shared" si="5"/>
        <v>0.13201039861351821</v>
      </c>
      <c r="AE13" s="1385">
        <f t="shared" si="5"/>
        <v>0.13201039861351821</v>
      </c>
      <c r="AF13" s="1385">
        <f t="shared" si="5"/>
        <v>0.13201039861351821</v>
      </c>
      <c r="AG13" s="1385">
        <f t="shared" si="5"/>
        <v>0.13201039861351821</v>
      </c>
      <c r="AH13" s="1385">
        <f t="shared" si="5"/>
        <v>0.13201039861351821</v>
      </c>
      <c r="AI13" s="1385">
        <f t="shared" si="5"/>
        <v>0.13201039861351821</v>
      </c>
      <c r="AJ13" s="1385">
        <f t="shared" si="5"/>
        <v>0.13201039861351821</v>
      </c>
    </row>
    <row r="14" spans="1:36" ht="15" hidden="1">
      <c r="A14" s="3295"/>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hidden="1" thickBot="1">
      <c r="A15" s="3296"/>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271" t="s">
        <v>2702</v>
      </c>
      <c r="B16" s="2211" t="s">
        <v>2703</v>
      </c>
      <c r="C16" s="2373">
        <f>ROUND(IF(F17="与级别开发程度一致",0,(G17-E17)/C17),0)</f>
        <v>0</v>
      </c>
      <c r="D16" s="3284" t="s">
        <v>2707</v>
      </c>
      <c r="E16" s="3285"/>
      <c r="F16" s="3284" t="s">
        <v>2704</v>
      </c>
      <c r="G16" s="3285"/>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272"/>
      <c r="B17" s="2384" t="s">
        <v>2706</v>
      </c>
      <c r="C17" s="2385">
        <f>SUMPRODUCT((修正!A2:A5=E2)*(修正!B1:M1=G2)*(修正!B2:M5))</f>
        <v>2.5</v>
      </c>
      <c r="D17" s="193" t="str">
        <f>IF(OR(G2="八级",G2="九级",G2="十级",G2="十一级",G2="十二级"),"五通一平","七通一平")</f>
        <v>七通一平</v>
      </c>
      <c r="E17" s="2374">
        <f>SUMPRODUCT((修正!B1:M1=G2)*(修正!B15:M15))</f>
        <v>300</v>
      </c>
      <c r="F17" s="2375" t="s">
        <v>3171</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0"/>
    </row>
    <row r="19" spans="1:37" s="2204" customFormat="1" ht="27.75" thickBot="1">
      <c r="A19" s="2248" t="s">
        <v>809</v>
      </c>
      <c r="B19" s="2249" t="s">
        <v>2710</v>
      </c>
      <c r="C19" s="863">
        <f>ROUND(IF(H19="按公示增长率计算",SUMPRODUCT((地价!A3:A32=YEAR(G19)&amp;"-"&amp;ROUNDUP(MONTH(G19)/3,0))*(地价!X2:AB2=E2)*(地价!X3:AB32)),IF(H19="地价指数",M20/M19,(1+I19)^O19)),4)</f>
        <v>1.345</v>
      </c>
      <c r="D19" s="2253" t="s">
        <v>2711</v>
      </c>
      <c r="E19" s="864">
        <v>41640</v>
      </c>
      <c r="F19" s="2253" t="s">
        <v>2712</v>
      </c>
      <c r="G19" s="865">
        <f>'数据-取费表'!B2</f>
        <v>44120</v>
      </c>
      <c r="H19" s="2254" t="s">
        <v>3172</v>
      </c>
      <c r="I19" s="866" t="str">
        <f>IF(H19="季度增幅（自定义）",SUMIF(N21:N24,E2,O21:O24),"")</f>
        <v/>
      </c>
      <c r="J19" s="2251"/>
      <c r="K19" s="1287"/>
      <c r="L19" s="2255" t="s">
        <v>2713</v>
      </c>
      <c r="M19" s="1498">
        <f>ROUND(SUMIF(地价!B2:F2,E2,地价!B32:F32),0)</f>
        <v>258</v>
      </c>
      <c r="N19" s="2256"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2"/>
      <c r="AI19" s="3024"/>
      <c r="AJ19" s="3024"/>
      <c r="AK19" s="2257"/>
    </row>
    <row r="20" spans="1:37" s="2204" customFormat="1" ht="27.75" thickBot="1">
      <c r="A20" s="2258" t="s">
        <v>810</v>
      </c>
      <c r="B20" s="2259" t="s">
        <v>2715</v>
      </c>
      <c r="C20" s="868">
        <f ca="1">ROUND(POWER(1+G20,J20-I20)*(POWER(1+G20,I20)-1)/(POWER(1+G20,J20)-1),4)</f>
        <v>0.73719999999999997</v>
      </c>
      <c r="D20" s="2260" t="s">
        <v>2716</v>
      </c>
      <c r="E20" s="1507">
        <f ca="1">存贷款利率!D4/100</f>
        <v>4.3499999999999997E-2</v>
      </c>
      <c r="F20" s="2260" t="s">
        <v>2708</v>
      </c>
      <c r="G20" s="873">
        <f ca="1">SUMIF(M26:P26,E2,M28:P28)</f>
        <v>5.1999999999999998E-2</v>
      </c>
      <c r="H20" s="2260" t="s">
        <v>2717</v>
      </c>
      <c r="I20" s="874">
        <f>SUMIF('数据-取费表'!C6:C15,E2,'数据-取费表'!F6:F15)/COUNTIF('数据-取费表'!C6:C15,E2)</f>
        <v>22.4</v>
      </c>
      <c r="J20" s="875">
        <f>IF(E2="住宅",70,IF(E2="商业",40,50))</f>
        <v>50</v>
      </c>
      <c r="K20" s="1287"/>
      <c r="L20" s="2261" t="s">
        <v>2718</v>
      </c>
      <c r="M20" s="1499">
        <f>ROUND(SUMPRODUCT((地价!A4:A32=YEAR(G19)&amp;"-"&amp;ROUNDUP(MONTH(G19)/3,0))*(地价!B2:F2=E2)*(地价!B4:F32)),0)</f>
        <v>347</v>
      </c>
      <c r="N20" s="2262" t="s">
        <v>2719</v>
      </c>
      <c r="O20" s="2263" t="s">
        <v>2720</v>
      </c>
      <c r="P20" s="2264" t="s">
        <v>2721</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4" customFormat="1" ht="15">
      <c r="A21" s="2265" t="s">
        <v>811</v>
      </c>
      <c r="B21" s="2266" t="s">
        <v>3177</v>
      </c>
      <c r="C21" s="876">
        <f>IF(B21="容积率修正",IF(G3&lt;=10,D22,J22),C23)</f>
        <v>0.79759999999999998</v>
      </c>
      <c r="D21" s="2267"/>
      <c r="E21" s="2267"/>
      <c r="F21" s="2267"/>
      <c r="G21" s="2267"/>
      <c r="H21" s="2267"/>
      <c r="I21" s="2267"/>
      <c r="J21" s="2268"/>
      <c r="K21" s="1287"/>
      <c r="L21" s="3020"/>
      <c r="M21" s="3020"/>
      <c r="N21" s="2269" t="s">
        <v>2722</v>
      </c>
      <c r="O21" s="1335"/>
      <c r="P21" s="1336">
        <f>SUMPRODUCT((地价!A3:A32=YEAR(G19)&amp;"-"&amp;ROUNDUP(MONTH(G19)/3,0))*(地价!AD2:AH2=N21)*(地价!AD3:AH32))</f>
        <v>1.1599999999999999E-2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4" customFormat="1" ht="14.25">
      <c r="A22" s="2143" t="s">
        <v>2723</v>
      </c>
      <c r="B22" s="2270" t="s">
        <v>2724</v>
      </c>
      <c r="C22" s="1538" t="s">
        <v>2725</v>
      </c>
      <c r="D22" s="1538">
        <f>IF(E22=G22,F22,IF(G3&lt;=10,ROUND(F22+(H22-F22)*(G3-E22)/(G22-E22),4),"——"))</f>
        <v>0.79759999999999998</v>
      </c>
      <c r="E22" s="855">
        <f>ROUNDDOWN(G3,1)</f>
        <v>5.7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855">
        <f>ROUNDUP(G3,1)</f>
        <v>5.8</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538" t="s">
        <v>155</v>
      </c>
      <c r="J22" s="877" t="str">
        <f>IF(G3&gt;10,D113,"——")</f>
        <v>——</v>
      </c>
      <c r="K22" s="1287"/>
      <c r="L22" s="3020"/>
      <c r="M22" s="3020"/>
      <c r="N22" s="2269" t="s">
        <v>2726</v>
      </c>
      <c r="O22" s="1335"/>
      <c r="P22" s="1336">
        <f>SUMPRODUCT((地价!A3:A32=YEAR(G19)&amp;"-"&amp;ROUNDUP(MONTH(G19)/3,0))*(地价!AD2:AH2=N22)*(地价!AD3:AH32))</f>
        <v>1.1599999999999999E-2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1.0361</v>
      </c>
      <c r="D24" s="2250"/>
      <c r="E24" s="2277"/>
      <c r="F24" s="2277"/>
      <c r="G24" s="2277"/>
      <c r="H24" s="2277"/>
      <c r="I24" s="2277"/>
      <c r="J24" s="2278"/>
      <c r="K24" s="1287"/>
      <c r="L24" s="3020"/>
      <c r="M24" s="3020"/>
      <c r="N24" s="2279" t="s">
        <v>2731</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8" t="s">
        <v>813</v>
      </c>
      <c r="B25" s="2280" t="s">
        <v>2732</v>
      </c>
      <c r="C25" s="869"/>
      <c r="D25" s="2214"/>
      <c r="E25" s="2214"/>
      <c r="F25" s="2281"/>
      <c r="G25" s="2214"/>
      <c r="H25" s="2214"/>
      <c r="I25" s="2214"/>
      <c r="J25" s="2215"/>
      <c r="K25" s="1280"/>
      <c r="L25" s="2185"/>
      <c r="M25" s="2185"/>
      <c r="N25" s="3015" t="s">
        <v>2733</v>
      </c>
      <c r="O25" s="3016"/>
      <c r="P25" s="3017">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39984</v>
      </c>
      <c r="D26" s="2283"/>
      <c r="E26" s="2239"/>
      <c r="F26" s="2284"/>
      <c r="G26" s="2239"/>
      <c r="H26" s="2239"/>
      <c r="I26" s="2239"/>
      <c r="J26" s="2285"/>
      <c r="K26" s="1280"/>
      <c r="L26" s="3018" t="s">
        <v>2633</v>
      </c>
      <c r="M26" s="2212" t="s">
        <v>2698</v>
      </c>
      <c r="N26" s="2212" t="s">
        <v>2699</v>
      </c>
      <c r="O26" s="2212" t="s">
        <v>2700</v>
      </c>
      <c r="P26" s="3019"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178</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13618</v>
      </c>
      <c r="D29" s="2298">
        <f>'数据-汇总表'!F31</f>
        <v>28836.85999999999</v>
      </c>
      <c r="E29" s="879">
        <f ca="1">ROUND(C29*D29/10000,0)</f>
        <v>39270</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3405</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81"/>
      <c r="B33" s="2314" t="s">
        <v>2748</v>
      </c>
      <c r="C33" s="180">
        <f ca="1">ROUND(D5*C19*C20*C24*F33,0)</f>
        <v>11952</v>
      </c>
      <c r="D33" s="2298"/>
      <c r="E33" s="176">
        <f ca="1">ROUND(C33*D33/10000,0)</f>
        <v>0</v>
      </c>
      <c r="F33" s="176">
        <f>SUMIF(修正!A45:A56,G2,修正!B45:B56)</f>
        <v>0.7</v>
      </c>
      <c r="G33" s="176">
        <f t="shared" ref="G33" ca="1" si="6">ROUND(IF(E2="工业",C33*$M$39,C33*$M$38),0)</f>
        <v>2988</v>
      </c>
      <c r="H33" s="176">
        <f>D33</f>
        <v>0</v>
      </c>
      <c r="I33" s="176">
        <f ca="1">ROUND(G33*H33/10000,0)</f>
        <v>0</v>
      </c>
      <c r="J33" s="3286"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2"/>
      <c r="B34" s="2231" t="s">
        <v>2749</v>
      </c>
      <c r="C34" s="180">
        <f ca="1">ROUND(D5*C19*C20*C24*F34,0)</f>
        <v>6830</v>
      </c>
      <c r="D34" s="2298"/>
      <c r="E34" s="176">
        <f t="shared" ref="E34:E39" ca="1" si="7">ROUND(C34*D34/10000,0)</f>
        <v>0</v>
      </c>
      <c r="F34" s="176">
        <f>SUMIF(修正!A45:A56,G2,修正!C45:C56)</f>
        <v>0.4</v>
      </c>
      <c r="G34" s="176">
        <f ca="1">ROUND(IF(E2="工业",C34*$M$39,C34*$M$38),0)</f>
        <v>1708</v>
      </c>
      <c r="H34" s="176">
        <f t="shared" ref="H34:H39" si="8">D34</f>
        <v>0</v>
      </c>
      <c r="I34" s="176">
        <f t="shared" ref="I34:I39" ca="1" si="9">ROUND(G34*H34/10000,0)</f>
        <v>0</v>
      </c>
      <c r="J34" s="32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2"/>
      <c r="B35" s="2231" t="s">
        <v>2750</v>
      </c>
      <c r="C35" s="180">
        <f ca="1">ROUND(D5*C19*C20*C24*F35,0)</f>
        <v>4781</v>
      </c>
      <c r="D35" s="2298"/>
      <c r="E35" s="176">
        <f t="shared" ca="1" si="7"/>
        <v>0</v>
      </c>
      <c r="F35" s="176">
        <f>SUMIF(修正!A45:A56,G2,修正!D45:D56)</f>
        <v>0.28000000000000003</v>
      </c>
      <c r="G35" s="176">
        <f ca="1">ROUND(IF(E2="工业",C35*$M$39,C35*$M$38),0)</f>
        <v>1195</v>
      </c>
      <c r="H35" s="176">
        <f t="shared" si="8"/>
        <v>0</v>
      </c>
      <c r="I35" s="176">
        <f t="shared" ca="1" si="9"/>
        <v>0</v>
      </c>
      <c r="J35" s="32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83"/>
      <c r="B36" s="2231" t="s">
        <v>2751</v>
      </c>
      <c r="C36" s="180">
        <f ca="1">ROUND(D5*C19*C20*C24*F36,0)</f>
        <v>4269</v>
      </c>
      <c r="D36" s="2298"/>
      <c r="E36" s="176">
        <f t="shared" ca="1" si="7"/>
        <v>0</v>
      </c>
      <c r="F36" s="176">
        <f>SUMIF(修正!A45:A56,G2,修正!E45:E56)</f>
        <v>0.25</v>
      </c>
      <c r="G36" s="176">
        <f ca="1">ROUND(IF(E2="工业",C36*$M$39,C36*$M$38),0)</f>
        <v>1067</v>
      </c>
      <c r="H36" s="176">
        <f t="shared" si="8"/>
        <v>0</v>
      </c>
      <c r="I36" s="176">
        <f t="shared" ca="1" si="9"/>
        <v>0</v>
      </c>
      <c r="J36" s="3283"/>
      <c r="K36" s="1280"/>
      <c r="L36" s="2185"/>
      <c r="M36" s="2185"/>
      <c r="N36" s="1280">
        <f ca="1">ROUND(C29*'数据-汇总表'!F20/10000,0)</f>
        <v>33214</v>
      </c>
      <c r="O36" s="1280">
        <f ca="1">N36+E37+V2+V3</f>
        <v>46078</v>
      </c>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4269</v>
      </c>
      <c r="D37" s="2298">
        <f>'数据-汇总表'!G20</f>
        <v>1672.86</v>
      </c>
      <c r="E37" s="176">
        <f t="shared" ca="1" si="7"/>
        <v>714</v>
      </c>
      <c r="F37" s="180">
        <f>SUMIF(修正!A45:A56,G2,修正!F45:F56)</f>
        <v>0.25</v>
      </c>
      <c r="G37" s="176">
        <f ca="1">ROUND(IF(E2="工业",C37*$M$39,C37*$M$38),0)</f>
        <v>1067</v>
      </c>
      <c r="H37" s="176">
        <f t="shared" si="8"/>
        <v>1672.86</v>
      </c>
      <c r="I37" s="176">
        <f t="shared" ca="1" si="9"/>
        <v>178</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5.1999999999999998E-2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J43" s="1280">
        <f ca="1">ROUND(C29*'数据-汇总表'!E3/10000,0)</f>
        <v>41548</v>
      </c>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2759</v>
      </c>
      <c r="B47" s="1537" t="s">
        <v>2760</v>
      </c>
      <c r="C47" s="1537" t="s">
        <v>2761</v>
      </c>
      <c r="D47" s="1537" t="s">
        <v>2762</v>
      </c>
      <c r="E47" s="758" t="s">
        <v>2763</v>
      </c>
      <c r="F47" s="2332" t="s">
        <v>2764</v>
      </c>
      <c r="G47" s="1537" t="s">
        <v>754</v>
      </c>
      <c r="H47" s="2333"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2778</v>
      </c>
      <c r="B57" s="2328">
        <f>1+E59</f>
        <v>1.0361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2759</v>
      </c>
      <c r="B58" s="1537"/>
      <c r="C58" s="1537" t="s">
        <v>2761</v>
      </c>
      <c r="D58" s="1537" t="s">
        <v>2762</v>
      </c>
      <c r="E58" s="758" t="s">
        <v>2763</v>
      </c>
      <c r="F58" s="2332" t="s">
        <v>2779</v>
      </c>
      <c r="G58" s="1537" t="s">
        <v>754</v>
      </c>
      <c r="H58" s="2333"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31" t="s">
        <v>2780</v>
      </c>
      <c r="B59" s="2334" t="str">
        <f>估价对象房地状况!C17</f>
        <v>估价对象位于XX商圈，周边办公楼项目较多，入驻率高，办公集聚程度较好</v>
      </c>
      <c r="C59" s="2236" t="s">
        <v>3173</v>
      </c>
      <c r="D59" s="1196">
        <f t="shared" ref="D59:D67" si="15">SUMIF($J$58:$N$58,C59,J59:N59)</f>
        <v>0</v>
      </c>
      <c r="E59" s="760">
        <f>ROUND(SUM(D59:D67),4)</f>
        <v>3.61E-2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51">
      <c r="A60" s="2331" t="s">
        <v>2768</v>
      </c>
      <c r="B60" s="2335" t="str">
        <f>估价对象房地状况!C18</f>
        <v>估价对象周边道路状况、公共交通通达情况、停车便捷程度，综合评价交通便捷度较好</v>
      </c>
      <c r="C60" s="2236" t="s">
        <v>3174</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2769</v>
      </c>
      <c r="B61" s="2335">
        <f>估价对象房地状况!C19</f>
        <v>0</v>
      </c>
      <c r="C61" s="2236" t="s">
        <v>3173</v>
      </c>
      <c r="D61" s="1196">
        <f t="shared" si="15"/>
        <v>0</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2770</v>
      </c>
      <c r="B62" s="2336" t="s">
        <v>2771</v>
      </c>
      <c r="C62" s="2236" t="s">
        <v>3174</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2772</v>
      </c>
      <c r="B63" s="2335">
        <f>估价对象房地状况!C24</f>
        <v>0</v>
      </c>
      <c r="C63" s="2236" t="s">
        <v>3175</v>
      </c>
      <c r="D63" s="1196">
        <f t="shared" si="15"/>
        <v>-2.3999999999999998E-3</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2773</v>
      </c>
      <c r="B64" s="2337" t="s">
        <v>2774</v>
      </c>
      <c r="C64" s="2236" t="s">
        <v>3174</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5.5">
      <c r="A65" s="2331" t="s">
        <v>2775</v>
      </c>
      <c r="B65" s="1496" t="str">
        <f>估价对象房地状况!C21</f>
        <v>估价对象所在区域公共配套设施齐备情况</v>
      </c>
      <c r="C65" s="2236" t="s">
        <v>3176</v>
      </c>
      <c r="D65" s="1196">
        <f t="shared" si="15"/>
        <v>5.5999999999999999E-3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5.5">
      <c r="A66" s="2331" t="s">
        <v>2776</v>
      </c>
      <c r="B66" s="1496" t="str">
        <f>估价对象房地状况!C22</f>
        <v>估价对象所在区域基础设施水平</v>
      </c>
      <c r="C66" s="2236" t="s">
        <v>3176</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39" thickBot="1">
      <c r="A67" s="2339" t="s">
        <v>2777</v>
      </c>
      <c r="B67" s="2341" t="str">
        <f>估价对象房地状况!C20</f>
        <v>区域自然环境：；人文环境；综合评价环境状况一般</v>
      </c>
      <c r="C67" s="2236" t="s">
        <v>3174</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2759</v>
      </c>
      <c r="B69" s="1537"/>
      <c r="C69" s="1537" t="s">
        <v>2761</v>
      </c>
      <c r="D69" s="1537" t="s">
        <v>2762</v>
      </c>
      <c r="E69" s="758" t="s">
        <v>2763</v>
      </c>
      <c r="F69" s="2332" t="s">
        <v>2779</v>
      </c>
      <c r="G69" s="1537" t="s">
        <v>754</v>
      </c>
      <c r="H69" s="2333"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1" t="s">
        <v>2782</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2768</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2769</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2783</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2775</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2776</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2773</v>
      </c>
      <c r="B76" s="2337" t="s">
        <v>2774</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2777</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2784</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2785</v>
      </c>
      <c r="B79" s="2328">
        <f>1+E81</f>
        <v>1</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2416</v>
      </c>
      <c r="K80" s="560" t="s">
        <v>2417</v>
      </c>
      <c r="L80" s="560" t="s">
        <v>2418</v>
      </c>
      <c r="M80" s="560" t="s">
        <v>2419</v>
      </c>
      <c r="N80" s="560" t="s">
        <v>2420</v>
      </c>
      <c r="Z80" s="2186"/>
      <c r="AA80" s="2252"/>
      <c r="AG80" s="1282"/>
      <c r="AK80" s="2252"/>
    </row>
    <row r="81" spans="1:37" ht="38.25">
      <c r="A81" s="2331" t="s">
        <v>2786</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2768</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2769</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2783</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2775</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2776</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2773</v>
      </c>
      <c r="B87" s="2337" t="s">
        <v>2787</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2788</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73" t="s">
        <v>2789</v>
      </c>
      <c r="B90" s="3273"/>
      <c r="C90" s="3273"/>
      <c r="D90" s="3273"/>
      <c r="E90" s="3273"/>
      <c r="F90" s="3273"/>
      <c r="G90" s="3273"/>
      <c r="H90" s="3273"/>
      <c r="I90" s="3273"/>
      <c r="J90" s="3273"/>
      <c r="K90" s="2345"/>
      <c r="L90" s="2345"/>
      <c r="M90" s="2345"/>
      <c r="N90" s="2345"/>
    </row>
    <row r="91" spans="1:37">
      <c r="A91" s="3275" t="s">
        <v>2790</v>
      </c>
      <c r="B91" s="3275" t="s">
        <v>2791</v>
      </c>
      <c r="C91" s="2299" t="s">
        <v>2792</v>
      </c>
      <c r="D91" s="2300"/>
      <c r="E91" s="2300"/>
      <c r="F91" s="2300"/>
      <c r="G91" s="2300"/>
      <c r="H91" s="2300"/>
      <c r="I91" s="2300"/>
      <c r="J91" s="2346"/>
      <c r="K91" s="2347"/>
      <c r="L91" s="2347"/>
      <c r="M91" s="2347"/>
      <c r="N91" s="2347"/>
    </row>
    <row r="92" spans="1:37">
      <c r="A92" s="3275"/>
      <c r="B92" s="3275"/>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76"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7"/>
      <c r="B99" s="2348" t="s">
        <v>2676</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7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76" t="s">
        <v>2794</v>
      </c>
      <c r="B101" s="2352" t="s">
        <v>2795</v>
      </c>
      <c r="C101" s="2353">
        <f>$G$3</f>
        <v>5.77</v>
      </c>
      <c r="D101" s="2353">
        <f t="shared" ref="D101:N101" si="32">$G$3</f>
        <v>5.77</v>
      </c>
      <c r="E101" s="2353">
        <f t="shared" si="32"/>
        <v>5.77</v>
      </c>
      <c r="F101" s="2353">
        <f t="shared" si="32"/>
        <v>5.77</v>
      </c>
      <c r="G101" s="2353">
        <f t="shared" si="32"/>
        <v>5.77</v>
      </c>
      <c r="H101" s="2353">
        <f t="shared" si="32"/>
        <v>5.77</v>
      </c>
      <c r="I101" s="2353">
        <f t="shared" si="32"/>
        <v>5.77</v>
      </c>
      <c r="J101" s="2353">
        <f t="shared" si="32"/>
        <v>5.77</v>
      </c>
      <c r="K101" s="2353">
        <f t="shared" si="32"/>
        <v>5.77</v>
      </c>
      <c r="L101" s="2353">
        <f t="shared" si="32"/>
        <v>5.77</v>
      </c>
      <c r="M101" s="2353">
        <f t="shared" si="32"/>
        <v>5.77</v>
      </c>
      <c r="N101" s="2353">
        <f t="shared" si="32"/>
        <v>5.77</v>
      </c>
    </row>
    <row r="102" spans="1:14">
      <c r="A102" s="3277"/>
      <c r="B102" s="2348">
        <v>1</v>
      </c>
      <c r="C102" s="2349">
        <f>1.9362/C101</f>
        <v>0.33556325823223571</v>
      </c>
      <c r="D102" s="2349">
        <f>1.9362/D101</f>
        <v>0.33556325823223571</v>
      </c>
      <c r="E102" s="2349">
        <f>1.8629/E101</f>
        <v>0.32285961871750435</v>
      </c>
      <c r="F102" s="2349">
        <f>1.8629/F101</f>
        <v>0.32285961871750435</v>
      </c>
      <c r="G102" s="2349">
        <f>1.8629/G101</f>
        <v>0.32285961871750435</v>
      </c>
      <c r="H102" s="2349">
        <f>1.8629/H101</f>
        <v>0.32285961871750435</v>
      </c>
      <c r="I102" s="2349">
        <f>1.8629/I101</f>
        <v>0.32285961871750435</v>
      </c>
      <c r="J102" s="2349">
        <f>1.942/J101</f>
        <v>0.33656845753899484</v>
      </c>
      <c r="K102" s="2349">
        <f>1.942/K101</f>
        <v>0.33656845753899484</v>
      </c>
      <c r="L102" s="2349">
        <f>1.942/L101</f>
        <v>0.33656845753899484</v>
      </c>
      <c r="M102" s="2349">
        <f>1.942/M101</f>
        <v>0.33656845753899484</v>
      </c>
      <c r="N102" s="2349">
        <f>1.942/N101</f>
        <v>0.33656845753899484</v>
      </c>
    </row>
    <row r="103" spans="1:14">
      <c r="A103" s="3277"/>
      <c r="B103" s="2348">
        <v>2</v>
      </c>
      <c r="C103" s="2349">
        <f>1.4198/C101</f>
        <v>0.24606585788561527</v>
      </c>
      <c r="D103" s="2349">
        <f>1.4198/D101</f>
        <v>0.24606585788561527</v>
      </c>
      <c r="E103" s="2349">
        <f>1.3372/E101</f>
        <v>0.23175043327556327</v>
      </c>
      <c r="F103" s="2349">
        <f>1.3372/F101</f>
        <v>0.23175043327556327</v>
      </c>
      <c r="G103" s="2349">
        <f>1.3372/G101</f>
        <v>0.23175043327556327</v>
      </c>
      <c r="H103" s="2349">
        <f>1.3372/H101</f>
        <v>0.23175043327556327</v>
      </c>
      <c r="I103" s="2349">
        <f>1.3372/I101</f>
        <v>0.23175043327556327</v>
      </c>
      <c r="J103" s="2349">
        <f>1.2799/J101</f>
        <v>0.2218197573656846</v>
      </c>
      <c r="K103" s="2349">
        <f>1.2799/K101</f>
        <v>0.2218197573656846</v>
      </c>
      <c r="L103" s="2349">
        <f>1.2799/L101</f>
        <v>0.2218197573656846</v>
      </c>
      <c r="M103" s="2349">
        <f>1.2799/M101</f>
        <v>0.2218197573656846</v>
      </c>
      <c r="N103" s="2349">
        <f>1.2799/N101</f>
        <v>0.2218197573656846</v>
      </c>
    </row>
    <row r="104" spans="1:14">
      <c r="A104" s="3277"/>
      <c r="B104" s="2348">
        <v>3</v>
      </c>
      <c r="C104" s="2349">
        <f>1.1594/C101</f>
        <v>0.2009358752166378</v>
      </c>
      <c r="D104" s="2349">
        <f>1.1594/D101</f>
        <v>0.2009358752166378</v>
      </c>
      <c r="E104" s="2349">
        <f>1.0788/E101</f>
        <v>0.18696707105719237</v>
      </c>
      <c r="F104" s="2349">
        <f>1.0788/F101</f>
        <v>0.18696707105719237</v>
      </c>
      <c r="G104" s="2349">
        <f>1.0788/G101</f>
        <v>0.18696707105719237</v>
      </c>
      <c r="H104" s="2349">
        <f>1.0788/H101</f>
        <v>0.18696707105719237</v>
      </c>
      <c r="I104" s="2349">
        <f>1.0788/I101</f>
        <v>0.18696707105719237</v>
      </c>
      <c r="J104" s="2349">
        <f>1.0072/J101</f>
        <v>0.17455805892547663</v>
      </c>
      <c r="K104" s="2349">
        <f>1.0072/K101</f>
        <v>0.17455805892547663</v>
      </c>
      <c r="L104" s="2349">
        <f>1.0072/L101</f>
        <v>0.17455805892547663</v>
      </c>
      <c r="M104" s="2349">
        <f>1.0072/M101</f>
        <v>0.17455805892547663</v>
      </c>
      <c r="N104" s="2349">
        <f>1.0072/N101</f>
        <v>0.17455805892547663</v>
      </c>
    </row>
    <row r="105" spans="1:14">
      <c r="A105" s="3277"/>
      <c r="B105" s="2348">
        <v>4</v>
      </c>
      <c r="C105" s="2349">
        <f>0.9622/C101</f>
        <v>0.16675909878682846</v>
      </c>
      <c r="D105" s="2349">
        <f>0.9622/D101</f>
        <v>0.16675909878682846</v>
      </c>
      <c r="E105" s="2349">
        <f>0.8656/E101</f>
        <v>0.15001733102253034</v>
      </c>
      <c r="F105" s="2349">
        <f>0.8656/F101</f>
        <v>0.15001733102253034</v>
      </c>
      <c r="G105" s="2349">
        <f>0.8656/G101</f>
        <v>0.15001733102253034</v>
      </c>
      <c r="H105" s="2349">
        <f>0.8656/H101</f>
        <v>0.15001733102253034</v>
      </c>
      <c r="I105" s="2349">
        <f>0.8656/I101</f>
        <v>0.15001733102253034</v>
      </c>
      <c r="J105" s="2349">
        <f>0.7525/J101</f>
        <v>0.13041594454072791</v>
      </c>
      <c r="K105" s="2349">
        <f>0.7525/K101</f>
        <v>0.13041594454072791</v>
      </c>
      <c r="L105" s="2349">
        <f>0.7525/L101</f>
        <v>0.13041594454072791</v>
      </c>
      <c r="M105" s="2349">
        <f>0.7525/M101</f>
        <v>0.13041594454072791</v>
      </c>
      <c r="N105" s="2349">
        <f>0.7525/N101</f>
        <v>0.13041594454072791</v>
      </c>
    </row>
    <row r="106" spans="1:14">
      <c r="A106" s="3277"/>
      <c r="B106" s="2348">
        <v>5</v>
      </c>
      <c r="C106" s="2349">
        <f>0.8417/C101</f>
        <v>0.14587521663778164</v>
      </c>
      <c r="D106" s="2349">
        <f>0.8417/D101</f>
        <v>0.14587521663778164</v>
      </c>
      <c r="E106" s="2349">
        <f>0.7371/E101</f>
        <v>0.1277469670710572</v>
      </c>
      <c r="F106" s="2349">
        <f>0.7371/F101</f>
        <v>0.1277469670710572</v>
      </c>
      <c r="G106" s="2349">
        <f>0.7371/G101</f>
        <v>0.1277469670710572</v>
      </c>
      <c r="H106" s="2349">
        <f>0.7371/H101</f>
        <v>0.1277469670710572</v>
      </c>
      <c r="I106" s="2349">
        <f>0.7371/I101</f>
        <v>0.1277469670710572</v>
      </c>
      <c r="J106" s="2349">
        <f>0.5659/J101</f>
        <v>9.8076256499133443E-2</v>
      </c>
      <c r="K106" s="2349">
        <f>0.5659/K101</f>
        <v>9.8076256499133443E-2</v>
      </c>
      <c r="L106" s="2349">
        <f>0.5659/L101</f>
        <v>9.8076256499133443E-2</v>
      </c>
      <c r="M106" s="2349">
        <f>0.5659/M101</f>
        <v>9.8076256499133443E-2</v>
      </c>
      <c r="N106" s="2349">
        <f>0.5659/N101</f>
        <v>9.8076256499133443E-2</v>
      </c>
    </row>
    <row r="107" spans="1:14">
      <c r="A107" s="3277"/>
      <c r="B107" s="2348">
        <v>6</v>
      </c>
      <c r="C107" s="2349">
        <f>0.7608/C101</f>
        <v>0.13185441941074524</v>
      </c>
      <c r="D107" s="2349">
        <f>0.7608/D101</f>
        <v>0.13185441941074524</v>
      </c>
      <c r="E107" s="2349">
        <f>0.6482/E101</f>
        <v>0.11233968804159446</v>
      </c>
      <c r="F107" s="2349">
        <f>0.6482/F101</f>
        <v>0.11233968804159446</v>
      </c>
      <c r="G107" s="2349">
        <f>0.6482/G101</f>
        <v>0.11233968804159446</v>
      </c>
      <c r="H107" s="2349">
        <f>0.6482/H101</f>
        <v>0.11233968804159446</v>
      </c>
      <c r="I107" s="2349">
        <f>0.6482/I101</f>
        <v>0.11233968804159446</v>
      </c>
      <c r="J107" s="2349">
        <f>0.4525/J101</f>
        <v>7.8422876949740039E-2</v>
      </c>
      <c r="K107" s="2349">
        <f>0.4525/K101</f>
        <v>7.8422876949740039E-2</v>
      </c>
      <c r="L107" s="2349">
        <f>0.4525/L101</f>
        <v>7.8422876949740039E-2</v>
      </c>
      <c r="M107" s="2349">
        <f>0.4525/M101</f>
        <v>7.8422876949740039E-2</v>
      </c>
      <c r="N107" s="2349">
        <f>0.4525/N101</f>
        <v>7.8422876949740039E-2</v>
      </c>
    </row>
    <row r="108" spans="1:14">
      <c r="A108" s="3277"/>
      <c r="B108" s="3279" t="s">
        <v>2796</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78"/>
      <c r="B109" s="3280"/>
      <c r="C109" s="2351">
        <f>(-0.163*(C108^2)-0.59*C108+7617)*(10^(-4))/C101</f>
        <v>0.13201039861351821</v>
      </c>
      <c r="D109" s="2351">
        <f>(-0.163*(D108^2)-0.59*D108+7617)*(10^(-4))/D101</f>
        <v>0.13201039861351821</v>
      </c>
      <c r="E109" s="2351">
        <f>(-0.161*(E108^2)-7.509*E108+6533)*(10^(-4))/E101</f>
        <v>0.11322357019064125</v>
      </c>
      <c r="F109" s="2351">
        <f>(-0.161*(F108^2)-7.509*F108+6533)*(10^(-4))/F101</f>
        <v>0.11322357019064125</v>
      </c>
      <c r="G109" s="2351">
        <f>(-0.161*(G108^2)-7.509*G108+6533)*(10^(-4))/G101</f>
        <v>0.11322357019064125</v>
      </c>
      <c r="H109" s="2351">
        <f>(-0.161*(H108^2)-7.509*H108+6533)*(10^(-4))/H101</f>
        <v>0.11322357019064125</v>
      </c>
      <c r="I109" s="2351">
        <f>(-0.161*(I108^2)-7.509*I108+6533)*(10^(-4))/I101</f>
        <v>0.11322357019064125</v>
      </c>
      <c r="J109" s="2351">
        <f>(-0.214*(J108^2)-21.991*J108+4665)*(10^(-4))/J101</f>
        <v>8.0849220103986152E-2</v>
      </c>
      <c r="K109" s="2351">
        <f>(-0.214*(K108^2)-21.991*K108+4665)*(10^(-4))/K101</f>
        <v>8.0849220103986152E-2</v>
      </c>
      <c r="L109" s="2351">
        <f>(-0.214*(L108^2)-21.991*L108+4665)*(10^(-4))/L101</f>
        <v>8.0849220103986152E-2</v>
      </c>
      <c r="M109" s="2351">
        <f>(-0.214*(M108^2)-21.991*M108+4665)*(10^(-4))/M101</f>
        <v>8.0849220103986152E-2</v>
      </c>
      <c r="N109" s="2351">
        <f>(-0.214*(N108^2)-21.991*N108+4665)*(10^(-4))/N101</f>
        <v>8.0849220103986152E-2</v>
      </c>
    </row>
    <row r="110" spans="1:14">
      <c r="A110" s="3274" t="s">
        <v>2797</v>
      </c>
      <c r="B110" s="3274"/>
      <c r="C110" s="3274"/>
      <c r="D110" s="3274"/>
      <c r="E110" s="3274"/>
      <c r="F110" s="3274"/>
      <c r="G110" s="3274"/>
      <c r="H110" s="3274"/>
      <c r="I110" s="3274"/>
      <c r="J110" s="3274"/>
      <c r="K110" s="2354"/>
      <c r="L110" s="2354"/>
      <c r="M110" s="2354"/>
      <c r="N110" s="2354"/>
    </row>
    <row r="112" spans="1:14" ht="13.5" thickBot="1"/>
    <row r="113" spans="1:13" ht="25.5" thickBot="1">
      <c r="A113" s="842" t="s">
        <v>2798</v>
      </c>
      <c r="B113" s="1197">
        <f>G3</f>
        <v>5.77</v>
      </c>
      <c r="C113" s="843" t="s">
        <v>2799</v>
      </c>
      <c r="D113" s="844">
        <f>SUMPRODUCT((A115:A118=F113)*(B114:M114=H113)*B115:M118)</f>
        <v>0.78169999999999995</v>
      </c>
      <c r="E113" s="2190" t="s">
        <v>2633</v>
      </c>
      <c r="F113" s="2356" t="str">
        <f>E2</f>
        <v>办公</v>
      </c>
      <c r="G113" s="2190" t="s">
        <v>2634</v>
      </c>
      <c r="H113" s="2356" t="str">
        <f>G2</f>
        <v>四级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0.87929999999999997</v>
      </c>
      <c r="C115" s="849">
        <f>B115</f>
        <v>0.87929999999999997</v>
      </c>
      <c r="D115" s="849">
        <f>ROUND(0.8331-0.0109*B113,4)</f>
        <v>0.7702</v>
      </c>
      <c r="E115" s="849">
        <f>D115</f>
        <v>0.7702</v>
      </c>
      <c r="F115" s="849">
        <f>E115</f>
        <v>0.7702</v>
      </c>
      <c r="G115" s="849">
        <f>F115</f>
        <v>0.7702</v>
      </c>
      <c r="H115" s="849">
        <f>G115</f>
        <v>0.7702</v>
      </c>
      <c r="I115" s="849">
        <f>ROUND(0.689-0.0155*B113,4)</f>
        <v>0.59960000000000002</v>
      </c>
      <c r="J115" s="849">
        <f t="shared" ref="J115:M118" si="34">I115</f>
        <v>0.59960000000000002</v>
      </c>
      <c r="K115" s="849">
        <f t="shared" si="34"/>
        <v>0.59960000000000002</v>
      </c>
      <c r="L115" s="849">
        <f t="shared" si="34"/>
        <v>0.59960000000000002</v>
      </c>
      <c r="M115" s="850">
        <f t="shared" si="34"/>
        <v>0.59960000000000002</v>
      </c>
    </row>
    <row r="116" spans="1:13">
      <c r="A116" s="848" t="s">
        <v>2699</v>
      </c>
      <c r="B116" s="849">
        <f>ROUND(0.949-0.012*B113,4)</f>
        <v>0.87980000000000003</v>
      </c>
      <c r="C116" s="849">
        <f>B116</f>
        <v>0.87980000000000003</v>
      </c>
      <c r="D116" s="849">
        <f>ROUND(0.8567-0.013*B113,4)</f>
        <v>0.78169999999999995</v>
      </c>
      <c r="E116" s="849">
        <f t="shared" ref="E116:H117" si="35">D116</f>
        <v>0.78169999999999995</v>
      </c>
      <c r="F116" s="849">
        <f t="shared" si="35"/>
        <v>0.78169999999999995</v>
      </c>
      <c r="G116" s="849">
        <f t="shared" si="35"/>
        <v>0.78169999999999995</v>
      </c>
      <c r="H116" s="849">
        <f t="shared" si="35"/>
        <v>0.78169999999999995</v>
      </c>
      <c r="I116" s="849">
        <f>ROUND(0.7694-0.014*B113,4)</f>
        <v>0.68859999999999999</v>
      </c>
      <c r="J116" s="849">
        <f t="shared" si="34"/>
        <v>0.68859999999999999</v>
      </c>
      <c r="K116" s="849">
        <f t="shared" si="34"/>
        <v>0.68859999999999999</v>
      </c>
      <c r="L116" s="849">
        <f t="shared" si="34"/>
        <v>0.68859999999999999</v>
      </c>
      <c r="M116" s="850">
        <f t="shared" si="34"/>
        <v>0.68859999999999999</v>
      </c>
    </row>
    <row r="117" spans="1:13">
      <c r="A117" s="848" t="s">
        <v>2700</v>
      </c>
      <c r="B117" s="849">
        <f>ROUND(0.8808-0.006*B113,4)</f>
        <v>0.84619999999999995</v>
      </c>
      <c r="C117" s="849">
        <f>B117</f>
        <v>0.84619999999999995</v>
      </c>
      <c r="D117" s="849">
        <f>ROUND(0.8748-0.008*B113,4)</f>
        <v>0.8286</v>
      </c>
      <c r="E117" s="849">
        <f t="shared" si="35"/>
        <v>0.8286</v>
      </c>
      <c r="F117" s="849">
        <f t="shared" si="35"/>
        <v>0.8286</v>
      </c>
      <c r="G117" s="849">
        <f t="shared" si="35"/>
        <v>0.8286</v>
      </c>
      <c r="H117" s="849">
        <f t="shared" si="35"/>
        <v>0.8286</v>
      </c>
      <c r="I117" s="849">
        <f>ROUND(0.7412-0.0095*B113,4)</f>
        <v>0.68640000000000001</v>
      </c>
      <c r="J117" s="849">
        <f t="shared" si="34"/>
        <v>0.68640000000000001</v>
      </c>
      <c r="K117" s="849">
        <f t="shared" si="34"/>
        <v>0.68640000000000001</v>
      </c>
      <c r="L117" s="849">
        <f t="shared" si="34"/>
        <v>0.68640000000000001</v>
      </c>
      <c r="M117" s="850">
        <f t="shared" si="34"/>
        <v>0.68640000000000001</v>
      </c>
    </row>
    <row r="118" spans="1:13" ht="13.5" thickBot="1">
      <c r="A118" s="670" t="s">
        <v>2701</v>
      </c>
      <c r="B118" s="851">
        <f>ROUND(0.7275-0.01*B113,4)</f>
        <v>0.66979999999999995</v>
      </c>
      <c r="C118" s="851">
        <f>B118</f>
        <v>0.66979999999999995</v>
      </c>
      <c r="D118" s="851">
        <f>ROUND(0.7043-0.012*B113,4)</f>
        <v>0.6351</v>
      </c>
      <c r="E118" s="851">
        <f>D118</f>
        <v>0.6351</v>
      </c>
      <c r="F118" s="851">
        <f>E118</f>
        <v>0.6351</v>
      </c>
      <c r="G118" s="851">
        <f>ROUND(0.6299-0.0122*B113,4)</f>
        <v>0.5595</v>
      </c>
      <c r="H118" s="851">
        <f>G118</f>
        <v>0.5595</v>
      </c>
      <c r="I118" s="851">
        <f>ROUND(0.5667-0.0136*B113,4)</f>
        <v>0.48820000000000002</v>
      </c>
      <c r="J118" s="851">
        <f t="shared" si="34"/>
        <v>0.48820000000000002</v>
      </c>
      <c r="K118" s="851">
        <f t="shared" si="34"/>
        <v>0.48820000000000002</v>
      </c>
      <c r="L118" s="851">
        <f t="shared" si="34"/>
        <v>0.48820000000000002</v>
      </c>
      <c r="M118" s="852">
        <f t="shared" si="34"/>
        <v>0.48820000000000002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C27" sqref="C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3162</v>
      </c>
      <c r="D1" s="1548" t="s">
        <v>70</v>
      </c>
      <c r="E1" s="1549" t="s">
        <v>1352</v>
      </c>
      <c r="F1" s="1193">
        <f ca="1">J53</f>
        <v>22.4</v>
      </c>
      <c r="G1" s="1564">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12419</v>
      </c>
      <c r="C2" s="1573" t="s">
        <v>1481</v>
      </c>
      <c r="D2" s="1573"/>
      <c r="E2" s="1574"/>
      <c r="F2" s="1575"/>
      <c r="G2" s="2936"/>
      <c r="H2" s="2925"/>
      <c r="I2" s="2925"/>
      <c r="J2" s="2925"/>
      <c r="K2" s="2926"/>
      <c r="L2" s="2925"/>
      <c r="M2" s="2925"/>
    </row>
    <row r="3" spans="1:37" ht="18" customHeight="1" thickBot="1">
      <c r="A3" s="1576" t="s">
        <v>1482</v>
      </c>
      <c r="B3" s="1577">
        <f ca="1">IF(ISERROR(B2*10000/F43),0,ROUND(B2*10000/F43,0))</f>
        <v>27925</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994</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993</v>
      </c>
      <c r="D6" s="160" t="s">
        <v>2848</v>
      </c>
      <c r="E6" s="308" t="s">
        <v>1370</v>
      </c>
      <c r="F6" s="309">
        <f ca="1">INDIRECT("'数据-取费表'!u"&amp;$G$1)</f>
        <v>6.8</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4447.29</v>
      </c>
      <c r="G7" s="1570"/>
      <c r="H7" s="310"/>
      <c r="I7" s="3300"/>
      <c r="J7" s="312"/>
      <c r="K7" s="313"/>
      <c r="L7" s="308" t="s">
        <v>1371</v>
      </c>
      <c r="M7" s="309">
        <f ca="1">F7</f>
        <v>4447.29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1</v>
      </c>
      <c r="D10" s="1552" t="s">
        <v>2856</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3201</v>
      </c>
      <c r="D13" s="1241" t="s">
        <v>1380</v>
      </c>
      <c r="E13" s="1241"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2224</v>
      </c>
      <c r="D14" s="1531" t="s">
        <v>1383</v>
      </c>
      <c r="E14" s="1528"/>
      <c r="F14" s="325"/>
      <c r="G14" s="1570"/>
      <c r="H14" s="1113" t="s">
        <v>1003</v>
      </c>
      <c r="I14" s="308" t="s">
        <v>1384</v>
      </c>
      <c r="J14" s="24">
        <f ca="1">C29</f>
        <v>3479</v>
      </c>
      <c r="K14" s="15"/>
      <c r="L14" s="916"/>
      <c r="M14" s="917"/>
    </row>
    <row r="15" spans="1:37" s="1583" customFormat="1" ht="18" customHeight="1" thickBot="1">
      <c r="A15" s="1113" t="s">
        <v>1004</v>
      </c>
      <c r="B15" s="308" t="s">
        <v>1385</v>
      </c>
      <c r="C15" s="24">
        <f ca="1">ROUND(C14*F15,0)</f>
        <v>67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83</v>
      </c>
      <c r="K16" s="1247" t="s">
        <v>1390</v>
      </c>
      <c r="L16" s="1248"/>
      <c r="M16" s="1204"/>
    </row>
    <row r="17" spans="1:37" s="1583" customFormat="1" ht="18" customHeight="1">
      <c r="A17" s="1113" t="s">
        <v>1355</v>
      </c>
      <c r="B17" s="308" t="s">
        <v>1391</v>
      </c>
      <c r="C17" s="24">
        <f ca="1">ROUND(F17*(F43+INDIRECT("'数据-取费表'!S"&amp;$G$1))/10000,0)</f>
        <v>89</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2413</v>
      </c>
      <c r="D19" s="136" t="s">
        <v>1401</v>
      </c>
      <c r="E19" s="1546"/>
      <c r="F19" s="26"/>
      <c r="G19" s="1570"/>
      <c r="H19" s="1113" t="s">
        <v>1004</v>
      </c>
      <c r="I19" s="308" t="s">
        <v>1402</v>
      </c>
      <c r="J19" s="24">
        <f ca="1">IF(K19="按租金收入计税",ROUND(J6*M19/(1+'数据-取费表'!C42),2),ROUND(C29*M19*0.7,2))</f>
        <v>29.22</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72</v>
      </c>
      <c r="D20" s="329" t="s">
        <v>1405</v>
      </c>
      <c r="E20" s="308" t="s">
        <v>1387</v>
      </c>
      <c r="F20" s="328">
        <f>'数据-取费表'!B37</f>
        <v>0.03</v>
      </c>
      <c r="G20" s="1582"/>
      <c r="H20" s="1113" t="s">
        <v>1354</v>
      </c>
      <c r="I20" s="160" t="s">
        <v>1406</v>
      </c>
      <c r="J20" s="25">
        <f ca="1">ROUND(M20*M21/10000,2)</f>
        <v>1.31</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728.83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52.2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179</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-83</v>
      </c>
      <c r="K25" s="1255" t="s">
        <v>1429</v>
      </c>
      <c r="L25" s="1256"/>
      <c r="M25" s="1257"/>
    </row>
    <row r="26" spans="1:37">
      <c r="A26" s="1113" t="s">
        <v>1002</v>
      </c>
      <c r="B26" s="308" t="s">
        <v>1430</v>
      </c>
      <c r="C26" s="24">
        <f ca="1">ROUND((C19+C20)*F26,0)</f>
        <v>497</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3479</v>
      </c>
      <c r="D29" s="1252"/>
      <c r="E29" s="1250"/>
      <c r="F29" s="1253"/>
      <c r="G29" s="1582"/>
      <c r="H29" s="340" t="s">
        <v>1001</v>
      </c>
      <c r="I29" s="341" t="s">
        <v>1444</v>
      </c>
      <c r="J29" s="342">
        <f ca="1">ROUND(J26/(1+F40)^F41,0)</f>
        <v>0</v>
      </c>
      <c r="K29" s="343" t="s">
        <v>1445</v>
      </c>
      <c r="L29" s="344"/>
      <c r="M29" s="345">
        <f ca="1">INDIRECT("'数据-取费表'!k"&amp;$G$1)</f>
        <v>4447.29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247</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168</v>
      </c>
      <c r="D31" s="1531" t="s">
        <v>1395</v>
      </c>
      <c r="E31" s="1530"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52.96</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113.49</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1.31</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728.83</v>
      </c>
      <c r="G35" s="1570"/>
      <c r="H35" s="2927"/>
      <c r="I35" s="1584"/>
      <c r="J35" s="1585"/>
      <c r="K35" s="2931"/>
      <c r="L35" s="2930"/>
      <c r="M35" s="2930"/>
    </row>
    <row r="36" spans="1:18" ht="18" customHeight="1">
      <c r="A36" s="1262" t="s">
        <v>1007</v>
      </c>
      <c r="B36" s="308" t="s">
        <v>1414</v>
      </c>
      <c r="C36" s="24">
        <f ca="1">ROUND(C29*F36,1)</f>
        <v>52.2</v>
      </c>
      <c r="D36" s="1530"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6.4</v>
      </c>
      <c r="D37" s="1530" t="s">
        <v>1419</v>
      </c>
      <c r="E37" s="308" t="s">
        <v>1420</v>
      </c>
      <c r="F37" s="336">
        <f ca="1">INDIRECT("'数据-取费表'!Al"&amp;$G$1)</f>
        <v>2E-3</v>
      </c>
      <c r="G37" s="1570"/>
      <c r="H37" s="2930"/>
      <c r="I37" s="1584"/>
      <c r="J37" s="1585"/>
      <c r="K37" s="2772"/>
      <c r="L37" s="2930"/>
      <c r="M37" s="2930"/>
    </row>
    <row r="38" spans="1:18" ht="18" customHeight="1" thickBot="1">
      <c r="A38" s="1249" t="s">
        <v>1358</v>
      </c>
      <c r="B38" s="1250" t="s">
        <v>1404</v>
      </c>
      <c r="C38" s="1251">
        <f ca="1">ROUND(C5*F38,1)</f>
        <v>19.899999999999999</v>
      </c>
      <c r="D38" s="1252" t="s">
        <v>1424</v>
      </c>
      <c r="E38" s="1250" t="s">
        <v>1420</v>
      </c>
      <c r="F38" s="1246">
        <f ca="1">INDIRECT("'数据-取费表'!Am"&amp;$G$1)</f>
        <v>0.02</v>
      </c>
      <c r="G38" s="1570"/>
      <c r="H38" s="2930"/>
      <c r="I38" s="1584"/>
      <c r="J38" s="1585"/>
      <c r="K38" s="2934"/>
      <c r="L38" s="2930"/>
      <c r="M38" s="2930"/>
    </row>
    <row r="39" spans="1:18" ht="24.6" customHeight="1" thickTop="1">
      <c r="A39" s="1239" t="s">
        <v>999</v>
      </c>
      <c r="B39" s="1254" t="s">
        <v>1448</v>
      </c>
      <c r="C39" s="316">
        <f ca="1">C5-C30</f>
        <v>747</v>
      </c>
      <c r="D39" s="1255" t="s">
        <v>1449</v>
      </c>
      <c r="E39" s="1256"/>
      <c r="F39" s="1257"/>
      <c r="G39" s="1570"/>
      <c r="H39" s="2930"/>
      <c r="I39" s="1584"/>
      <c r="J39" s="1585"/>
      <c r="K39" s="2934"/>
      <c r="L39" s="2930"/>
      <c r="M39" s="2930"/>
    </row>
    <row r="40" spans="1:18" ht="18" customHeight="1">
      <c r="A40" s="305" t="s">
        <v>1000</v>
      </c>
      <c r="B40" s="306" t="s">
        <v>1450</v>
      </c>
      <c r="C40" s="307">
        <f ca="1">ROUND(C39*(1-((1+F42)/(1+F40))^F41)/(F40-F42),0)</f>
        <v>12419</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27925</v>
      </c>
      <c r="D43" s="343" t="s">
        <v>1453</v>
      </c>
      <c r="E43" s="344" t="s">
        <v>1454</v>
      </c>
      <c r="F43" s="345">
        <f ca="1">INDIRECT("'数据-取费表'!k"&amp;$G$1)</f>
        <v>4447.29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-16903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40</v>
      </c>
      <c r="M47" s="1566" t="str">
        <f>IF(ISNUMBER(FIND("住宅",C1)),"住宅","非住宅")</f>
        <v>非住宅</v>
      </c>
      <c r="O47" s="1604" t="s">
        <v>1008</v>
      </c>
      <c r="P47" s="1605" t="s">
        <v>1493</v>
      </c>
      <c r="Q47" s="1606">
        <f ca="1">C40+J29</f>
        <v>12419</v>
      </c>
      <c r="R47" s="1606" t="s">
        <v>1494</v>
      </c>
    </row>
    <row r="48" spans="1:18" s="1570" customFormat="1" ht="28.5" thickBot="1">
      <c r="A48" s="1270" t="s">
        <v>1103</v>
      </c>
      <c r="B48" s="306" t="s">
        <v>1366</v>
      </c>
      <c r="C48" s="1545">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2013</v>
      </c>
      <c r="K49" s="1609" t="s">
        <v>1500</v>
      </c>
      <c r="L49" s="1613"/>
      <c r="O49" s="1614" t="s">
        <v>1010</v>
      </c>
      <c r="P49" s="1605" t="s">
        <v>1501</v>
      </c>
      <c r="Q49" s="1606">
        <f ca="1">C29</f>
        <v>3479</v>
      </c>
      <c r="R49" s="1606" t="s">
        <v>1494</v>
      </c>
    </row>
    <row r="50" spans="1:18" s="1570" customFormat="1" ht="13.5" thickBot="1">
      <c r="A50" s="1107"/>
      <c r="B50" s="1110"/>
      <c r="C50" s="1278"/>
      <c r="D50" s="1084"/>
      <c r="E50" s="1187" t="s">
        <v>1371</v>
      </c>
      <c r="F50" s="1188">
        <f ca="1">F7</f>
        <v>4447.29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8783</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12419</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3201</v>
      </c>
      <c r="D56" s="1633"/>
      <c r="E56" s="1634"/>
      <c r="F56" s="1626"/>
      <c r="I56" s="1635" t="s">
        <v>1519</v>
      </c>
      <c r="J56" s="1636" t="s">
        <v>3070</v>
      </c>
      <c r="K56" s="1607" t="s">
        <v>1520</v>
      </c>
      <c r="L56" s="1610" t="str">
        <f ca="1">IF(L48&lt;J51,"——",L48-J53)</f>
        <v>——</v>
      </c>
      <c r="O56" s="1604" t="s">
        <v>1008</v>
      </c>
      <c r="P56" s="1605" t="s">
        <v>1493</v>
      </c>
      <c r="Q56" s="1606">
        <f ca="1">C40+J29</f>
        <v>12419</v>
      </c>
      <c r="R56" s="1606" t="s">
        <v>1494</v>
      </c>
    </row>
    <row r="57" spans="1:18" s="1570" customFormat="1" ht="24.75" thickBot="1">
      <c r="A57" s="1637"/>
      <c r="B57" s="1081" t="s">
        <v>1443</v>
      </c>
      <c r="C57" s="244">
        <f ca="1">C29</f>
        <v>3479</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353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294</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292.24</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1.31</v>
      </c>
      <c r="D62" s="1096" t="s">
        <v>1462</v>
      </c>
      <c r="E62" s="1081" t="s">
        <v>1463</v>
      </c>
      <c r="F62" s="331">
        <f t="shared" si="0"/>
        <v>18</v>
      </c>
      <c r="I62" s="1648" t="s">
        <v>1535</v>
      </c>
      <c r="J62" s="1649" t="s">
        <v>1536</v>
      </c>
      <c r="K62" s="1649" t="s">
        <v>1537</v>
      </c>
      <c r="L62" s="1649" t="s">
        <v>1538</v>
      </c>
      <c r="M62" s="1650" t="s">
        <v>1539</v>
      </c>
      <c r="O62" s="1604" t="s">
        <v>1014</v>
      </c>
      <c r="P62" s="1605" t="s">
        <v>1540</v>
      </c>
      <c r="Q62" s="1606">
        <f ca="1">Q56+Q57</f>
        <v>12419</v>
      </c>
      <c r="R62" s="1606" t="s">
        <v>1015</v>
      </c>
    </row>
    <row r="63" spans="1:18" s="1570" customFormat="1" ht="13.5" thickBot="1">
      <c r="A63" s="332"/>
      <c r="B63" s="1087"/>
      <c r="C63" s="29"/>
      <c r="D63" s="1097"/>
      <c r="E63" s="1081" t="s">
        <v>1464</v>
      </c>
      <c r="F63" s="309">
        <f t="shared" ca="1" si="0"/>
        <v>728.83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52.2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6.4</v>
      </c>
      <c r="D65" s="1095" t="s">
        <v>1419</v>
      </c>
      <c r="E65" s="1081" t="s">
        <v>1420</v>
      </c>
      <c r="F65" s="336">
        <f t="shared" ca="1" si="0"/>
        <v>2E-3</v>
      </c>
      <c r="I65" s="1648" t="s">
        <v>1544</v>
      </c>
      <c r="J65" s="1649">
        <v>40</v>
      </c>
      <c r="K65" s="1649">
        <v>30</v>
      </c>
      <c r="L65" s="1649">
        <v>50</v>
      </c>
      <c r="M65" s="1651">
        <v>0.02</v>
      </c>
      <c r="O65" s="1604" t="s">
        <v>1008</v>
      </c>
      <c r="P65" s="1605" t="s">
        <v>1545</v>
      </c>
      <c r="Q65" s="1606">
        <f ca="1">C40+J29</f>
        <v>12419</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-353</v>
      </c>
      <c r="D67" s="1094" t="s">
        <v>1429</v>
      </c>
      <c r="E67" s="1099"/>
      <c r="F67" s="1100"/>
      <c r="O67" s="1614" t="s">
        <v>1010</v>
      </c>
      <c r="P67" s="1605" t="s">
        <v>1527</v>
      </c>
      <c r="Q67" s="1652">
        <f ca="1">L51</f>
        <v>8783</v>
      </c>
      <c r="R67" s="1606" t="s">
        <v>1547</v>
      </c>
    </row>
    <row r="68" spans="1:18" s="1570" customFormat="1" ht="16.5" thickBot="1">
      <c r="A68" s="1078" t="s">
        <v>1000</v>
      </c>
      <c r="B68" s="1079" t="s">
        <v>1450</v>
      </c>
      <c r="C68" s="307">
        <f ca="1">ROUND(C67*(1-((1+F70)/(1+F68))^F69)/(F68-F70),0)</f>
        <v>-4484</v>
      </c>
      <c r="D68" s="1096" t="s">
        <v>1434</v>
      </c>
      <c r="E68" s="1081" t="s">
        <v>1435</v>
      </c>
      <c r="F68" s="318">
        <f ca="1">F40</f>
        <v>5.5E-2</v>
      </c>
      <c r="O68" s="1614" t="s">
        <v>1011</v>
      </c>
      <c r="P68" s="1653" t="s">
        <v>1548</v>
      </c>
      <c r="Q68" s="1606">
        <f ca="1">ROUND(Q69-Q70*Q71,0)</f>
        <v>475</v>
      </c>
      <c r="R68" s="1606" t="s">
        <v>1019</v>
      </c>
    </row>
    <row r="69" spans="1:18" s="1570" customFormat="1" ht="13.5" thickBot="1">
      <c r="A69" s="1082"/>
      <c r="B69" s="1083"/>
      <c r="C69" s="312"/>
      <c r="D69" s="1101" t="s">
        <v>1438</v>
      </c>
      <c r="E69" s="1081" t="s">
        <v>1439</v>
      </c>
      <c r="F69" s="339">
        <f ca="1">F41</f>
        <v>22.4</v>
      </c>
      <c r="O69" s="1614" t="s">
        <v>1016</v>
      </c>
      <c r="P69" s="1653" t="s">
        <v>1549</v>
      </c>
      <c r="Q69" s="1606">
        <f ca="1">C39</f>
        <v>747</v>
      </c>
      <c r="R69" s="1606" t="s">
        <v>1494</v>
      </c>
    </row>
    <row r="70" spans="1:18" s="1570" customFormat="1" ht="13.5" thickBot="1">
      <c r="A70" s="1085"/>
      <c r="B70" s="1086"/>
      <c r="C70" s="316"/>
      <c r="D70" s="1097"/>
      <c r="E70" s="1081" t="s">
        <v>1442</v>
      </c>
      <c r="F70" s="1185"/>
      <c r="O70" s="1614" t="s">
        <v>1017</v>
      </c>
      <c r="P70" s="1653" t="s">
        <v>1550</v>
      </c>
      <c r="Q70" s="1606">
        <f ca="1">C13</f>
        <v>3201</v>
      </c>
      <c r="R70" s="1606" t="s">
        <v>1494</v>
      </c>
    </row>
    <row r="71" spans="1:18" s="1570" customFormat="1" ht="13.5" thickBot="1">
      <c r="A71" s="1102" t="s">
        <v>1001</v>
      </c>
      <c r="B71" s="1103" t="s">
        <v>1452</v>
      </c>
      <c r="C71" s="342">
        <f ca="1">ROUND(C68*10000/F71,0)</f>
        <v>-10083</v>
      </c>
      <c r="D71" s="1104" t="s">
        <v>1453</v>
      </c>
      <c r="E71" s="1105" t="s">
        <v>1454</v>
      </c>
      <c r="F71" s="345">
        <f ca="1">F43</f>
        <v>4447.29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272</v>
      </c>
      <c r="D75" s="1570"/>
      <c r="E75" s="1570"/>
      <c r="F75" s="1570"/>
      <c r="K75" s="1588"/>
      <c r="L75" s="1570"/>
      <c r="O75" s="1604" t="s">
        <v>1014</v>
      </c>
      <c r="P75" s="1605" t="s">
        <v>1514</v>
      </c>
      <c r="Q75" s="1606">
        <f ca="1">Q65+Q66</f>
        <v>12419</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0.63600000000000001</v>
      </c>
    </row>
    <row r="80" spans="1:18">
      <c r="B80" s="346" t="s">
        <v>1476</v>
      </c>
      <c r="C80" s="280">
        <f ca="1">ROUND(C75/C39,3)</f>
        <v>0.36399999999999999</v>
      </c>
    </row>
    <row r="81" spans="2:3">
      <c r="B81" s="276" t="s">
        <v>1477</v>
      </c>
      <c r="C81" s="244"/>
    </row>
    <row r="82" spans="2:3">
      <c r="B82" s="279" t="s">
        <v>1478</v>
      </c>
      <c r="C82" s="281">
        <f ca="1">1-C83</f>
        <v>0.74199999999999999</v>
      </c>
    </row>
    <row r="83" spans="2:3">
      <c r="B83" s="279" t="s">
        <v>1479</v>
      </c>
      <c r="C83" s="280">
        <f ca="1">ROUND(C13/C40,3)</f>
        <v>0.25800000000000001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6"/>
      <c r="H2" s="2925"/>
      <c r="I2" s="2925"/>
      <c r="J2" s="2925"/>
      <c r="K2" s="2926"/>
      <c r="L2" s="2925"/>
      <c r="M2" s="2925"/>
    </row>
    <row r="3" spans="1:37" ht="18" customHeight="1" thickBot="1">
      <c r="A3" s="1576" t="s">
        <v>1558</v>
      </c>
      <c r="B3" s="1577">
        <f ca="1">IF(ISERROR(D2/F43),0,ROUND(D2/F43,0))</f>
        <v>0</v>
      </c>
      <c r="C3" s="1573" t="s">
        <v>1559</v>
      </c>
      <c r="D3" s="1573"/>
      <c r="E3" s="1574"/>
      <c r="F3" s="1575"/>
      <c r="G3" s="2936"/>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99" t="s">
        <v>1368</v>
      </c>
      <c r="C6" s="1206">
        <f ca="1">ROUND(F6*F8*F7*(1-F9),0)</f>
        <v>0</v>
      </c>
      <c r="D6" s="160" t="s">
        <v>2845</v>
      </c>
      <c r="E6" s="308" t="s">
        <v>1370</v>
      </c>
      <c r="F6" s="309">
        <f ca="1">INDIRECT("'数据-取费表'!u"&amp;$G$1)</f>
        <v>0</v>
      </c>
      <c r="G6" s="1570"/>
      <c r="H6" s="1201" t="s">
        <v>1003</v>
      </c>
      <c r="I6" s="3299" t="s">
        <v>1368</v>
      </c>
      <c r="J6" s="307">
        <f ca="1">ROUND(M6*M8*M7*(1-M9),0)</f>
        <v>0</v>
      </c>
      <c r="K6" s="1562" t="s">
        <v>2846</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0</v>
      </c>
      <c r="G7" s="1570"/>
      <c r="H7" s="310"/>
      <c r="I7" s="3300"/>
      <c r="J7" s="312"/>
      <c r="K7" s="313"/>
      <c r="L7" s="308" t="s">
        <v>1371</v>
      </c>
      <c r="M7" s="309">
        <f ca="1">F7</f>
        <v>0</v>
      </c>
    </row>
    <row r="8" spans="1:37" ht="18" customHeight="1">
      <c r="A8" s="310"/>
      <c r="B8" s="3300"/>
      <c r="C8" s="312"/>
      <c r="D8" s="313"/>
      <c r="E8" s="308" t="s">
        <v>1372</v>
      </c>
      <c r="F8" s="309">
        <f ca="1">INDIRECT("'数据-取费表'!ai"&amp;$G$1)</f>
        <v>0</v>
      </c>
      <c r="G8" s="1570"/>
      <c r="H8" s="310"/>
      <c r="I8" s="3300"/>
      <c r="J8" s="312"/>
      <c r="K8" s="313"/>
      <c r="L8" s="308" t="s">
        <v>1372</v>
      </c>
      <c r="M8" s="309">
        <f ca="1">INDIRECT("'数据-取费表'!ai"&amp;$G$1)</f>
        <v>0</v>
      </c>
    </row>
    <row r="9" spans="1:37" ht="18" customHeight="1">
      <c r="A9" s="310"/>
      <c r="B9" s="3301"/>
      <c r="C9" s="312"/>
      <c r="D9" s="313"/>
      <c r="E9" s="308" t="s">
        <v>1373</v>
      </c>
      <c r="F9" s="318">
        <f ca="1">INDIRECT("'数据-取费表'!w"&amp;$G$1)</f>
        <v>0</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0"/>
      <c r="I33" s="1584"/>
      <c r="J33" s="1585"/>
      <c r="K33" s="2931"/>
      <c r="L33" s="2930"/>
      <c r="M33" s="2930"/>
    </row>
    <row r="34" spans="1:18" ht="18" customHeight="1">
      <c r="A34" s="1201" t="s">
        <v>1354</v>
      </c>
      <c r="B34" s="160" t="s">
        <v>1406</v>
      </c>
      <c r="C34" s="25">
        <f ca="1">IF(项目基本情况!B11="自然人","——",ROUND(F34*F35,))</f>
        <v>0</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0</v>
      </c>
      <c r="G35" s="1570"/>
      <c r="H35" s="2927"/>
      <c r="I35" s="1584"/>
      <c r="J35" s="1585"/>
      <c r="K35" s="2931"/>
      <c r="L35" s="2930"/>
      <c r="M35" s="2930"/>
    </row>
    <row r="36" spans="1:18" ht="18" customHeight="1">
      <c r="A36" s="1262" t="s">
        <v>1007</v>
      </c>
      <c r="B36" s="308" t="s">
        <v>1414</v>
      </c>
      <c r="C36" s="24">
        <f ca="1">ROUND(C29*F36,0)</f>
        <v>0</v>
      </c>
      <c r="D36" s="1530" t="s">
        <v>1447</v>
      </c>
      <c r="E36" s="308" t="s">
        <v>1387</v>
      </c>
      <c r="F36" s="334">
        <f ca="1">INDIRECT("'数据-取费表'!Ak"&amp;$G$1)</f>
        <v>0</v>
      </c>
      <c r="G36" s="1570"/>
      <c r="H36" s="2930"/>
      <c r="I36" s="1584"/>
      <c r="J36" s="1585"/>
      <c r="K36" s="2772"/>
      <c r="L36" s="2930"/>
      <c r="M36" s="2930"/>
    </row>
    <row r="37" spans="1:18" ht="18" customHeight="1">
      <c r="A37" s="1113" t="s">
        <v>1043</v>
      </c>
      <c r="B37" s="308" t="s">
        <v>1418</v>
      </c>
      <c r="C37" s="24">
        <f ca="1">ROUND(C13*F37,0)</f>
        <v>0</v>
      </c>
      <c r="D37" s="1530" t="s">
        <v>1419</v>
      </c>
      <c r="E37" s="308" t="s">
        <v>1420</v>
      </c>
      <c r="F37" s="336">
        <f ca="1">INDIRECT("'数据-取费表'!Al"&amp;$G$1)</f>
        <v>0</v>
      </c>
      <c r="G37" s="1570"/>
      <c r="H37" s="2930"/>
      <c r="I37" s="1584"/>
      <c r="J37" s="1585"/>
      <c r="K37" s="2772"/>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70"/>
      <c r="H38" s="2930"/>
      <c r="I38" s="1584"/>
      <c r="J38" s="1585"/>
      <c r="K38" s="2934"/>
      <c r="L38" s="2930"/>
      <c r="M38" s="2930"/>
    </row>
    <row r="39" spans="1:18" ht="24.6" customHeight="1" thickTop="1">
      <c r="A39" s="1239" t="s">
        <v>999</v>
      </c>
      <c r="B39" s="1254" t="s">
        <v>1448</v>
      </c>
      <c r="C39" s="316">
        <f ca="1">C5-C30</f>
        <v>0</v>
      </c>
      <c r="D39" s="1255" t="s">
        <v>1449</v>
      </c>
      <c r="E39" s="1256"/>
      <c r="F39" s="1257"/>
      <c r="G39" s="1570"/>
      <c r="H39" s="2930"/>
      <c r="I39" s="1584"/>
      <c r="J39" s="1585"/>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97" t="s">
        <v>1513</v>
      </c>
      <c r="L53" s="329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18</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H49" sqref="H49"/>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11" t="s">
        <v>1047</v>
      </c>
      <c r="E2" s="1211" t="s">
        <v>1048</v>
      </c>
      <c r="F2" s="1211" t="s">
        <v>1049</v>
      </c>
      <c r="G2" s="1211" t="s">
        <v>1050</v>
      </c>
      <c r="H2" s="1211" t="s">
        <v>1051</v>
      </c>
      <c r="I2" s="1212" t="s">
        <v>1052</v>
      </c>
    </row>
    <row r="3" spans="1:9">
      <c r="A3" s="3307"/>
      <c r="B3" s="3308" t="s">
        <v>1053</v>
      </c>
      <c r="C3" s="3308"/>
      <c r="D3" s="1213"/>
      <c r="E3" s="1211"/>
      <c r="F3" s="1214"/>
      <c r="G3" s="1214"/>
      <c r="H3" s="1215"/>
      <c r="I3" s="1216">
        <f>ROUND(D3*E3*F3*G3*H3/10000,0)</f>
        <v>0</v>
      </c>
    </row>
    <row r="4" spans="1:9">
      <c r="A4" s="3307"/>
      <c r="B4" s="3308" t="s">
        <v>1054</v>
      </c>
      <c r="C4" s="3308"/>
      <c r="D4" s="1213"/>
      <c r="E4" s="1211"/>
      <c r="F4" s="1214"/>
      <c r="G4" s="1214"/>
      <c r="H4" s="1215"/>
      <c r="I4" s="1216">
        <f t="shared" ref="I4:I9" si="0">ROUND(D4*E4*F4*G4*H4/10000,0)</f>
        <v>0</v>
      </c>
    </row>
    <row r="5" spans="1:9">
      <c r="A5" s="3307"/>
      <c r="B5" s="3308" t="s">
        <v>1055</v>
      </c>
      <c r="C5" s="3308"/>
      <c r="D5" s="1213"/>
      <c r="E5" s="1211"/>
      <c r="F5" s="1214"/>
      <c r="G5" s="1214"/>
      <c r="H5" s="1215"/>
      <c r="I5" s="1216">
        <f t="shared" si="0"/>
        <v>0</v>
      </c>
    </row>
    <row r="6" spans="1:9">
      <c r="A6" s="3307"/>
      <c r="B6" s="3308" t="s">
        <v>1056</v>
      </c>
      <c r="C6" s="3308"/>
      <c r="D6" s="1213"/>
      <c r="E6" s="1211"/>
      <c r="F6" s="1214"/>
      <c r="G6" s="1214"/>
      <c r="H6" s="1215"/>
      <c r="I6" s="1216">
        <f t="shared" si="0"/>
        <v>0</v>
      </c>
    </row>
    <row r="7" spans="1:9">
      <c r="A7" s="3307"/>
      <c r="B7" s="3308" t="s">
        <v>1057</v>
      </c>
      <c r="C7" s="3308"/>
      <c r="D7" s="1213"/>
      <c r="E7" s="1211"/>
      <c r="F7" s="1214"/>
      <c r="G7" s="1214"/>
      <c r="H7" s="1215"/>
      <c r="I7" s="1216">
        <f t="shared" si="0"/>
        <v>0</v>
      </c>
    </row>
    <row r="8" spans="1:9">
      <c r="A8" s="3307"/>
      <c r="B8" s="3308" t="s">
        <v>1058</v>
      </c>
      <c r="C8" s="3308"/>
      <c r="D8" s="1213"/>
      <c r="E8" s="1211"/>
      <c r="F8" s="1214"/>
      <c r="G8" s="1214"/>
      <c r="H8" s="1215"/>
      <c r="I8" s="1216">
        <f t="shared" si="0"/>
        <v>0</v>
      </c>
    </row>
    <row r="9" spans="1:9">
      <c r="A9" s="3307"/>
      <c r="B9" s="3308" t="s">
        <v>1059</v>
      </c>
      <c r="C9" s="3308"/>
      <c r="D9" s="1213"/>
      <c r="E9" s="1211"/>
      <c r="F9" s="1214"/>
      <c r="G9" s="1214"/>
      <c r="H9" s="1215"/>
      <c r="I9" s="1216">
        <f t="shared" si="0"/>
        <v>0</v>
      </c>
    </row>
    <row r="10" spans="1:9">
      <c r="A10" s="3307"/>
      <c r="B10" s="3309" t="s">
        <v>1060</v>
      </c>
      <c r="C10" s="3309"/>
      <c r="D10" s="1217"/>
      <c r="E10" s="1217" t="e">
        <f>ROUND(D1*10000/D10/H9,0)</f>
        <v>#DIV/0!</v>
      </c>
      <c r="F10" s="1218"/>
      <c r="G10" s="1218"/>
      <c r="H10" s="1219"/>
      <c r="I10" s="1220">
        <f>SUM(I3:I9)</f>
        <v>0</v>
      </c>
    </row>
    <row r="11" spans="1:9" ht="14.25">
      <c r="A11" s="3307" t="s">
        <v>1061</v>
      </c>
      <c r="B11" s="3308" t="s">
        <v>1062</v>
      </c>
      <c r="C11" s="3308"/>
      <c r="D11" s="1213" t="s">
        <v>1063</v>
      </c>
      <c r="E11" s="1213" t="s">
        <v>1064</v>
      </c>
      <c r="F11" s="1214" t="s">
        <v>1065</v>
      </c>
      <c r="G11" s="1214" t="s">
        <v>1051</v>
      </c>
      <c r="H11" s="1221" t="s">
        <v>1066</v>
      </c>
      <c r="I11" s="1212" t="s">
        <v>1052</v>
      </c>
    </row>
    <row r="12" spans="1:9">
      <c r="A12" s="3307"/>
      <c r="B12" s="3308" t="s">
        <v>1067</v>
      </c>
      <c r="C12" s="3308"/>
      <c r="D12" s="1213"/>
      <c r="E12" s="1213"/>
      <c r="F12" s="1214"/>
      <c r="G12" s="1215"/>
      <c r="H12" s="1222"/>
      <c r="I12" s="1212">
        <f>ROUND(D12*E12*F12*G12/10000,0)</f>
        <v>0</v>
      </c>
    </row>
    <row r="13" spans="1:9">
      <c r="A13" s="3307"/>
      <c r="B13" s="3308" t="s">
        <v>1068</v>
      </c>
      <c r="C13" s="3308"/>
      <c r="D13" s="1213"/>
      <c r="E13" s="1213"/>
      <c r="F13" s="1214"/>
      <c r="G13" s="1215"/>
      <c r="H13" s="1222"/>
      <c r="I13" s="1212">
        <f>ROUND(D13*E13*F13*G13/10000,0)</f>
        <v>0</v>
      </c>
    </row>
    <row r="14" spans="1:9">
      <c r="A14" s="3307"/>
      <c r="B14" s="3308" t="s">
        <v>1069</v>
      </c>
      <c r="C14" s="3308"/>
      <c r="D14" s="1213"/>
      <c r="E14" s="1213"/>
      <c r="F14" s="1214"/>
      <c r="G14" s="1215"/>
      <c r="H14" s="1222"/>
      <c r="I14" s="1212">
        <f>ROUND(D14*E14*F14*G14/10000,0)</f>
        <v>0</v>
      </c>
    </row>
    <row r="15" spans="1:9">
      <c r="A15" s="3307"/>
      <c r="B15" s="3309" t="s">
        <v>1060</v>
      </c>
      <c r="C15" s="3309"/>
      <c r="D15" s="1217"/>
      <c r="E15" s="1217">
        <f>SUM(E12:E14)</f>
        <v>0</v>
      </c>
      <c r="F15" s="1218"/>
      <c r="G15" s="1215"/>
      <c r="H15" s="1222"/>
      <c r="I15" s="1223">
        <f>SUM(I12:I14)</f>
        <v>0</v>
      </c>
    </row>
    <row r="16" spans="1:9" ht="24">
      <c r="A16" s="3307" t="s">
        <v>1070</v>
      </c>
      <c r="B16" s="3308" t="s">
        <v>1071</v>
      </c>
      <c r="C16" s="3308"/>
      <c r="D16" s="1213" t="s">
        <v>1047</v>
      </c>
      <c r="E16" s="1224" t="s">
        <v>1072</v>
      </c>
      <c r="F16" s="1214" t="s">
        <v>1073</v>
      </c>
      <c r="G16" s="1215" t="s">
        <v>1051</v>
      </c>
      <c r="H16" s="1221" t="s">
        <v>1066</v>
      </c>
      <c r="I16" s="1212" t="s">
        <v>1052</v>
      </c>
    </row>
    <row r="17" spans="1:9" ht="14.25">
      <c r="A17" s="3307"/>
      <c r="B17" s="3308" t="s">
        <v>1074</v>
      </c>
      <c r="C17" s="3308"/>
      <c r="D17" s="1213"/>
      <c r="E17" s="1213"/>
      <c r="F17" s="1214"/>
      <c r="G17" s="1215"/>
      <c r="H17" s="1225"/>
      <c r="I17" s="1226">
        <f>ROUND(D17*E17*F17*G17/10000,0)</f>
        <v>0</v>
      </c>
    </row>
    <row r="18" spans="1:9" ht="14.25">
      <c r="A18" s="3307"/>
      <c r="B18" s="3308" t="s">
        <v>1075</v>
      </c>
      <c r="C18" s="3308"/>
      <c r="D18" s="1213"/>
      <c r="E18" s="1213"/>
      <c r="F18" s="1214"/>
      <c r="G18" s="1215"/>
      <c r="H18" s="1225"/>
      <c r="I18" s="1226">
        <f>ROUND(D18*E18*F18*G18/10000,0)</f>
        <v>0</v>
      </c>
    </row>
    <row r="19" spans="1:9" ht="14.25">
      <c r="A19" s="3307"/>
      <c r="B19" s="3308" t="s">
        <v>1076</v>
      </c>
      <c r="C19" s="3308"/>
      <c r="D19" s="1213"/>
      <c r="E19" s="1213"/>
      <c r="F19" s="1214"/>
      <c r="G19" s="1215"/>
      <c r="H19" s="1225"/>
      <c r="I19" s="1226">
        <f>ROUND(D19*E19*F19*G19/10000,0)</f>
        <v>0</v>
      </c>
    </row>
    <row r="20" spans="1:9">
      <c r="A20" s="3307"/>
      <c r="B20" s="3309" t="s">
        <v>1060</v>
      </c>
      <c r="C20" s="3309"/>
      <c r="D20" s="1217">
        <f>SUM(D17:D19)</f>
        <v>0</v>
      </c>
      <c r="E20" s="1217"/>
      <c r="F20" s="1218"/>
      <c r="G20" s="1215"/>
      <c r="H20" s="1222"/>
      <c r="I20" s="1223">
        <f>SUM(I17:I19)</f>
        <v>0</v>
      </c>
    </row>
    <row r="21" spans="1:9">
      <c r="A21" s="3307" t="s">
        <v>1077</v>
      </c>
      <c r="B21" s="3311"/>
      <c r="C21" s="3311"/>
      <c r="D21" s="3311"/>
      <c r="E21" s="3311"/>
      <c r="F21" s="3311"/>
      <c r="G21" s="3311"/>
      <c r="H21" s="1504">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18">
        <f>C27-C30-C31-C32</f>
        <v>0</v>
      </c>
      <c r="F26" s="3318"/>
      <c r="G26" s="3318"/>
      <c r="H26" s="1501"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20" t="s">
        <v>1097</v>
      </c>
      <c r="B33" s="3321"/>
      <c r="C33" s="3321"/>
      <c r="D33" s="3322"/>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P32" sqref="P32:P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3"/>
      <c r="M2" s="2944"/>
      <c r="N2" s="2944"/>
      <c r="O2" s="2944"/>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30509.71999999999</v>
      </c>
      <c r="E3" s="1038"/>
      <c r="F3" s="2076"/>
      <c r="G3" s="1038"/>
      <c r="H3" s="1038"/>
      <c r="I3" s="1038"/>
      <c r="J3" s="1038"/>
      <c r="K3" s="2072"/>
      <c r="L3" s="2943"/>
      <c r="M3" s="2944"/>
      <c r="N3" s="2944"/>
      <c r="O3" s="2944"/>
      <c r="P3" s="2073"/>
      <c r="Q3" s="2074"/>
      <c r="R3" s="2074"/>
      <c r="S3" s="2074"/>
      <c r="T3" s="2074"/>
      <c r="U3" s="2074"/>
      <c r="V3" s="2074"/>
      <c r="W3" s="2074"/>
      <c r="X3" s="2074"/>
      <c r="Y3" s="2074"/>
      <c r="Z3" s="2074"/>
      <c r="AA3" s="2074"/>
      <c r="AB3" s="2074"/>
      <c r="AC3" s="1192"/>
    </row>
    <row r="4" spans="1:29" ht="15">
      <c r="A4" s="361" t="s">
        <v>2354</v>
      </c>
      <c r="B4" s="362"/>
      <c r="C4" s="3341" t="s">
        <v>2355</v>
      </c>
      <c r="D4" s="3342"/>
      <c r="E4" s="3343" t="s">
        <v>2356</v>
      </c>
      <c r="F4" s="3344"/>
      <c r="G4" s="3341" t="s">
        <v>2357</v>
      </c>
      <c r="H4" s="3342"/>
      <c r="I4" s="3341" t="s">
        <v>2358</v>
      </c>
      <c r="J4" s="3342"/>
      <c r="K4" s="2077" t="s">
        <v>2359</v>
      </c>
      <c r="L4" s="2945"/>
      <c r="M4" s="2946"/>
      <c r="N4" s="2946"/>
      <c r="O4" s="2946"/>
      <c r="P4" s="3345" t="s">
        <v>2360</v>
      </c>
      <c r="Q4" s="3346"/>
      <c r="R4" s="3328" t="s">
        <v>2356</v>
      </c>
      <c r="S4" s="3329"/>
      <c r="T4" s="3328" t="s">
        <v>2357</v>
      </c>
      <c r="U4" s="3329"/>
      <c r="V4" s="3353" t="s">
        <v>2358</v>
      </c>
      <c r="W4" s="3353"/>
      <c r="X4" s="1541"/>
      <c r="Y4" s="3328" t="s">
        <v>2360</v>
      </c>
      <c r="Z4" s="3329"/>
      <c r="AA4" s="3323" t="s">
        <v>2356</v>
      </c>
      <c r="AB4" s="3323" t="s">
        <v>2357</v>
      </c>
      <c r="AC4" s="3323" t="s">
        <v>2358</v>
      </c>
    </row>
    <row r="5" spans="1:29" ht="15">
      <c r="A5" s="364"/>
      <c r="B5" s="365"/>
      <c r="C5" s="3334" t="s">
        <v>2361</v>
      </c>
      <c r="D5" s="3335"/>
      <c r="E5" s="3332" t="s">
        <v>2362</v>
      </c>
      <c r="F5" s="3333"/>
      <c r="G5" s="3334" t="s">
        <v>2363</v>
      </c>
      <c r="H5" s="3335"/>
      <c r="I5" s="3334" t="s">
        <v>2364</v>
      </c>
      <c r="J5" s="3335"/>
      <c r="K5" s="2078"/>
      <c r="L5" s="2945"/>
      <c r="M5" s="2946"/>
      <c r="N5" s="2946"/>
      <c r="O5" s="2946"/>
      <c r="P5" s="3347"/>
      <c r="Q5" s="3348"/>
      <c r="R5" s="3330"/>
      <c r="S5" s="3331"/>
      <c r="T5" s="3330"/>
      <c r="U5" s="3331"/>
      <c r="V5" s="3353"/>
      <c r="W5" s="3353"/>
      <c r="X5" s="1541"/>
      <c r="Y5" s="3330"/>
      <c r="Z5" s="3331"/>
      <c r="AA5" s="3324"/>
      <c r="AB5" s="3324"/>
      <c r="AC5" s="3324"/>
    </row>
    <row r="6" spans="1:29" ht="15.75" thickBot="1">
      <c r="A6" s="366"/>
      <c r="B6" s="367"/>
      <c r="C6" s="3336" t="s">
        <v>2365</v>
      </c>
      <c r="D6" s="3337"/>
      <c r="E6" s="3338" t="s">
        <v>2365</v>
      </c>
      <c r="F6" s="3339"/>
      <c r="G6" s="3336" t="s">
        <v>2365</v>
      </c>
      <c r="H6" s="3337"/>
      <c r="I6" s="3336" t="s">
        <v>2365</v>
      </c>
      <c r="J6" s="3337"/>
      <c r="K6" s="2078" t="s">
        <v>2366</v>
      </c>
      <c r="L6" s="2945"/>
      <c r="M6" s="2946"/>
      <c r="N6" s="2946"/>
      <c r="O6" s="2946"/>
      <c r="P6" s="3349"/>
      <c r="Q6" s="3350"/>
      <c r="R6" s="3330"/>
      <c r="S6" s="3331"/>
      <c r="T6" s="3351"/>
      <c r="U6" s="3352"/>
      <c r="V6" s="3353"/>
      <c r="W6" s="3353"/>
      <c r="X6" s="1541"/>
      <c r="Y6" s="3351"/>
      <c r="Z6" s="3352"/>
      <c r="AA6" s="3325"/>
      <c r="AB6" s="3325"/>
      <c r="AC6" s="3325"/>
    </row>
    <row r="7" spans="1:29" s="113" customFormat="1" ht="15.75" thickBot="1">
      <c r="A7" s="368" t="s">
        <v>2367</v>
      </c>
      <c r="B7" s="369"/>
      <c r="C7" s="370">
        <f>'数据-取费表'!B2</f>
        <v>44120</v>
      </c>
      <c r="D7" s="371">
        <v>100</v>
      </c>
      <c r="E7" s="372"/>
      <c r="F7" s="373">
        <f>SUMIF(58:58,YEAR(E7)&amp;"-"&amp;MONTH(E7),59:59)</f>
        <v>0</v>
      </c>
      <c r="G7" s="372"/>
      <c r="H7" s="371">
        <f>SUMIF(58:58,YEAR(G7)&amp;"-"&amp;MONTH(G7),59:59)</f>
        <v>0</v>
      </c>
      <c r="I7" s="372"/>
      <c r="J7" s="371">
        <f>SUMIF(58:58,YEAR(I7)&amp;"-"&amp;MONTH(I7),59:59)</f>
        <v>0</v>
      </c>
      <c r="K7" s="2079"/>
      <c r="L7" s="2947"/>
      <c r="M7" s="2948"/>
      <c r="N7" s="2948"/>
      <c r="O7" s="2948"/>
      <c r="P7" s="3326" t="s">
        <v>2368</v>
      </c>
      <c r="Q7" s="3354"/>
      <c r="R7" s="710" t="s">
        <v>23</v>
      </c>
      <c r="S7" s="711">
        <f t="shared" ref="S7:S15" si="0">F7</f>
        <v>0</v>
      </c>
      <c r="T7" s="710" t="s">
        <v>23</v>
      </c>
      <c r="U7" s="711">
        <f t="shared" ref="U7:U15" si="1">H7</f>
        <v>0</v>
      </c>
      <c r="V7" s="710" t="s">
        <v>23</v>
      </c>
      <c r="W7" s="711">
        <f t="shared" ref="W7:W15" si="2">J7</f>
        <v>0</v>
      </c>
      <c r="X7" s="712"/>
      <c r="Y7" s="3326" t="s">
        <v>2368</v>
      </c>
      <c r="Z7" s="3327"/>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7"/>
      <c r="M8" s="2948"/>
      <c r="N8" s="2948"/>
      <c r="O8" s="2948"/>
      <c r="P8" s="3326" t="s">
        <v>2371</v>
      </c>
      <c r="Q8" s="3327"/>
      <c r="R8" s="710" t="s">
        <v>23</v>
      </c>
      <c r="S8" s="711">
        <f t="shared" si="0"/>
        <v>0</v>
      </c>
      <c r="T8" s="710" t="s">
        <v>23</v>
      </c>
      <c r="U8" s="711">
        <f t="shared" si="1"/>
        <v>0</v>
      </c>
      <c r="V8" s="710" t="s">
        <v>23</v>
      </c>
      <c r="W8" s="711">
        <f t="shared" si="2"/>
        <v>0</v>
      </c>
      <c r="X8" s="712"/>
      <c r="Y8" s="3326" t="s">
        <v>2371</v>
      </c>
      <c r="Z8" s="3327"/>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7"/>
      <c r="M9" s="2948"/>
      <c r="N9" s="2948"/>
      <c r="O9" s="2948"/>
      <c r="P9" s="3340"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40"/>
      <c r="Q11" s="1529" t="str">
        <f t="shared" si="6"/>
        <v>容积率</v>
      </c>
      <c r="R11" s="710" t="s">
        <v>21</v>
      </c>
      <c r="S11" s="711" t="e">
        <f t="shared" si="0"/>
        <v>#N/A</v>
      </c>
      <c r="T11" s="710" t="s">
        <v>21</v>
      </c>
      <c r="U11" s="711" t="e">
        <f t="shared" si="1"/>
        <v>#N/A</v>
      </c>
      <c r="V11" s="710" t="s">
        <v>21</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7"/>
      <c r="M12" s="2948"/>
      <c r="N12" s="2948"/>
      <c r="O12" s="2948"/>
      <c r="P12" s="3340"/>
      <c r="Q12" s="1529">
        <f t="shared" si="6"/>
        <v>111</v>
      </c>
      <c r="R12" s="710" t="s">
        <v>21</v>
      </c>
      <c r="S12" s="711">
        <f t="shared" si="0"/>
        <v>100</v>
      </c>
      <c r="T12" s="710" t="s">
        <v>21</v>
      </c>
      <c r="U12" s="711">
        <f t="shared" si="1"/>
        <v>100</v>
      </c>
      <c r="V12" s="710" t="s">
        <v>21</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2"/>
      <c r="M13" s="2946"/>
      <c r="N13" s="2946"/>
      <c r="O13" s="2946"/>
      <c r="P13" s="3340"/>
      <c r="Q13" s="1529">
        <f t="shared" si="6"/>
        <v>111</v>
      </c>
      <c r="R13" s="710" t="s">
        <v>21</v>
      </c>
      <c r="S13" s="711">
        <f t="shared" si="0"/>
        <v>100</v>
      </c>
      <c r="T13" s="710" t="s">
        <v>21</v>
      </c>
      <c r="U13" s="711">
        <f t="shared" si="1"/>
        <v>100</v>
      </c>
      <c r="V13" s="710" t="s">
        <v>21</v>
      </c>
      <c r="W13" s="711">
        <f t="shared" si="2"/>
        <v>100</v>
      </c>
      <c r="X13" s="712"/>
      <c r="Y13" s="324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2"/>
      <c r="M14" s="2946"/>
      <c r="N14" s="2946"/>
      <c r="O14" s="2946"/>
      <c r="P14" s="3340"/>
      <c r="Q14" s="1529">
        <f t="shared" si="6"/>
        <v>111</v>
      </c>
      <c r="R14" s="710" t="s">
        <v>21</v>
      </c>
      <c r="S14" s="711">
        <f t="shared" si="0"/>
        <v>100</v>
      </c>
      <c r="T14" s="710" t="s">
        <v>21</v>
      </c>
      <c r="U14" s="711">
        <f t="shared" si="1"/>
        <v>100</v>
      </c>
      <c r="V14" s="710" t="s">
        <v>21</v>
      </c>
      <c r="W14" s="711">
        <f t="shared" si="2"/>
        <v>100</v>
      </c>
      <c r="X14" s="712"/>
      <c r="Y14" s="3240"/>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67" t="s">
        <v>2379</v>
      </c>
      <c r="Q15" s="1538" t="str">
        <f t="shared" si="6"/>
        <v>居住社区成熟度</v>
      </c>
      <c r="R15" s="714" t="s">
        <v>21</v>
      </c>
      <c r="S15" s="715">
        <f t="shared" si="0"/>
        <v>100</v>
      </c>
      <c r="T15" s="714" t="s">
        <v>21</v>
      </c>
      <c r="U15" s="715">
        <f t="shared" si="1"/>
        <v>100</v>
      </c>
      <c r="V15" s="714" t="s">
        <v>21</v>
      </c>
      <c r="W15" s="715">
        <f t="shared" si="2"/>
        <v>100</v>
      </c>
      <c r="X15" s="1541"/>
      <c r="Y15" s="3360"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2"/>
      <c r="M16" s="2946"/>
      <c r="N16" s="2946"/>
      <c r="O16" s="2946"/>
      <c r="P16" s="3368"/>
      <c r="Q16" s="1538"/>
      <c r="R16" s="714"/>
      <c r="S16" s="715"/>
      <c r="T16" s="714"/>
      <c r="U16" s="715"/>
      <c r="V16" s="714"/>
      <c r="W16" s="715"/>
      <c r="X16" s="1541"/>
      <c r="Y16" s="336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68"/>
      <c r="Q17" s="1538" t="str">
        <f>B17</f>
        <v>交通便捷度</v>
      </c>
      <c r="R17" s="714" t="s">
        <v>21</v>
      </c>
      <c r="S17" s="715">
        <f>F17</f>
        <v>100</v>
      </c>
      <c r="T17" s="714" t="s">
        <v>21</v>
      </c>
      <c r="U17" s="715">
        <f>H17</f>
        <v>100</v>
      </c>
      <c r="V17" s="714" t="s">
        <v>21</v>
      </c>
      <c r="W17" s="715">
        <f>J17</f>
        <v>100</v>
      </c>
      <c r="X17" s="1541"/>
      <c r="Y17" s="336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2"/>
      <c r="M18" s="2946"/>
      <c r="N18" s="2946"/>
      <c r="O18" s="2946"/>
      <c r="P18" s="3368"/>
      <c r="Q18" s="1538"/>
      <c r="R18" s="714"/>
      <c r="S18" s="715"/>
      <c r="T18" s="714"/>
      <c r="U18" s="715"/>
      <c r="V18" s="714"/>
      <c r="W18" s="715"/>
      <c r="X18" s="1541"/>
      <c r="Y18" s="3361"/>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68"/>
      <c r="Q19" s="1538" t="str">
        <f>B19</f>
        <v>公共配套设施</v>
      </c>
      <c r="R19" s="714" t="s">
        <v>21</v>
      </c>
      <c r="S19" s="715">
        <f>F19</f>
        <v>100</v>
      </c>
      <c r="T19" s="714" t="s">
        <v>21</v>
      </c>
      <c r="U19" s="715">
        <f>H19</f>
        <v>100</v>
      </c>
      <c r="V19" s="714" t="s">
        <v>21</v>
      </c>
      <c r="W19" s="715">
        <f>J19</f>
        <v>100</v>
      </c>
      <c r="X19" s="1541"/>
      <c r="Y19" s="336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2"/>
      <c r="M20" s="2946"/>
      <c r="N20" s="2946"/>
      <c r="O20" s="2946"/>
      <c r="P20" s="3368"/>
      <c r="Q20" s="1538"/>
      <c r="R20" s="714"/>
      <c r="S20" s="715"/>
      <c r="T20" s="714"/>
      <c r="U20" s="715"/>
      <c r="V20" s="714"/>
      <c r="W20" s="715"/>
      <c r="X20" s="1541"/>
      <c r="Y20" s="3361"/>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68"/>
      <c r="Q21" s="1538" t="str">
        <f>B21</f>
        <v>基础设施水平</v>
      </c>
      <c r="R21" s="714" t="s">
        <v>17</v>
      </c>
      <c r="S21" s="715">
        <f>F21</f>
        <v>100</v>
      </c>
      <c r="T21" s="714" t="s">
        <v>17</v>
      </c>
      <c r="U21" s="715">
        <f>H21</f>
        <v>100</v>
      </c>
      <c r="V21" s="714" t="s">
        <v>17</v>
      </c>
      <c r="W21" s="715">
        <f>J21</f>
        <v>100</v>
      </c>
      <c r="X21" s="1541"/>
      <c r="Y21" s="336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2"/>
      <c r="M22" s="2946"/>
      <c r="N22" s="2946"/>
      <c r="O22" s="2946"/>
      <c r="P22" s="3368"/>
      <c r="Q22" s="1538"/>
      <c r="R22" s="714"/>
      <c r="S22" s="715"/>
      <c r="T22" s="714"/>
      <c r="U22" s="715"/>
      <c r="V22" s="714"/>
      <c r="W22" s="715"/>
      <c r="X22" s="1541"/>
      <c r="Y22" s="3361"/>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68"/>
      <c r="Q23" s="1538" t="str">
        <f>B23</f>
        <v>自然及人文环境</v>
      </c>
      <c r="R23" s="714" t="s">
        <v>21</v>
      </c>
      <c r="S23" s="715">
        <f>F23</f>
        <v>100</v>
      </c>
      <c r="T23" s="714" t="s">
        <v>21</v>
      </c>
      <c r="U23" s="715">
        <f>H23</f>
        <v>100</v>
      </c>
      <c r="V23" s="714" t="s">
        <v>21</v>
      </c>
      <c r="W23" s="715">
        <f>J23</f>
        <v>100</v>
      </c>
      <c r="X23" s="1541"/>
      <c r="Y23" s="336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2"/>
      <c r="M24" s="2946"/>
      <c r="N24" s="2946"/>
      <c r="O24" s="2946"/>
      <c r="P24" s="3368"/>
      <c r="Q24" s="1538"/>
      <c r="R24" s="714"/>
      <c r="S24" s="715"/>
      <c r="T24" s="714"/>
      <c r="U24" s="715"/>
      <c r="V24" s="714"/>
      <c r="W24" s="715"/>
      <c r="X24" s="1541"/>
      <c r="Y24" s="3361"/>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2"/>
      <c r="M25" s="2946"/>
      <c r="N25" s="2946"/>
      <c r="O25" s="2946"/>
      <c r="P25" s="336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61"/>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2"/>
      <c r="M26" s="2946"/>
      <c r="N26" s="2946"/>
      <c r="O26" s="2946"/>
      <c r="P26" s="3368"/>
      <c r="Q26" s="1538" t="str">
        <f t="shared" si="11"/>
        <v>朝向</v>
      </c>
      <c r="R26" s="714" t="s">
        <v>21</v>
      </c>
      <c r="S26" s="715">
        <f t="shared" si="12"/>
        <v>100</v>
      </c>
      <c r="T26" s="714" t="s">
        <v>21</v>
      </c>
      <c r="U26" s="715">
        <f t="shared" si="13"/>
        <v>100</v>
      </c>
      <c r="V26" s="714" t="s">
        <v>21</v>
      </c>
      <c r="W26" s="715">
        <f t="shared" si="14"/>
        <v>100</v>
      </c>
      <c r="X26" s="1541"/>
      <c r="Y26" s="336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7"/>
      <c r="M27" s="2948"/>
      <c r="N27" s="2948"/>
      <c r="O27" s="2948"/>
      <c r="P27" s="3368"/>
      <c r="Q27" s="1529">
        <f t="shared" si="11"/>
        <v>111</v>
      </c>
      <c r="R27" s="710" t="s">
        <v>21</v>
      </c>
      <c r="S27" s="711">
        <f t="shared" si="12"/>
        <v>100</v>
      </c>
      <c r="T27" s="710" t="s">
        <v>21</v>
      </c>
      <c r="U27" s="711">
        <f t="shared" si="13"/>
        <v>100</v>
      </c>
      <c r="V27" s="710" t="s">
        <v>21</v>
      </c>
      <c r="W27" s="711">
        <f t="shared" si="14"/>
        <v>100</v>
      </c>
      <c r="X27" s="712"/>
      <c r="Y27" s="336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2"/>
      <c r="M28" s="2946"/>
      <c r="N28" s="2946"/>
      <c r="O28" s="2946"/>
      <c r="P28" s="3368"/>
      <c r="Q28" s="1538">
        <f t="shared" si="11"/>
        <v>111</v>
      </c>
      <c r="R28" s="714" t="s">
        <v>21</v>
      </c>
      <c r="S28" s="715">
        <f t="shared" si="12"/>
        <v>100</v>
      </c>
      <c r="T28" s="714" t="s">
        <v>21</v>
      </c>
      <c r="U28" s="715">
        <f t="shared" si="13"/>
        <v>100</v>
      </c>
      <c r="V28" s="714" t="s">
        <v>21</v>
      </c>
      <c r="W28" s="715">
        <f t="shared" si="14"/>
        <v>100</v>
      </c>
      <c r="X28" s="1541"/>
      <c r="Y28" s="336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2"/>
      <c r="M29" s="2946"/>
      <c r="N29" s="2946"/>
      <c r="O29" s="2946"/>
      <c r="P29" s="3368"/>
      <c r="Q29" s="1538">
        <f t="shared" si="11"/>
        <v>111</v>
      </c>
      <c r="R29" s="714" t="s">
        <v>21</v>
      </c>
      <c r="S29" s="715">
        <f t="shared" si="12"/>
        <v>100</v>
      </c>
      <c r="T29" s="714" t="s">
        <v>21</v>
      </c>
      <c r="U29" s="715">
        <f t="shared" si="13"/>
        <v>100</v>
      </c>
      <c r="V29" s="714" t="s">
        <v>21</v>
      </c>
      <c r="W29" s="715">
        <f t="shared" si="14"/>
        <v>100</v>
      </c>
      <c r="X29" s="1541"/>
      <c r="Y29" s="336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2"/>
      <c r="M30" s="2946"/>
      <c r="N30" s="2946"/>
      <c r="O30" s="2946"/>
      <c r="P30" s="3368"/>
      <c r="Q30" s="1538">
        <f t="shared" si="11"/>
        <v>111</v>
      </c>
      <c r="R30" s="714" t="s">
        <v>21</v>
      </c>
      <c r="S30" s="715">
        <f t="shared" si="12"/>
        <v>100</v>
      </c>
      <c r="T30" s="714" t="s">
        <v>21</v>
      </c>
      <c r="U30" s="715">
        <f t="shared" si="13"/>
        <v>100</v>
      </c>
      <c r="V30" s="714" t="s">
        <v>21</v>
      </c>
      <c r="W30" s="715">
        <f t="shared" si="14"/>
        <v>100</v>
      </c>
      <c r="X30" s="1541"/>
      <c r="Y30" s="336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2"/>
      <c r="M31" s="2946"/>
      <c r="N31" s="2946"/>
      <c r="O31" s="2946"/>
      <c r="P31" s="3368"/>
      <c r="Q31" s="1538">
        <f t="shared" si="11"/>
        <v>111</v>
      </c>
      <c r="R31" s="714" t="s">
        <v>21</v>
      </c>
      <c r="S31" s="715">
        <f t="shared" si="12"/>
        <v>100</v>
      </c>
      <c r="T31" s="714" t="s">
        <v>21</v>
      </c>
      <c r="U31" s="715">
        <f t="shared" si="13"/>
        <v>100</v>
      </c>
      <c r="V31" s="714" t="s">
        <v>21</v>
      </c>
      <c r="W31" s="715">
        <f t="shared" si="14"/>
        <v>100</v>
      </c>
      <c r="X31" s="1541"/>
      <c r="Y31" s="3361"/>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2"/>
      <c r="M32" s="2946"/>
      <c r="N32" s="2946"/>
      <c r="O32" s="2946"/>
      <c r="P32" s="3362" t="s">
        <v>2384</v>
      </c>
      <c r="Q32" s="1538" t="str">
        <f t="shared" si="11"/>
        <v>建筑类型</v>
      </c>
      <c r="R32" s="714" t="s">
        <v>21</v>
      </c>
      <c r="S32" s="715">
        <f t="shared" si="12"/>
        <v>100</v>
      </c>
      <c r="T32" s="714" t="s">
        <v>21</v>
      </c>
      <c r="U32" s="715">
        <f t="shared" si="13"/>
        <v>100</v>
      </c>
      <c r="V32" s="714" t="s">
        <v>21</v>
      </c>
      <c r="W32" s="715">
        <f t="shared" si="14"/>
        <v>100</v>
      </c>
      <c r="X32" s="1541"/>
      <c r="Y32" s="3365"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1"/>
      <c r="M33" s="2953"/>
      <c r="N33" s="2953"/>
      <c r="O33" s="2953"/>
      <c r="P33" s="3363"/>
      <c r="Q33" s="716" t="str">
        <f t="shared" si="11"/>
        <v>项目建筑规模</v>
      </c>
      <c r="R33" s="717" t="s">
        <v>21</v>
      </c>
      <c r="S33" s="718" t="e">
        <f t="shared" si="12"/>
        <v>#N/A</v>
      </c>
      <c r="T33" s="717" t="s">
        <v>21</v>
      </c>
      <c r="U33" s="718" t="e">
        <f t="shared" si="13"/>
        <v>#N/A</v>
      </c>
      <c r="V33" s="717" t="s">
        <v>21</v>
      </c>
      <c r="W33" s="718" t="e">
        <f t="shared" si="14"/>
        <v>#N/A</v>
      </c>
      <c r="X33" s="719"/>
      <c r="Y33" s="3365"/>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2"/>
      <c r="M34" s="2946"/>
      <c r="N34" s="2946"/>
      <c r="O34" s="2946"/>
      <c r="P34" s="3363"/>
      <c r="Q34" s="1538" t="str">
        <f t="shared" si="11"/>
        <v>建筑结构</v>
      </c>
      <c r="R34" s="714" t="s">
        <v>21</v>
      </c>
      <c r="S34" s="715">
        <f t="shared" si="12"/>
        <v>100</v>
      </c>
      <c r="T34" s="714" t="s">
        <v>21</v>
      </c>
      <c r="U34" s="715">
        <f t="shared" si="13"/>
        <v>100</v>
      </c>
      <c r="V34" s="714" t="s">
        <v>21</v>
      </c>
      <c r="W34" s="715">
        <f t="shared" si="14"/>
        <v>100</v>
      </c>
      <c r="X34" s="1541"/>
      <c r="Y34" s="3365"/>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2"/>
      <c r="M35" s="2946"/>
      <c r="N35" s="2946"/>
      <c r="O35" s="2946"/>
      <c r="P35" s="3363"/>
      <c r="Q35" s="1538" t="str">
        <f t="shared" si="11"/>
        <v>建筑品质</v>
      </c>
      <c r="R35" s="714" t="s">
        <v>21</v>
      </c>
      <c r="S35" s="715">
        <f t="shared" si="12"/>
        <v>100</v>
      </c>
      <c r="T35" s="714" t="s">
        <v>21</v>
      </c>
      <c r="U35" s="715">
        <f t="shared" si="13"/>
        <v>100</v>
      </c>
      <c r="V35" s="714" t="s">
        <v>21</v>
      </c>
      <c r="W35" s="715">
        <f t="shared" si="14"/>
        <v>100</v>
      </c>
      <c r="X35" s="1541"/>
      <c r="Y35" s="3365"/>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2"/>
      <c r="M36" s="2946"/>
      <c r="N36" s="2946"/>
      <c r="O36" s="2946"/>
      <c r="P36" s="3363"/>
      <c r="Q36" s="1538" t="str">
        <f t="shared" si="11"/>
        <v>公共部分装修</v>
      </c>
      <c r="R36" s="714" t="s">
        <v>21</v>
      </c>
      <c r="S36" s="715">
        <f t="shared" si="12"/>
        <v>100</v>
      </c>
      <c r="T36" s="714" t="s">
        <v>21</v>
      </c>
      <c r="U36" s="715">
        <f t="shared" si="13"/>
        <v>100</v>
      </c>
      <c r="V36" s="714" t="s">
        <v>21</v>
      </c>
      <c r="W36" s="715">
        <f t="shared" si="14"/>
        <v>100</v>
      </c>
      <c r="X36" s="1541"/>
      <c r="Y36" s="3365"/>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63"/>
      <c r="Q37" s="1529" t="str">
        <f t="shared" si="11"/>
        <v>成新度</v>
      </c>
      <c r="R37" s="710" t="s">
        <v>21</v>
      </c>
      <c r="S37" s="711" t="e">
        <f t="shared" si="12"/>
        <v>#N/A</v>
      </c>
      <c r="T37" s="710" t="s">
        <v>21</v>
      </c>
      <c r="U37" s="711" t="e">
        <f t="shared" si="13"/>
        <v>#N/A</v>
      </c>
      <c r="V37" s="710" t="s">
        <v>21</v>
      </c>
      <c r="W37" s="711" t="e">
        <f t="shared" si="14"/>
        <v>#N/A</v>
      </c>
      <c r="X37" s="712"/>
      <c r="Y37" s="3365"/>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2"/>
      <c r="M38" s="2946"/>
      <c r="N38" s="2946"/>
      <c r="O38" s="2946"/>
      <c r="P38" s="3363" t="s">
        <v>2384</v>
      </c>
      <c r="Q38" s="1538" t="str">
        <f t="shared" si="11"/>
        <v>物业管理</v>
      </c>
      <c r="R38" s="714" t="s">
        <v>21</v>
      </c>
      <c r="S38" s="715">
        <f t="shared" si="12"/>
        <v>100</v>
      </c>
      <c r="T38" s="714" t="s">
        <v>21</v>
      </c>
      <c r="U38" s="715">
        <f t="shared" si="13"/>
        <v>100</v>
      </c>
      <c r="V38" s="714" t="s">
        <v>21</v>
      </c>
      <c r="W38" s="715">
        <f t="shared" si="14"/>
        <v>100</v>
      </c>
      <c r="X38" s="1541"/>
      <c r="Y38" s="3365"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2"/>
      <c r="M39" s="2946"/>
      <c r="N39" s="2946"/>
      <c r="O39" s="2946"/>
      <c r="P39" s="3363"/>
      <c r="Q39" s="1538" t="str">
        <f t="shared" si="11"/>
        <v>市政基础设施</v>
      </c>
      <c r="R39" s="714" t="s">
        <v>21</v>
      </c>
      <c r="S39" s="715">
        <f t="shared" si="12"/>
        <v>100</v>
      </c>
      <c r="T39" s="714" t="s">
        <v>21</v>
      </c>
      <c r="U39" s="715">
        <f t="shared" si="13"/>
        <v>100</v>
      </c>
      <c r="V39" s="714" t="s">
        <v>21</v>
      </c>
      <c r="W39" s="715">
        <f t="shared" si="14"/>
        <v>100</v>
      </c>
      <c r="X39" s="1541"/>
      <c r="Y39" s="3365"/>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2"/>
      <c r="M40" s="2946"/>
      <c r="N40" s="2946"/>
      <c r="O40" s="2946"/>
      <c r="P40" s="3363"/>
      <c r="Q40" s="1538" t="str">
        <f t="shared" si="11"/>
        <v>房型</v>
      </c>
      <c r="R40" s="714" t="s">
        <v>21</v>
      </c>
      <c r="S40" s="715">
        <f t="shared" si="12"/>
        <v>100</v>
      </c>
      <c r="T40" s="714" t="s">
        <v>21</v>
      </c>
      <c r="U40" s="715">
        <f t="shared" si="13"/>
        <v>100</v>
      </c>
      <c r="V40" s="714" t="s">
        <v>21</v>
      </c>
      <c r="W40" s="715">
        <f t="shared" si="14"/>
        <v>100</v>
      </c>
      <c r="X40" s="1541"/>
      <c r="Y40" s="3365"/>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1"/>
      <c r="M41" s="2953"/>
      <c r="N41" s="2953"/>
      <c r="O41" s="2953"/>
      <c r="P41" s="3363"/>
      <c r="Q41" s="716" t="str">
        <f t="shared" si="11"/>
        <v>单套/主力户型建筑面积</v>
      </c>
      <c r="R41" s="717" t="s">
        <v>21</v>
      </c>
      <c r="S41" s="718">
        <f t="shared" si="12"/>
        <v>100</v>
      </c>
      <c r="T41" s="717" t="s">
        <v>21</v>
      </c>
      <c r="U41" s="718">
        <f t="shared" si="13"/>
        <v>100</v>
      </c>
      <c r="V41" s="717" t="s">
        <v>21</v>
      </c>
      <c r="W41" s="718">
        <f t="shared" si="14"/>
        <v>100</v>
      </c>
      <c r="X41" s="719"/>
      <c r="Y41" s="3365"/>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2"/>
      <c r="M42" s="2946"/>
      <c r="N42" s="2946"/>
      <c r="O42" s="2946"/>
      <c r="P42" s="3363"/>
      <c r="Q42" s="1538" t="str">
        <f t="shared" si="11"/>
        <v>内部装修</v>
      </c>
      <c r="R42" s="714" t="s">
        <v>21</v>
      </c>
      <c r="S42" s="715">
        <f t="shared" si="12"/>
        <v>100</v>
      </c>
      <c r="T42" s="714" t="s">
        <v>21</v>
      </c>
      <c r="U42" s="715">
        <f t="shared" si="13"/>
        <v>100</v>
      </c>
      <c r="V42" s="714" t="s">
        <v>21</v>
      </c>
      <c r="W42" s="715">
        <f t="shared" si="14"/>
        <v>100</v>
      </c>
      <c r="X42" s="1541"/>
      <c r="Y42" s="3365"/>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2"/>
      <c r="M43" s="2946"/>
      <c r="N43" s="2946"/>
      <c r="O43" s="2946"/>
      <c r="P43" s="3363"/>
      <c r="Q43" s="1538" t="str">
        <f t="shared" si="11"/>
        <v>内部装修维护情况</v>
      </c>
      <c r="R43" s="714" t="s">
        <v>21</v>
      </c>
      <c r="S43" s="715">
        <f t="shared" si="12"/>
        <v>100</v>
      </c>
      <c r="T43" s="714" t="s">
        <v>21</v>
      </c>
      <c r="U43" s="715">
        <f t="shared" si="13"/>
        <v>100</v>
      </c>
      <c r="V43" s="714" t="s">
        <v>21</v>
      </c>
      <c r="W43" s="715">
        <f t="shared" si="14"/>
        <v>100</v>
      </c>
      <c r="X43" s="1541"/>
      <c r="Y43" s="336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7"/>
      <c r="M44" s="2948"/>
      <c r="N44" s="2948"/>
      <c r="O44" s="2948"/>
      <c r="P44" s="3363"/>
      <c r="Q44" s="1529">
        <f t="shared" si="11"/>
        <v>111</v>
      </c>
      <c r="R44" s="710" t="s">
        <v>21</v>
      </c>
      <c r="S44" s="711">
        <f t="shared" si="12"/>
        <v>100</v>
      </c>
      <c r="T44" s="710" t="s">
        <v>21</v>
      </c>
      <c r="U44" s="711">
        <f t="shared" si="13"/>
        <v>100</v>
      </c>
      <c r="V44" s="710" t="s">
        <v>21</v>
      </c>
      <c r="W44" s="711">
        <f t="shared" si="14"/>
        <v>100</v>
      </c>
      <c r="X44" s="712"/>
      <c r="Y44" s="336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2"/>
      <c r="M45" s="2946"/>
      <c r="N45" s="2946"/>
      <c r="O45" s="2946"/>
      <c r="P45" s="3363"/>
      <c r="Q45" s="1538">
        <f t="shared" si="11"/>
        <v>111</v>
      </c>
      <c r="R45" s="714" t="s">
        <v>21</v>
      </c>
      <c r="S45" s="715">
        <f t="shared" si="12"/>
        <v>100</v>
      </c>
      <c r="T45" s="714" t="s">
        <v>21</v>
      </c>
      <c r="U45" s="715">
        <f t="shared" si="13"/>
        <v>100</v>
      </c>
      <c r="V45" s="714" t="s">
        <v>21</v>
      </c>
      <c r="W45" s="715">
        <f t="shared" si="14"/>
        <v>100</v>
      </c>
      <c r="X45" s="1541"/>
      <c r="Y45" s="336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2"/>
      <c r="M46" s="2946"/>
      <c r="N46" s="2946"/>
      <c r="O46" s="2946"/>
      <c r="P46" s="3364"/>
      <c r="Q46" s="1538">
        <f t="shared" si="11"/>
        <v>111</v>
      </c>
      <c r="R46" s="714" t="s">
        <v>20</v>
      </c>
      <c r="S46" s="715">
        <f t="shared" si="12"/>
        <v>100</v>
      </c>
      <c r="T46" s="714" t="s">
        <v>20</v>
      </c>
      <c r="U46" s="715">
        <f t="shared" si="13"/>
        <v>100</v>
      </c>
      <c r="V46" s="714" t="s">
        <v>20</v>
      </c>
      <c r="W46" s="715">
        <f t="shared" si="14"/>
        <v>100</v>
      </c>
      <c r="X46" s="1541"/>
      <c r="Y46" s="3366"/>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4"/>
      <c r="M47" s="2955"/>
      <c r="N47" s="2946"/>
      <c r="O47" s="2955"/>
      <c r="P47" s="3358" t="str">
        <f>A47</f>
        <v>成交单价（元/平方米）</v>
      </c>
      <c r="Q47" s="3358"/>
      <c r="R47" s="3359">
        <f>E47</f>
        <v>0</v>
      </c>
      <c r="S47" s="3359"/>
      <c r="T47" s="3359">
        <f>G47</f>
        <v>0</v>
      </c>
      <c r="U47" s="3359"/>
      <c r="V47" s="3359">
        <f>I47</f>
        <v>0</v>
      </c>
      <c r="W47" s="3359"/>
      <c r="X47" s="699"/>
      <c r="Y47" s="721"/>
      <c r="Z47" s="699"/>
      <c r="AA47" s="699"/>
      <c r="AB47" s="699"/>
      <c r="AC47" s="699"/>
    </row>
    <row r="48" spans="1:29" ht="15.75" thickBot="1">
      <c r="A48" s="445" t="s">
        <v>2397</v>
      </c>
      <c r="B48" s="446"/>
      <c r="C48" s="1322" t="e">
        <f>R49</f>
        <v>#DIV/0!</v>
      </c>
      <c r="D48" s="2540" t="s">
        <v>2878</v>
      </c>
      <c r="E48" s="1323" t="e">
        <f>R48</f>
        <v>#DIV/0!</v>
      </c>
      <c r="F48" s="2541"/>
      <c r="G48" s="1322" t="e">
        <f>T48</f>
        <v>#DIV/0!</v>
      </c>
      <c r="H48" s="2541"/>
      <c r="I48" s="1323" t="e">
        <f>V48</f>
        <v>#DIV/0!</v>
      </c>
      <c r="J48" s="2541"/>
      <c r="K48" s="2542">
        <f>F48+H48+J48</f>
        <v>0</v>
      </c>
      <c r="L48" s="2954"/>
      <c r="M48" s="2955"/>
      <c r="N48" s="2955"/>
      <c r="O48" s="2955"/>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4"/>
      <c r="M49" s="2955"/>
      <c r="N49" s="2955"/>
      <c r="O49" s="2955"/>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5"/>
    </row>
    <row r="55" spans="1:29" s="459" customFormat="1">
      <c r="A55" s="2958"/>
      <c r="B55" s="2961"/>
      <c r="C55" s="2962"/>
      <c r="D55" s="2958"/>
      <c r="E55" s="2958"/>
      <c r="F55" s="2958"/>
      <c r="G55" s="2958"/>
      <c r="H55" s="2958"/>
      <c r="I55" s="2958"/>
      <c r="J55" s="2958"/>
      <c r="K55" s="2963"/>
      <c r="L55" s="2957"/>
      <c r="M55" s="2958"/>
      <c r="N55" s="2958"/>
      <c r="O55" s="2958"/>
      <c r="P55" s="2105"/>
    </row>
    <row r="56" spans="1:29">
      <c r="A56" s="2955"/>
      <c r="B56" s="2961"/>
      <c r="C56" s="2962"/>
      <c r="D56" s="2955"/>
      <c r="E56" s="2955"/>
      <c r="F56" s="2955"/>
      <c r="G56" s="2955"/>
      <c r="H56" s="2955"/>
      <c r="I56" s="2955"/>
      <c r="J56" s="2955"/>
      <c r="K56" s="2960"/>
      <c r="L56" s="2956"/>
      <c r="M56" s="2955"/>
      <c r="N56" s="2955"/>
      <c r="O56" s="2955"/>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4"/>
      <c r="M2" s="2965"/>
      <c r="N2" s="2965"/>
      <c r="O2" s="2965"/>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30509.71999999999</v>
      </c>
      <c r="E3" s="2142"/>
      <c r="F3" s="1040"/>
      <c r="G3" s="1039"/>
      <c r="H3" s="1039"/>
      <c r="I3" s="1039"/>
      <c r="J3" s="1039"/>
      <c r="K3" s="1041"/>
      <c r="L3" s="2964"/>
      <c r="M3" s="2965"/>
      <c r="N3" s="2965"/>
      <c r="O3" s="2965"/>
      <c r="P3" s="2140"/>
      <c r="Q3" s="1043"/>
      <c r="R3" s="1043"/>
      <c r="S3" s="1043"/>
      <c r="T3" s="1043"/>
      <c r="U3" s="1043"/>
      <c r="V3" s="1043"/>
      <c r="W3" s="1043"/>
      <c r="X3" s="1043"/>
      <c r="Y3" s="1043"/>
      <c r="Z3" s="1043"/>
      <c r="AA3" s="1043"/>
      <c r="AB3" s="1043"/>
      <c r="AC3" s="214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28" t="s">
        <v>2466</v>
      </c>
      <c r="S4" s="3329"/>
      <c r="T4" s="3328" t="s">
        <v>2467</v>
      </c>
      <c r="U4" s="3329"/>
      <c r="V4" s="3353" t="s">
        <v>2468</v>
      </c>
      <c r="W4" s="3353"/>
      <c r="X4" s="1541"/>
      <c r="Y4" s="3328" t="s">
        <v>2470</v>
      </c>
      <c r="Z4" s="3329"/>
      <c r="AA4" s="3323" t="s">
        <v>2466</v>
      </c>
      <c r="AB4" s="3353" t="s">
        <v>2467</v>
      </c>
      <c r="AC4" s="3323" t="s">
        <v>2468</v>
      </c>
    </row>
    <row r="5" spans="1:29" ht="15">
      <c r="A5" s="364"/>
      <c r="B5" s="365"/>
      <c r="C5" s="3334" t="s">
        <v>2361</v>
      </c>
      <c r="D5" s="3335"/>
      <c r="E5" s="3332" t="s">
        <v>2362</v>
      </c>
      <c r="F5" s="3333"/>
      <c r="G5" s="3334" t="s">
        <v>2363</v>
      </c>
      <c r="H5" s="3335"/>
      <c r="I5" s="3334" t="s">
        <v>2364</v>
      </c>
      <c r="J5" s="3335"/>
      <c r="K5" s="567"/>
      <c r="L5" s="2945"/>
      <c r="M5" s="2946"/>
      <c r="N5" s="2946"/>
      <c r="O5" s="2946"/>
      <c r="P5" s="3347"/>
      <c r="Q5" s="3348"/>
      <c r="R5" s="3330"/>
      <c r="S5" s="3331"/>
      <c r="T5" s="3330"/>
      <c r="U5" s="3331"/>
      <c r="V5" s="3353"/>
      <c r="W5" s="3353"/>
      <c r="X5" s="1541"/>
      <c r="Y5" s="3330"/>
      <c r="Z5" s="3331"/>
      <c r="AA5" s="3324"/>
      <c r="AB5" s="3353"/>
      <c r="AC5" s="3324"/>
    </row>
    <row r="6" spans="1:29" ht="15.75" thickBot="1">
      <c r="A6" s="366"/>
      <c r="B6" s="367"/>
      <c r="C6" s="3336" t="s">
        <v>2365</v>
      </c>
      <c r="D6" s="3337"/>
      <c r="E6" s="3338" t="s">
        <v>2365</v>
      </c>
      <c r="F6" s="3339"/>
      <c r="G6" s="3336" t="s">
        <v>2365</v>
      </c>
      <c r="H6" s="3337"/>
      <c r="I6" s="3336" t="s">
        <v>2365</v>
      </c>
      <c r="J6" s="3337"/>
      <c r="K6" s="567" t="s">
        <v>2366</v>
      </c>
      <c r="L6" s="2945"/>
      <c r="M6" s="2946"/>
      <c r="N6" s="2946"/>
      <c r="O6" s="2946"/>
      <c r="P6" s="3349"/>
      <c r="Q6" s="3350"/>
      <c r="R6" s="3330"/>
      <c r="S6" s="3331"/>
      <c r="T6" s="3351"/>
      <c r="U6" s="3352"/>
      <c r="V6" s="3353"/>
      <c r="W6" s="3353"/>
      <c r="X6" s="1541"/>
      <c r="Y6" s="3351"/>
      <c r="Z6" s="3352"/>
      <c r="AA6" s="3325"/>
      <c r="AB6" s="3353"/>
      <c r="AC6" s="3325"/>
    </row>
    <row r="7" spans="1:29" s="113" customFormat="1" ht="15.75" thickBot="1">
      <c r="A7" s="368" t="s">
        <v>2367</v>
      </c>
      <c r="B7" s="369"/>
      <c r="C7" s="370">
        <f>'数据-取费表'!B2</f>
        <v>44120</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26" t="s">
        <v>2368</v>
      </c>
      <c r="Q7" s="3354"/>
      <c r="R7" s="710" t="s">
        <v>17</v>
      </c>
      <c r="S7" s="711">
        <f t="shared" ref="S7:S15" si="0">F7</f>
        <v>0</v>
      </c>
      <c r="T7" s="710" t="s">
        <v>17</v>
      </c>
      <c r="U7" s="711">
        <f t="shared" ref="U7:U15" si="1">H7</f>
        <v>0</v>
      </c>
      <c r="V7" s="710" t="s">
        <v>17</v>
      </c>
      <c r="W7" s="711">
        <f t="shared" ref="W7:W15" si="2">J7</f>
        <v>0</v>
      </c>
      <c r="X7" s="712"/>
      <c r="Y7" s="3326" t="s">
        <v>2368</v>
      </c>
      <c r="Z7" s="3327"/>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26" t="s">
        <v>2371</v>
      </c>
      <c r="Q8" s="3327"/>
      <c r="R8" s="710" t="s">
        <v>17</v>
      </c>
      <c r="S8" s="711">
        <f t="shared" si="0"/>
        <v>0</v>
      </c>
      <c r="T8" s="710" t="s">
        <v>17</v>
      </c>
      <c r="U8" s="711">
        <f t="shared" si="1"/>
        <v>0</v>
      </c>
      <c r="V8" s="710" t="s">
        <v>17</v>
      </c>
      <c r="W8" s="711">
        <f t="shared" si="2"/>
        <v>0</v>
      </c>
      <c r="X8" s="712"/>
      <c r="Y8" s="3326" t="s">
        <v>2371</v>
      </c>
      <c r="Z8" s="3327"/>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40"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67" t="s">
        <v>2379</v>
      </c>
      <c r="Q15" s="1538" t="str">
        <f t="shared" si="6"/>
        <v>商业繁华度</v>
      </c>
      <c r="R15" s="714" t="s">
        <v>17</v>
      </c>
      <c r="S15" s="715">
        <f t="shared" si="0"/>
        <v>100</v>
      </c>
      <c r="T15" s="714" t="s">
        <v>17</v>
      </c>
      <c r="U15" s="715">
        <f t="shared" si="1"/>
        <v>100</v>
      </c>
      <c r="V15" s="714" t="s">
        <v>17</v>
      </c>
      <c r="W15" s="715">
        <f t="shared" si="2"/>
        <v>100</v>
      </c>
      <c r="X15" s="1541"/>
      <c r="Y15" s="3360"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2"/>
      <c r="M16" s="2946"/>
      <c r="N16" s="2946"/>
      <c r="O16" s="2946"/>
      <c r="P16" s="3368"/>
      <c r="Q16" s="1538"/>
      <c r="R16" s="714"/>
      <c r="S16" s="715"/>
      <c r="T16" s="714"/>
      <c r="U16" s="715"/>
      <c r="V16" s="714"/>
      <c r="W16" s="715"/>
      <c r="X16" s="1541"/>
      <c r="Y16" s="336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68"/>
      <c r="Q17" s="1538" t="str">
        <f>B17</f>
        <v>交通便捷度</v>
      </c>
      <c r="R17" s="714" t="s">
        <v>17</v>
      </c>
      <c r="S17" s="715">
        <f>F17</f>
        <v>100</v>
      </c>
      <c r="T17" s="714" t="s">
        <v>17</v>
      </c>
      <c r="U17" s="715">
        <f>H17</f>
        <v>100</v>
      </c>
      <c r="V17" s="714" t="s">
        <v>17</v>
      </c>
      <c r="W17" s="715">
        <f>J17</f>
        <v>100</v>
      </c>
      <c r="X17" s="1541"/>
      <c r="Y17" s="336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2"/>
      <c r="M18" s="2946"/>
      <c r="N18" s="2946"/>
      <c r="O18" s="2946"/>
      <c r="P18" s="3368"/>
      <c r="Q18" s="1538"/>
      <c r="R18" s="714"/>
      <c r="S18" s="715"/>
      <c r="T18" s="714"/>
      <c r="U18" s="715"/>
      <c r="V18" s="714"/>
      <c r="W18" s="715"/>
      <c r="X18" s="1541"/>
      <c r="Y18" s="3361"/>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68"/>
      <c r="Q19" s="1538" t="str">
        <f>B19</f>
        <v>公共配套设施</v>
      </c>
      <c r="R19" s="714" t="s">
        <v>17</v>
      </c>
      <c r="S19" s="715">
        <f>F19</f>
        <v>100</v>
      </c>
      <c r="T19" s="714" t="s">
        <v>17</v>
      </c>
      <c r="U19" s="715">
        <f>H19</f>
        <v>100</v>
      </c>
      <c r="V19" s="714" t="s">
        <v>17</v>
      </c>
      <c r="W19" s="715">
        <f>J19</f>
        <v>100</v>
      </c>
      <c r="X19" s="1541"/>
      <c r="Y19" s="336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2"/>
      <c r="M20" s="2946"/>
      <c r="N20" s="2946"/>
      <c r="O20" s="2946"/>
      <c r="P20" s="3368"/>
      <c r="Q20" s="1538"/>
      <c r="R20" s="714"/>
      <c r="S20" s="715"/>
      <c r="T20" s="714"/>
      <c r="U20" s="715"/>
      <c r="V20" s="714"/>
      <c r="W20" s="715"/>
      <c r="X20" s="1541"/>
      <c r="Y20" s="3361"/>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68"/>
      <c r="Q21" s="1538" t="str">
        <f>B21</f>
        <v>基础设施水平</v>
      </c>
      <c r="R21" s="714" t="s">
        <v>17</v>
      </c>
      <c r="S21" s="715">
        <f>F21</f>
        <v>100</v>
      </c>
      <c r="T21" s="714" t="s">
        <v>17</v>
      </c>
      <c r="U21" s="715">
        <f>H21</f>
        <v>100</v>
      </c>
      <c r="V21" s="714" t="s">
        <v>17</v>
      </c>
      <c r="W21" s="715">
        <f>J21</f>
        <v>100</v>
      </c>
      <c r="X21" s="1541"/>
      <c r="Y21" s="336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2"/>
      <c r="M22" s="2946"/>
      <c r="N22" s="2946"/>
      <c r="O22" s="2946"/>
      <c r="P22" s="3368"/>
      <c r="Q22" s="1538"/>
      <c r="R22" s="714"/>
      <c r="S22" s="715"/>
      <c r="T22" s="714"/>
      <c r="U22" s="715"/>
      <c r="V22" s="714"/>
      <c r="W22" s="715"/>
      <c r="X22" s="1541"/>
      <c r="Y22" s="3361"/>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68"/>
      <c r="Q23" s="1538" t="str">
        <f>B23</f>
        <v>自然及人文环境</v>
      </c>
      <c r="R23" s="714" t="s">
        <v>17</v>
      </c>
      <c r="S23" s="715">
        <f>F23</f>
        <v>100</v>
      </c>
      <c r="T23" s="714" t="s">
        <v>17</v>
      </c>
      <c r="U23" s="715">
        <f>H23</f>
        <v>100</v>
      </c>
      <c r="V23" s="714" t="s">
        <v>17</v>
      </c>
      <c r="W23" s="715">
        <f>J23</f>
        <v>100</v>
      </c>
      <c r="X23" s="1541"/>
      <c r="Y23" s="336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2"/>
      <c r="M24" s="2946"/>
      <c r="N24" s="2946"/>
      <c r="O24" s="2946"/>
      <c r="P24" s="3368"/>
      <c r="Q24" s="1538"/>
      <c r="R24" s="714"/>
      <c r="S24" s="715"/>
      <c r="T24" s="714"/>
      <c r="U24" s="715"/>
      <c r="V24" s="714"/>
      <c r="W24" s="715"/>
      <c r="X24" s="1541"/>
      <c r="Y24" s="3361"/>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68"/>
      <c r="Q25" s="1538" t="str">
        <f t="shared" ref="Q25:Q46" si="11">B25</f>
        <v>临街状况</v>
      </c>
      <c r="R25" s="714" t="s">
        <v>17</v>
      </c>
      <c r="S25" s="715">
        <f>F25</f>
        <v>100</v>
      </c>
      <c r="T25" s="714" t="s">
        <v>17</v>
      </c>
      <c r="U25" s="715">
        <f>H25</f>
        <v>100</v>
      </c>
      <c r="V25" s="714" t="s">
        <v>17</v>
      </c>
      <c r="W25" s="715">
        <f>J25</f>
        <v>100</v>
      </c>
      <c r="X25" s="1541"/>
      <c r="Y25" s="3361"/>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68"/>
      <c r="Q26" s="1538" t="str">
        <f t="shared" si="11"/>
        <v>平面位置/可视性</v>
      </c>
      <c r="R26" s="714" t="s">
        <v>17</v>
      </c>
      <c r="S26" s="715">
        <f>F26</f>
        <v>100</v>
      </c>
      <c r="T26" s="714" t="s">
        <v>17</v>
      </c>
      <c r="U26" s="715">
        <f>H26</f>
        <v>100</v>
      </c>
      <c r="V26" s="714" t="s">
        <v>17</v>
      </c>
      <c r="W26" s="715">
        <f>J26</f>
        <v>100</v>
      </c>
      <c r="X26" s="1541"/>
      <c r="Y26" s="3361"/>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7"/>
      <c r="M27" s="2948"/>
      <c r="N27" s="2948"/>
      <c r="O27" s="2948"/>
      <c r="P27" s="3368"/>
      <c r="Q27" s="1529" t="str">
        <f t="shared" si="11"/>
        <v>人流量</v>
      </c>
      <c r="R27" s="710" t="s">
        <v>17</v>
      </c>
      <c r="S27" s="711">
        <f>F27</f>
        <v>100</v>
      </c>
      <c r="T27" s="710" t="s">
        <v>17</v>
      </c>
      <c r="U27" s="711">
        <f>H27</f>
        <v>100</v>
      </c>
      <c r="V27" s="710" t="s">
        <v>17</v>
      </c>
      <c r="W27" s="711">
        <f>J27</f>
        <v>100</v>
      </c>
      <c r="X27" s="712"/>
      <c r="Y27" s="3361"/>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6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6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68"/>
      <c r="Q29" s="1538">
        <f t="shared" si="11"/>
        <v>111</v>
      </c>
      <c r="R29" s="714" t="s">
        <v>17</v>
      </c>
      <c r="S29" s="715">
        <f t="shared" si="12"/>
        <v>100</v>
      </c>
      <c r="T29" s="714" t="s">
        <v>17</v>
      </c>
      <c r="U29" s="715">
        <f t="shared" si="13"/>
        <v>100</v>
      </c>
      <c r="V29" s="714" t="s">
        <v>17</v>
      </c>
      <c r="W29" s="715">
        <f t="shared" si="14"/>
        <v>100</v>
      </c>
      <c r="X29" s="1541"/>
      <c r="Y29" s="336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68"/>
      <c r="Q30" s="1538">
        <f t="shared" si="11"/>
        <v>111</v>
      </c>
      <c r="R30" s="714" t="s">
        <v>17</v>
      </c>
      <c r="S30" s="715">
        <f t="shared" si="12"/>
        <v>100</v>
      </c>
      <c r="T30" s="714" t="s">
        <v>17</v>
      </c>
      <c r="U30" s="715">
        <f t="shared" si="13"/>
        <v>100</v>
      </c>
      <c r="V30" s="714" t="s">
        <v>17</v>
      </c>
      <c r="W30" s="715">
        <f t="shared" si="14"/>
        <v>100</v>
      </c>
      <c r="X30" s="1541"/>
      <c r="Y30" s="336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68"/>
      <c r="Q31" s="1538">
        <f t="shared" si="11"/>
        <v>111</v>
      </c>
      <c r="R31" s="714" t="s">
        <v>17</v>
      </c>
      <c r="S31" s="715">
        <f t="shared" si="12"/>
        <v>100</v>
      </c>
      <c r="T31" s="714" t="s">
        <v>17</v>
      </c>
      <c r="U31" s="715">
        <f t="shared" si="13"/>
        <v>100</v>
      </c>
      <c r="V31" s="714" t="s">
        <v>17</v>
      </c>
      <c r="W31" s="715">
        <f t="shared" si="14"/>
        <v>100</v>
      </c>
      <c r="X31" s="1541"/>
      <c r="Y31" s="3361"/>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2"/>
      <c r="M32" s="2946"/>
      <c r="N32" s="2946"/>
      <c r="O32" s="2946"/>
      <c r="P32" s="3362" t="s">
        <v>2384</v>
      </c>
      <c r="Q32" s="1538" t="str">
        <f t="shared" si="11"/>
        <v>商业类型</v>
      </c>
      <c r="R32" s="714" t="s">
        <v>17</v>
      </c>
      <c r="S32" s="715">
        <f t="shared" si="12"/>
        <v>100</v>
      </c>
      <c r="T32" s="714" t="s">
        <v>17</v>
      </c>
      <c r="U32" s="715">
        <f t="shared" si="13"/>
        <v>100</v>
      </c>
      <c r="V32" s="714" t="s">
        <v>17</v>
      </c>
      <c r="W32" s="715">
        <f t="shared" si="14"/>
        <v>100</v>
      </c>
      <c r="X32" s="1541"/>
      <c r="Y32" s="3365"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63"/>
      <c r="Q33" s="716" t="str">
        <f t="shared" si="11"/>
        <v>项目建筑规模</v>
      </c>
      <c r="R33" s="717" t="s">
        <v>17</v>
      </c>
      <c r="S33" s="718" t="e">
        <f t="shared" si="12"/>
        <v>#N/A</v>
      </c>
      <c r="T33" s="717" t="s">
        <v>17</v>
      </c>
      <c r="U33" s="718" t="e">
        <f t="shared" si="13"/>
        <v>#N/A</v>
      </c>
      <c r="V33" s="717" t="s">
        <v>17</v>
      </c>
      <c r="W33" s="718" t="e">
        <f t="shared" si="14"/>
        <v>#N/A</v>
      </c>
      <c r="X33" s="719"/>
      <c r="Y33" s="3365"/>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2"/>
      <c r="M34" s="2946"/>
      <c r="N34" s="2946"/>
      <c r="O34" s="2946"/>
      <c r="P34" s="3363"/>
      <c r="Q34" s="1538" t="str">
        <f t="shared" si="11"/>
        <v>建筑结构</v>
      </c>
      <c r="R34" s="714" t="s">
        <v>17</v>
      </c>
      <c r="S34" s="715">
        <f t="shared" si="12"/>
        <v>100</v>
      </c>
      <c r="T34" s="714" t="s">
        <v>17</v>
      </c>
      <c r="U34" s="715">
        <f t="shared" si="13"/>
        <v>100</v>
      </c>
      <c r="V34" s="714" t="s">
        <v>17</v>
      </c>
      <c r="W34" s="715">
        <f t="shared" si="14"/>
        <v>100</v>
      </c>
      <c r="X34" s="1541"/>
      <c r="Y34" s="3365"/>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2"/>
      <c r="M35" s="2946"/>
      <c r="N35" s="2946"/>
      <c r="O35" s="2946"/>
      <c r="P35" s="3363"/>
      <c r="Q35" s="1538" t="str">
        <f t="shared" si="11"/>
        <v>公共部分装修</v>
      </c>
      <c r="R35" s="714" t="s">
        <v>17</v>
      </c>
      <c r="S35" s="715">
        <f t="shared" si="12"/>
        <v>100</v>
      </c>
      <c r="T35" s="714" t="s">
        <v>17</v>
      </c>
      <c r="U35" s="715">
        <f t="shared" si="13"/>
        <v>100</v>
      </c>
      <c r="V35" s="714" t="s">
        <v>17</v>
      </c>
      <c r="W35" s="715">
        <f t="shared" si="14"/>
        <v>100</v>
      </c>
      <c r="X35" s="1541"/>
      <c r="Y35" s="3365"/>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63"/>
      <c r="Q36" s="1538" t="str">
        <f t="shared" si="11"/>
        <v>成新度</v>
      </c>
      <c r="R36" s="714" t="s">
        <v>17</v>
      </c>
      <c r="S36" s="715" t="e">
        <f t="shared" si="12"/>
        <v>#N/A</v>
      </c>
      <c r="T36" s="714" t="s">
        <v>17</v>
      </c>
      <c r="U36" s="715" t="e">
        <f t="shared" si="13"/>
        <v>#N/A</v>
      </c>
      <c r="V36" s="714" t="s">
        <v>17</v>
      </c>
      <c r="W36" s="715" t="e">
        <f t="shared" si="14"/>
        <v>#N/A</v>
      </c>
      <c r="X36" s="1541"/>
      <c r="Y36" s="3365"/>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7"/>
      <c r="M37" s="2948"/>
      <c r="N37" s="2948"/>
      <c r="O37" s="2948"/>
      <c r="P37" s="3363"/>
      <c r="Q37" s="1529" t="str">
        <f t="shared" si="11"/>
        <v>市政基础设施</v>
      </c>
      <c r="R37" s="710" t="s">
        <v>17</v>
      </c>
      <c r="S37" s="711">
        <f t="shared" si="12"/>
        <v>100</v>
      </c>
      <c r="T37" s="710" t="s">
        <v>17</v>
      </c>
      <c r="U37" s="711">
        <f t="shared" si="13"/>
        <v>100</v>
      </c>
      <c r="V37" s="710" t="s">
        <v>17</v>
      </c>
      <c r="W37" s="711">
        <f t="shared" si="14"/>
        <v>100</v>
      </c>
      <c r="X37" s="712"/>
      <c r="Y37" s="3365"/>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2"/>
      <c r="M38" s="2946"/>
      <c r="N38" s="2946"/>
      <c r="O38" s="2946"/>
      <c r="P38" s="3363" t="s">
        <v>2384</v>
      </c>
      <c r="Q38" s="1538" t="str">
        <f t="shared" si="11"/>
        <v>业态</v>
      </c>
      <c r="R38" s="714" t="s">
        <v>17</v>
      </c>
      <c r="S38" s="715">
        <f t="shared" si="12"/>
        <v>100</v>
      </c>
      <c r="T38" s="714" t="s">
        <v>17</v>
      </c>
      <c r="U38" s="715">
        <f t="shared" si="13"/>
        <v>100</v>
      </c>
      <c r="V38" s="714" t="s">
        <v>17</v>
      </c>
      <c r="W38" s="715">
        <f t="shared" si="14"/>
        <v>100</v>
      </c>
      <c r="X38" s="1541"/>
      <c r="Y38" s="3365"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2"/>
      <c r="M39" s="2946"/>
      <c r="N39" s="2946"/>
      <c r="O39" s="2946"/>
      <c r="P39" s="3363"/>
      <c r="Q39" s="1538" t="str">
        <f t="shared" si="11"/>
        <v>层高</v>
      </c>
      <c r="R39" s="714" t="s">
        <v>17</v>
      </c>
      <c r="S39" s="715">
        <f t="shared" si="12"/>
        <v>100</v>
      </c>
      <c r="T39" s="714" t="s">
        <v>17</v>
      </c>
      <c r="U39" s="715">
        <f t="shared" si="13"/>
        <v>100</v>
      </c>
      <c r="V39" s="714" t="s">
        <v>17</v>
      </c>
      <c r="W39" s="715">
        <f t="shared" si="14"/>
        <v>100</v>
      </c>
      <c r="X39" s="1541"/>
      <c r="Y39" s="3365"/>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63"/>
      <c r="Q40" s="1538" t="str">
        <f t="shared" si="11"/>
        <v>单套建筑面积</v>
      </c>
      <c r="R40" s="714" t="s">
        <v>17</v>
      </c>
      <c r="S40" s="715">
        <f t="shared" si="12"/>
        <v>100</v>
      </c>
      <c r="T40" s="714" t="s">
        <v>17</v>
      </c>
      <c r="U40" s="715">
        <f t="shared" si="13"/>
        <v>100</v>
      </c>
      <c r="V40" s="714" t="s">
        <v>17</v>
      </c>
      <c r="W40" s="715">
        <f t="shared" si="14"/>
        <v>100</v>
      </c>
      <c r="X40" s="1541"/>
      <c r="Y40" s="3365"/>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63"/>
      <c r="Q41" s="716" t="str">
        <f t="shared" si="11"/>
        <v>进深比</v>
      </c>
      <c r="R41" s="717" t="s">
        <v>17</v>
      </c>
      <c r="S41" s="718">
        <f t="shared" si="12"/>
        <v>100</v>
      </c>
      <c r="T41" s="717" t="s">
        <v>17</v>
      </c>
      <c r="U41" s="718">
        <f t="shared" si="13"/>
        <v>100</v>
      </c>
      <c r="V41" s="717" t="s">
        <v>17</v>
      </c>
      <c r="W41" s="718">
        <f t="shared" si="14"/>
        <v>100</v>
      </c>
      <c r="X41" s="719"/>
      <c r="Y41" s="3365"/>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2"/>
      <c r="M42" s="2946"/>
      <c r="N42" s="2946"/>
      <c r="O42" s="2946"/>
      <c r="P42" s="3363"/>
      <c r="Q42" s="1538" t="str">
        <f t="shared" si="11"/>
        <v>内部装修</v>
      </c>
      <c r="R42" s="714" t="s">
        <v>17</v>
      </c>
      <c r="S42" s="715">
        <f t="shared" si="12"/>
        <v>100</v>
      </c>
      <c r="T42" s="714" t="s">
        <v>17</v>
      </c>
      <c r="U42" s="715">
        <f t="shared" si="13"/>
        <v>100</v>
      </c>
      <c r="V42" s="714" t="s">
        <v>17</v>
      </c>
      <c r="W42" s="715">
        <f t="shared" si="14"/>
        <v>100</v>
      </c>
      <c r="X42" s="1541"/>
      <c r="Y42" s="3365"/>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2"/>
      <c r="M43" s="2946"/>
      <c r="N43" s="2946"/>
      <c r="O43" s="2946"/>
      <c r="P43" s="3363"/>
      <c r="Q43" s="1538" t="str">
        <f t="shared" si="11"/>
        <v>内部装修维护情况</v>
      </c>
      <c r="R43" s="714" t="s">
        <v>17</v>
      </c>
      <c r="S43" s="715">
        <f t="shared" si="12"/>
        <v>100</v>
      </c>
      <c r="T43" s="714" t="s">
        <v>17</v>
      </c>
      <c r="U43" s="715">
        <f t="shared" si="13"/>
        <v>100</v>
      </c>
      <c r="V43" s="714" t="s">
        <v>17</v>
      </c>
      <c r="W43" s="715">
        <f t="shared" si="14"/>
        <v>100</v>
      </c>
      <c r="X43" s="1541"/>
      <c r="Y43" s="336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63"/>
      <c r="Q44" s="1529">
        <f t="shared" si="11"/>
        <v>111</v>
      </c>
      <c r="R44" s="710" t="s">
        <v>17</v>
      </c>
      <c r="S44" s="711">
        <f t="shared" si="12"/>
        <v>100</v>
      </c>
      <c r="T44" s="710" t="s">
        <v>17</v>
      </c>
      <c r="U44" s="711">
        <f t="shared" si="13"/>
        <v>100</v>
      </c>
      <c r="V44" s="710" t="s">
        <v>17</v>
      </c>
      <c r="W44" s="711">
        <f t="shared" si="14"/>
        <v>100</v>
      </c>
      <c r="X44" s="712"/>
      <c r="Y44" s="336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63"/>
      <c r="Q45" s="1538">
        <f t="shared" si="11"/>
        <v>111</v>
      </c>
      <c r="R45" s="714" t="s">
        <v>17</v>
      </c>
      <c r="S45" s="715">
        <f t="shared" si="12"/>
        <v>100</v>
      </c>
      <c r="T45" s="714" t="s">
        <v>17</v>
      </c>
      <c r="U45" s="715">
        <f t="shared" si="13"/>
        <v>100</v>
      </c>
      <c r="V45" s="714" t="s">
        <v>17</v>
      </c>
      <c r="W45" s="715">
        <f t="shared" si="14"/>
        <v>100</v>
      </c>
      <c r="X45" s="1541"/>
      <c r="Y45" s="336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64"/>
      <c r="Q46" s="1538">
        <f t="shared" si="11"/>
        <v>111</v>
      </c>
      <c r="R46" s="714" t="s">
        <v>17</v>
      </c>
      <c r="S46" s="715">
        <f t="shared" si="12"/>
        <v>100</v>
      </c>
      <c r="T46" s="714" t="s">
        <v>17</v>
      </c>
      <c r="U46" s="715">
        <f t="shared" si="13"/>
        <v>100</v>
      </c>
      <c r="V46" s="714" t="s">
        <v>17</v>
      </c>
      <c r="W46" s="715">
        <f t="shared" si="14"/>
        <v>100</v>
      </c>
      <c r="X46" s="1541"/>
      <c r="Y46" s="3366"/>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4"/>
      <c r="M47" s="2955"/>
      <c r="N47" s="2946"/>
      <c r="O47" s="2955"/>
      <c r="P47" s="3358" t="str">
        <f>A47</f>
        <v>成交单价（元/平方米）</v>
      </c>
      <c r="Q47" s="3358"/>
      <c r="R47" s="3353">
        <f>E47</f>
        <v>0</v>
      </c>
      <c r="S47" s="3353"/>
      <c r="T47" s="3353">
        <f>G47</f>
        <v>0</v>
      </c>
      <c r="U47" s="3353"/>
      <c r="V47" s="3353">
        <f>I47</f>
        <v>0</v>
      </c>
      <c r="W47" s="3353"/>
      <c r="X47" s="699"/>
      <c r="Y47" s="721"/>
      <c r="Z47" s="699"/>
      <c r="AA47" s="699"/>
      <c r="AB47" s="699"/>
      <c r="AC47" s="699"/>
    </row>
    <row r="48" spans="1:29" ht="15.75" thickBot="1">
      <c r="A48" s="445" t="s">
        <v>2488</v>
      </c>
      <c r="B48" s="446"/>
      <c r="C48" s="1322" t="e">
        <f>R49</f>
        <v>#DIV/0!</v>
      </c>
      <c r="D48" s="2540" t="s">
        <v>2878</v>
      </c>
      <c r="E48" s="1323" t="e">
        <f>R48</f>
        <v>#DIV/0!</v>
      </c>
      <c r="F48" s="2541"/>
      <c r="G48" s="1322" t="e">
        <f>T48</f>
        <v>#DIV/0!</v>
      </c>
      <c r="H48" s="2541"/>
      <c r="I48" s="1323" t="e">
        <f>V48</f>
        <v>#DIV/0!</v>
      </c>
      <c r="J48" s="2541"/>
      <c r="K48" s="2543">
        <f>F48+H48+J48</f>
        <v>0</v>
      </c>
      <c r="L48" s="2954"/>
      <c r="M48" s="2955"/>
      <c r="N48" s="2946"/>
      <c r="O48" s="2955"/>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4"/>
      <c r="M49" s="2955"/>
      <c r="N49" s="2946"/>
      <c r="O49" s="2955"/>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2493</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2367</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2"/>
      <c r="Q60" s="2969"/>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2"/>
      <c r="O61" s="2982"/>
      <c r="P61" s="2973"/>
      <c r="Q61" s="2969"/>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2378</v>
      </c>
      <c r="B76" s="485" t="s">
        <v>2415</v>
      </c>
      <c r="C76" s="530" t="s">
        <v>2416</v>
      </c>
      <c r="D76" s="530" t="s">
        <v>2417</v>
      </c>
      <c r="E76" s="530" t="s">
        <v>2418</v>
      </c>
      <c r="F76" s="530" t="s">
        <v>2419</v>
      </c>
      <c r="G76" s="530" t="s">
        <v>2420</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2421</v>
      </c>
      <c r="C78" s="535" t="s">
        <v>2416</v>
      </c>
      <c r="D78" s="535" t="s">
        <v>2417</v>
      </c>
      <c r="E78" s="535" t="s">
        <v>2418</v>
      </c>
      <c r="F78" s="535" t="s">
        <v>2419</v>
      </c>
      <c r="G78" s="535" t="s">
        <v>2420</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2422</v>
      </c>
      <c r="C80" s="535" t="s">
        <v>2416</v>
      </c>
      <c r="D80" s="535" t="s">
        <v>2417</v>
      </c>
      <c r="E80" s="535" t="s">
        <v>2418</v>
      </c>
      <c r="F80" s="535" t="s">
        <v>2419</v>
      </c>
      <c r="G80" s="535" t="s">
        <v>2420</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2474</v>
      </c>
      <c r="C82" s="616" t="s">
        <v>2494</v>
      </c>
      <c r="D82" s="616" t="s">
        <v>2495</v>
      </c>
      <c r="E82" s="616" t="s">
        <v>2496</v>
      </c>
      <c r="F82" s="616" t="s">
        <v>2497</v>
      </c>
      <c r="G82" s="616" t="s">
        <v>2498</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2428</v>
      </c>
      <c r="C84" s="535" t="s">
        <v>2416</v>
      </c>
      <c r="D84" s="535" t="s">
        <v>2417</v>
      </c>
      <c r="E84" s="535" t="s">
        <v>2418</v>
      </c>
      <c r="F84" s="535" t="s">
        <v>2419</v>
      </c>
      <c r="G84" s="535" t="s">
        <v>2420</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2499</v>
      </c>
      <c r="C86" s="511"/>
      <c r="D86" s="511"/>
      <c r="E86" s="511"/>
      <c r="F86" s="511"/>
      <c r="G86" s="511"/>
      <c r="H86" s="511"/>
      <c r="I86" s="511"/>
      <c r="J86" s="511"/>
      <c r="K86" s="511"/>
      <c r="L86" s="537"/>
      <c r="M86" s="538"/>
      <c r="N86" s="2982"/>
      <c r="O86" s="2982"/>
      <c r="P86" s="2974"/>
      <c r="Q86" s="2969"/>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2"/>
      <c r="O88" s="2982"/>
      <c r="P88" s="2974"/>
      <c r="Q88" s="2969"/>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4"/>
      <c r="O89" s="2984"/>
      <c r="P89" s="2974"/>
      <c r="Q89" s="2969"/>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6"/>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2382</v>
      </c>
      <c r="B100" s="485" t="s">
        <v>2500</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2433</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2435</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2437</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2501</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2502</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2503</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2504</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2439</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6"/>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30509.71999999999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1044"/>
      <c r="M4" s="1045"/>
      <c r="N4" s="1045"/>
      <c r="O4" s="1045"/>
      <c r="P4" s="3345" t="s">
        <v>2470</v>
      </c>
      <c r="Q4" s="3346"/>
      <c r="R4" s="3328" t="s">
        <v>2466</v>
      </c>
      <c r="S4" s="3329"/>
      <c r="T4" s="3328" t="s">
        <v>2467</v>
      </c>
      <c r="U4" s="3329"/>
      <c r="V4" s="3353" t="s">
        <v>2468</v>
      </c>
      <c r="W4" s="3353"/>
      <c r="X4" s="1541"/>
      <c r="Y4" s="3328" t="s">
        <v>2470</v>
      </c>
      <c r="Z4" s="3329"/>
      <c r="AA4" s="3323" t="s">
        <v>2466</v>
      </c>
      <c r="AB4" s="3324" t="s">
        <v>2467</v>
      </c>
      <c r="AC4" s="3323" t="s">
        <v>2468</v>
      </c>
    </row>
    <row r="5" spans="1:29" ht="15">
      <c r="A5" s="364"/>
      <c r="B5" s="365"/>
      <c r="C5" s="3334" t="s">
        <v>2361</v>
      </c>
      <c r="D5" s="3335"/>
      <c r="E5" s="3332" t="s">
        <v>2362</v>
      </c>
      <c r="F5" s="3333"/>
      <c r="G5" s="3334" t="s">
        <v>2363</v>
      </c>
      <c r="H5" s="3335"/>
      <c r="I5" s="3334" t="s">
        <v>2364</v>
      </c>
      <c r="J5" s="3335"/>
      <c r="K5" s="567"/>
      <c r="L5" s="1044"/>
      <c r="M5" s="1045"/>
      <c r="N5" s="1045"/>
      <c r="O5" s="1045"/>
      <c r="P5" s="3347"/>
      <c r="Q5" s="3348"/>
      <c r="R5" s="3330"/>
      <c r="S5" s="3331"/>
      <c r="T5" s="3330"/>
      <c r="U5" s="3331"/>
      <c r="V5" s="3353"/>
      <c r="W5" s="3353"/>
      <c r="X5" s="1541"/>
      <c r="Y5" s="3330"/>
      <c r="Z5" s="3331"/>
      <c r="AA5" s="3324"/>
      <c r="AB5" s="3324"/>
      <c r="AC5" s="3324"/>
    </row>
    <row r="6" spans="1:29" ht="15.75" thickBot="1">
      <c r="A6" s="366"/>
      <c r="B6" s="367"/>
      <c r="C6" s="3336" t="s">
        <v>2365</v>
      </c>
      <c r="D6" s="3337"/>
      <c r="E6" s="3338" t="s">
        <v>2365</v>
      </c>
      <c r="F6" s="3339"/>
      <c r="G6" s="3336" t="s">
        <v>2365</v>
      </c>
      <c r="H6" s="3337"/>
      <c r="I6" s="3336" t="s">
        <v>2365</v>
      </c>
      <c r="J6" s="3337"/>
      <c r="K6" s="567" t="s">
        <v>2366</v>
      </c>
      <c r="L6" s="1044"/>
      <c r="M6" s="1045"/>
      <c r="N6" s="1045"/>
      <c r="O6" s="1045"/>
      <c r="P6" s="3349"/>
      <c r="Q6" s="3350"/>
      <c r="R6" s="3330"/>
      <c r="S6" s="3331"/>
      <c r="T6" s="3351"/>
      <c r="U6" s="3352"/>
      <c r="V6" s="3353"/>
      <c r="W6" s="3353"/>
      <c r="X6" s="1541"/>
      <c r="Y6" s="3351"/>
      <c r="Z6" s="3352"/>
      <c r="AA6" s="3325"/>
      <c r="AB6" s="3325"/>
      <c r="AC6" s="3325"/>
    </row>
    <row r="7" spans="1:29" s="113" customFormat="1" ht="15.75" thickBot="1">
      <c r="A7" s="368" t="s">
        <v>2367</v>
      </c>
      <c r="B7" s="369"/>
      <c r="C7" s="370">
        <f>'数据-取费表'!B2</f>
        <v>44120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6" t="s">
        <v>2368</v>
      </c>
      <c r="Q7" s="3354"/>
      <c r="R7" s="710" t="s">
        <v>17</v>
      </c>
      <c r="S7" s="711">
        <f t="shared" ref="S7:S15" si="0">F7</f>
        <v>0</v>
      </c>
      <c r="T7" s="710" t="s">
        <v>17</v>
      </c>
      <c r="U7" s="711">
        <f t="shared" ref="U7:U15" si="1">H7</f>
        <v>0</v>
      </c>
      <c r="V7" s="710" t="s">
        <v>17</v>
      </c>
      <c r="W7" s="711">
        <f t="shared" ref="W7:W15" si="2">J7</f>
        <v>0</v>
      </c>
      <c r="X7" s="712"/>
      <c r="Y7" s="3326" t="s">
        <v>2368</v>
      </c>
      <c r="Z7" s="3327"/>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6" t="s">
        <v>2371</v>
      </c>
      <c r="Q8" s="3327"/>
      <c r="R8" s="710" t="s">
        <v>17</v>
      </c>
      <c r="S8" s="711">
        <f t="shared" si="0"/>
        <v>0</v>
      </c>
      <c r="T8" s="710" t="s">
        <v>17</v>
      </c>
      <c r="U8" s="711">
        <f t="shared" si="1"/>
        <v>0</v>
      </c>
      <c r="V8" s="710" t="s">
        <v>17</v>
      </c>
      <c r="W8" s="711">
        <f t="shared" si="2"/>
        <v>0</v>
      </c>
      <c r="X8" s="712"/>
      <c r="Y8" s="3326" t="s">
        <v>2371</v>
      </c>
      <c r="Z8" s="3327"/>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8"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8"/>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8"/>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58"/>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58"/>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58"/>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0" t="s">
        <v>2379</v>
      </c>
      <c r="Q15" s="1538" t="str">
        <f t="shared" si="6"/>
        <v>产业集聚程度</v>
      </c>
      <c r="R15" s="714" t="s">
        <v>17</v>
      </c>
      <c r="S15" s="715">
        <f t="shared" si="0"/>
        <v>100</v>
      </c>
      <c r="T15" s="714" t="s">
        <v>17</v>
      </c>
      <c r="U15" s="715">
        <f t="shared" si="1"/>
        <v>100</v>
      </c>
      <c r="V15" s="714" t="s">
        <v>17</v>
      </c>
      <c r="W15" s="715">
        <f t="shared" si="2"/>
        <v>100</v>
      </c>
      <c r="X15" s="1541"/>
      <c r="Y15" s="3360"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61"/>
      <c r="Q16" s="1538"/>
      <c r="R16" s="714"/>
      <c r="S16" s="715"/>
      <c r="T16" s="714"/>
      <c r="U16" s="715"/>
      <c r="V16" s="714"/>
      <c r="W16" s="715"/>
      <c r="X16" s="1541"/>
      <c r="Y16" s="3361"/>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1"/>
      <c r="Q17" s="1538" t="str">
        <f>B17</f>
        <v>交通便捷度</v>
      </c>
      <c r="R17" s="714" t="s">
        <v>17</v>
      </c>
      <c r="S17" s="715">
        <f>F17</f>
        <v>100</v>
      </c>
      <c r="T17" s="714" t="s">
        <v>17</v>
      </c>
      <c r="U17" s="715">
        <f>H17</f>
        <v>100</v>
      </c>
      <c r="V17" s="714" t="s">
        <v>17</v>
      </c>
      <c r="W17" s="715">
        <f>J17</f>
        <v>100</v>
      </c>
      <c r="X17" s="1541"/>
      <c r="Y17" s="336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61"/>
      <c r="Q18" s="1538"/>
      <c r="R18" s="714"/>
      <c r="S18" s="715"/>
      <c r="T18" s="714"/>
      <c r="U18" s="715"/>
      <c r="V18" s="714"/>
      <c r="W18" s="715"/>
      <c r="X18" s="1541"/>
      <c r="Y18" s="3361"/>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1"/>
      <c r="Q19" s="1538" t="str">
        <f>B19</f>
        <v>公共配套设施</v>
      </c>
      <c r="R19" s="714" t="s">
        <v>17</v>
      </c>
      <c r="S19" s="715">
        <f>F19</f>
        <v>100</v>
      </c>
      <c r="T19" s="714" t="s">
        <v>17</v>
      </c>
      <c r="U19" s="715">
        <f>H19</f>
        <v>100</v>
      </c>
      <c r="V19" s="714" t="s">
        <v>17</v>
      </c>
      <c r="W19" s="715">
        <f>J19</f>
        <v>100</v>
      </c>
      <c r="X19" s="1541"/>
      <c r="Y19" s="336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61"/>
      <c r="Q20" s="1538"/>
      <c r="R20" s="714"/>
      <c r="S20" s="715"/>
      <c r="T20" s="714"/>
      <c r="U20" s="715"/>
      <c r="V20" s="714"/>
      <c r="W20" s="715"/>
      <c r="X20" s="1541"/>
      <c r="Y20" s="3361"/>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1"/>
      <c r="Q21" s="1538" t="str">
        <f>B21</f>
        <v>基础设施水平</v>
      </c>
      <c r="R21" s="714" t="s">
        <v>17</v>
      </c>
      <c r="S21" s="715">
        <f>F21</f>
        <v>100</v>
      </c>
      <c r="T21" s="714" t="s">
        <v>17</v>
      </c>
      <c r="U21" s="715">
        <f>H21</f>
        <v>100</v>
      </c>
      <c r="V21" s="714" t="s">
        <v>17</v>
      </c>
      <c r="W21" s="715">
        <f>J21</f>
        <v>100</v>
      </c>
      <c r="X21" s="1541"/>
      <c r="Y21" s="336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61"/>
      <c r="Q22" s="1538"/>
      <c r="R22" s="714"/>
      <c r="S22" s="715"/>
      <c r="T22" s="714"/>
      <c r="U22" s="715"/>
      <c r="V22" s="714"/>
      <c r="W22" s="715"/>
      <c r="X22" s="1541"/>
      <c r="Y22" s="3361"/>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1"/>
      <c r="Q23" s="1538" t="str">
        <f>B23</f>
        <v>环境质量</v>
      </c>
      <c r="R23" s="714" t="s">
        <v>17</v>
      </c>
      <c r="S23" s="715">
        <f>F23</f>
        <v>100</v>
      </c>
      <c r="T23" s="714" t="s">
        <v>17</v>
      </c>
      <c r="U23" s="715">
        <f>H23</f>
        <v>100</v>
      </c>
      <c r="V23" s="714" t="s">
        <v>17</v>
      </c>
      <c r="W23" s="715">
        <f>J23</f>
        <v>100</v>
      </c>
      <c r="X23" s="1541"/>
      <c r="Y23" s="336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61"/>
      <c r="Q24" s="1538"/>
      <c r="R24" s="714"/>
      <c r="S24" s="715"/>
      <c r="T24" s="714"/>
      <c r="U24" s="715"/>
      <c r="V24" s="714"/>
      <c r="W24" s="715"/>
      <c r="X24" s="1541"/>
      <c r="Y24" s="336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1"/>
      <c r="Q25" s="1538">
        <f>B25</f>
        <v>111</v>
      </c>
      <c r="R25" s="714" t="s">
        <v>17</v>
      </c>
      <c r="S25" s="715">
        <f>F25</f>
        <v>100</v>
      </c>
      <c r="T25" s="714" t="s">
        <v>17</v>
      </c>
      <c r="U25" s="715">
        <f>H25</f>
        <v>100</v>
      </c>
      <c r="V25" s="714" t="s">
        <v>17</v>
      </c>
      <c r="W25" s="715">
        <f>J25</f>
        <v>100</v>
      </c>
      <c r="X25" s="1541"/>
      <c r="Y25" s="336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1"/>
      <c r="Q26" s="1538">
        <f t="shared" ref="Q26:Q40" si="11">B26</f>
        <v>111</v>
      </c>
      <c r="R26" s="714" t="s">
        <v>17</v>
      </c>
      <c r="S26" s="715">
        <f>F26</f>
        <v>100</v>
      </c>
      <c r="T26" s="714" t="s">
        <v>17</v>
      </c>
      <c r="U26" s="715">
        <f>H26</f>
        <v>100</v>
      </c>
      <c r="V26" s="714" t="s">
        <v>17</v>
      </c>
      <c r="W26" s="715">
        <f>J26</f>
        <v>100</v>
      </c>
      <c r="X26" s="1541"/>
      <c r="Y26" s="336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1"/>
      <c r="Q27" s="1529">
        <f t="shared" si="11"/>
        <v>111</v>
      </c>
      <c r="R27" s="710" t="s">
        <v>17</v>
      </c>
      <c r="S27" s="711">
        <f>F27</f>
        <v>100</v>
      </c>
      <c r="T27" s="710" t="s">
        <v>17</v>
      </c>
      <c r="U27" s="711">
        <f>H27</f>
        <v>100</v>
      </c>
      <c r="V27" s="710" t="s">
        <v>17</v>
      </c>
      <c r="W27" s="711">
        <f>J27</f>
        <v>100</v>
      </c>
      <c r="X27" s="712"/>
      <c r="Y27" s="336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1"/>
      <c r="Q28" s="1538">
        <f t="shared" si="11"/>
        <v>111</v>
      </c>
      <c r="R28" s="714" t="s">
        <v>17</v>
      </c>
      <c r="S28" s="715">
        <f t="shared" ref="S28:S40" si="12">F28</f>
        <v>100</v>
      </c>
      <c r="T28" s="714" t="s">
        <v>17</v>
      </c>
      <c r="U28" s="715">
        <f t="shared" ref="U28:U40" si="13">H28</f>
        <v>100</v>
      </c>
      <c r="V28" s="714" t="s">
        <v>17</v>
      </c>
      <c r="W28" s="715">
        <f t="shared" ref="W28:W40" si="14">J28</f>
        <v>100</v>
      </c>
      <c r="X28" s="1541"/>
      <c r="Y28" s="3361"/>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69" t="s">
        <v>2384</v>
      </c>
      <c r="Q29" s="1538" t="str">
        <f t="shared" si="11"/>
        <v>建筑类型</v>
      </c>
      <c r="R29" s="714" t="s">
        <v>17</v>
      </c>
      <c r="S29" s="715">
        <f t="shared" si="12"/>
        <v>100</v>
      </c>
      <c r="T29" s="714" t="s">
        <v>17</v>
      </c>
      <c r="U29" s="715">
        <f t="shared" si="13"/>
        <v>100</v>
      </c>
      <c r="V29" s="714" t="s">
        <v>17</v>
      </c>
      <c r="W29" s="715">
        <f t="shared" si="14"/>
        <v>100</v>
      </c>
      <c r="X29" s="1541"/>
      <c r="Y29" s="3365"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5"/>
      <c r="Q30" s="716" t="str">
        <f t="shared" si="11"/>
        <v>项目建筑规模</v>
      </c>
      <c r="R30" s="717" t="s">
        <v>17</v>
      </c>
      <c r="S30" s="718" t="e">
        <f t="shared" si="12"/>
        <v>#N/A</v>
      </c>
      <c r="T30" s="717" t="s">
        <v>17</v>
      </c>
      <c r="U30" s="718" t="e">
        <f t="shared" si="13"/>
        <v>#N/A</v>
      </c>
      <c r="V30" s="717" t="s">
        <v>17</v>
      </c>
      <c r="W30" s="718" t="e">
        <f t="shared" si="14"/>
        <v>#N/A</v>
      </c>
      <c r="X30" s="719"/>
      <c r="Y30" s="3365"/>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5"/>
      <c r="Q31" s="1538" t="str">
        <f t="shared" si="11"/>
        <v>建筑结构</v>
      </c>
      <c r="R31" s="714" t="s">
        <v>17</v>
      </c>
      <c r="S31" s="715">
        <f t="shared" si="12"/>
        <v>100</v>
      </c>
      <c r="T31" s="714" t="s">
        <v>17</v>
      </c>
      <c r="U31" s="715">
        <f t="shared" si="13"/>
        <v>100</v>
      </c>
      <c r="V31" s="714" t="s">
        <v>17</v>
      </c>
      <c r="W31" s="715">
        <f t="shared" si="14"/>
        <v>100</v>
      </c>
      <c r="X31" s="1541"/>
      <c r="Y31" s="3365"/>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5"/>
      <c r="Q32" s="1538" t="str">
        <f t="shared" si="11"/>
        <v>公共部分装修</v>
      </c>
      <c r="R32" s="714" t="s">
        <v>17</v>
      </c>
      <c r="S32" s="715">
        <f t="shared" si="12"/>
        <v>100</v>
      </c>
      <c r="T32" s="714" t="s">
        <v>17</v>
      </c>
      <c r="U32" s="715">
        <f t="shared" si="13"/>
        <v>100</v>
      </c>
      <c r="V32" s="714" t="s">
        <v>17</v>
      </c>
      <c r="W32" s="715">
        <f t="shared" si="14"/>
        <v>100</v>
      </c>
      <c r="X32" s="1541"/>
      <c r="Y32" s="3365"/>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5"/>
      <c r="Q33" s="1538" t="str">
        <f t="shared" si="11"/>
        <v>成新度</v>
      </c>
      <c r="R33" s="714" t="s">
        <v>17</v>
      </c>
      <c r="S33" s="715" t="e">
        <f t="shared" si="12"/>
        <v>#N/A</v>
      </c>
      <c r="T33" s="714" t="s">
        <v>17</v>
      </c>
      <c r="U33" s="715" t="e">
        <f t="shared" si="13"/>
        <v>#N/A</v>
      </c>
      <c r="V33" s="714" t="s">
        <v>17</v>
      </c>
      <c r="W33" s="715" t="e">
        <f t="shared" si="14"/>
        <v>#N/A</v>
      </c>
      <c r="X33" s="1541"/>
      <c r="Y33" s="3365"/>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5"/>
      <c r="Q34" s="1529" t="str">
        <f t="shared" si="11"/>
        <v>物业管理</v>
      </c>
      <c r="R34" s="710" t="s">
        <v>17</v>
      </c>
      <c r="S34" s="711">
        <f t="shared" si="12"/>
        <v>100</v>
      </c>
      <c r="T34" s="710" t="s">
        <v>17</v>
      </c>
      <c r="U34" s="711">
        <f t="shared" si="13"/>
        <v>100</v>
      </c>
      <c r="V34" s="710" t="s">
        <v>17</v>
      </c>
      <c r="W34" s="711">
        <f t="shared" si="14"/>
        <v>100</v>
      </c>
      <c r="X34" s="712"/>
      <c r="Y34" s="3365"/>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5" t="s">
        <v>2384</v>
      </c>
      <c r="Q35" s="1538" t="str">
        <f t="shared" si="11"/>
        <v>市政基础设施</v>
      </c>
      <c r="R35" s="714" t="s">
        <v>17</v>
      </c>
      <c r="S35" s="715">
        <f t="shared" si="12"/>
        <v>100</v>
      </c>
      <c r="T35" s="714" t="s">
        <v>17</v>
      </c>
      <c r="U35" s="715">
        <f t="shared" si="13"/>
        <v>100</v>
      </c>
      <c r="V35" s="714" t="s">
        <v>17</v>
      </c>
      <c r="W35" s="715">
        <f t="shared" si="14"/>
        <v>100</v>
      </c>
      <c r="X35" s="1541"/>
      <c r="Y35" s="3365"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5"/>
      <c r="Q36" s="1538" t="str">
        <f t="shared" si="11"/>
        <v>内部装修</v>
      </c>
      <c r="R36" s="714" t="s">
        <v>17</v>
      </c>
      <c r="S36" s="715">
        <f t="shared" si="12"/>
        <v>100</v>
      </c>
      <c r="T36" s="714" t="s">
        <v>17</v>
      </c>
      <c r="U36" s="715">
        <f t="shared" si="13"/>
        <v>100</v>
      </c>
      <c r="V36" s="714" t="s">
        <v>17</v>
      </c>
      <c r="W36" s="715">
        <f t="shared" si="14"/>
        <v>100</v>
      </c>
      <c r="X36" s="1541"/>
      <c r="Y36" s="3365"/>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5"/>
      <c r="Q37" s="1538" t="str">
        <f t="shared" si="11"/>
        <v>内部装修状况</v>
      </c>
      <c r="R37" s="714" t="s">
        <v>17</v>
      </c>
      <c r="S37" s="715">
        <f t="shared" si="12"/>
        <v>100</v>
      </c>
      <c r="T37" s="714" t="s">
        <v>17</v>
      </c>
      <c r="U37" s="715">
        <f t="shared" si="13"/>
        <v>100</v>
      </c>
      <c r="V37" s="714" t="s">
        <v>17</v>
      </c>
      <c r="W37" s="715">
        <f t="shared" si="14"/>
        <v>100</v>
      </c>
      <c r="X37" s="1541"/>
      <c r="Y37" s="336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5"/>
      <c r="Q38" s="716">
        <f t="shared" si="11"/>
        <v>111</v>
      </c>
      <c r="R38" s="717" t="s">
        <v>17</v>
      </c>
      <c r="S38" s="718">
        <f t="shared" si="12"/>
        <v>100</v>
      </c>
      <c r="T38" s="717" t="s">
        <v>17</v>
      </c>
      <c r="U38" s="718">
        <f t="shared" si="13"/>
        <v>100</v>
      </c>
      <c r="V38" s="717" t="s">
        <v>17</v>
      </c>
      <c r="W38" s="718">
        <f t="shared" si="14"/>
        <v>100</v>
      </c>
      <c r="X38" s="719"/>
      <c r="Y38" s="336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5"/>
      <c r="Q39" s="1538">
        <f t="shared" si="11"/>
        <v>111</v>
      </c>
      <c r="R39" s="714" t="s">
        <v>17</v>
      </c>
      <c r="S39" s="715">
        <f t="shared" si="12"/>
        <v>100</v>
      </c>
      <c r="T39" s="714" t="s">
        <v>17</v>
      </c>
      <c r="U39" s="715">
        <f t="shared" si="13"/>
        <v>100</v>
      </c>
      <c r="V39" s="714" t="s">
        <v>17</v>
      </c>
      <c r="W39" s="715">
        <f t="shared" si="14"/>
        <v>100</v>
      </c>
      <c r="X39" s="1541"/>
      <c r="Y39" s="336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6"/>
      <c r="Q40" s="1538">
        <f t="shared" si="11"/>
        <v>111</v>
      </c>
      <c r="R40" s="714" t="s">
        <v>17</v>
      </c>
      <c r="S40" s="715">
        <f t="shared" si="12"/>
        <v>100</v>
      </c>
      <c r="T40" s="714" t="s">
        <v>17</v>
      </c>
      <c r="U40" s="715">
        <f t="shared" si="13"/>
        <v>100</v>
      </c>
      <c r="V40" s="714" t="s">
        <v>17</v>
      </c>
      <c r="W40" s="715">
        <f t="shared" si="14"/>
        <v>100</v>
      </c>
      <c r="X40" s="1541"/>
      <c r="Y40" s="3366"/>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58" t="str">
        <f>A41</f>
        <v>成交单价（元/平方米）</v>
      </c>
      <c r="Q41" s="3358"/>
      <c r="R41" s="3359">
        <f>E41</f>
        <v>0</v>
      </c>
      <c r="S41" s="3359"/>
      <c r="T41" s="3359">
        <f>G41</f>
        <v>0</v>
      </c>
      <c r="U41" s="3359"/>
      <c r="V41" s="3359">
        <f>I41</f>
        <v>0</v>
      </c>
      <c r="W41" s="3359"/>
      <c r="X41" s="699"/>
      <c r="Y41" s="721"/>
      <c r="Z41" s="699"/>
      <c r="AA41" s="699"/>
      <c r="AB41" s="699"/>
      <c r="AC41" s="699"/>
    </row>
    <row r="42" spans="1:29" ht="15.75" thickBot="1">
      <c r="A42" s="445" t="s">
        <v>2488</v>
      </c>
      <c r="B42" s="446"/>
      <c r="C42" s="1322" t="e">
        <f>R43</f>
        <v>#DIV/0!</v>
      </c>
      <c r="D42" s="2540" t="s">
        <v>2878</v>
      </c>
      <c r="E42" s="1323" t="e">
        <f>R42</f>
        <v>#DIV/0!</v>
      </c>
      <c r="F42" s="2541"/>
      <c r="G42" s="1322" t="e">
        <f>T42</f>
        <v>#DIV/0!</v>
      </c>
      <c r="H42" s="2541"/>
      <c r="I42" s="1323" t="e">
        <f>V42</f>
        <v>#DIV/0!</v>
      </c>
      <c r="J42" s="2541"/>
      <c r="K42" s="2543">
        <f>F42+H42+J42</f>
        <v>0</v>
      </c>
      <c r="L42" s="1057"/>
      <c r="M42" s="1058"/>
      <c r="N42" s="1045"/>
      <c r="O42" s="1058"/>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0"/>
      <c r="O54" s="3001"/>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受贵公司委托，我公司对北京市丰台区芳群园三区4号楼(中乐六星酒店)房地产抵押价值进行了预评估。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估价对象为北京市丰台区芳群园三区4号楼(中乐六星酒店)房地产，为所有。根据，估价对象（分摊）出让国有建设用地使用权面积为5000平方米，建筑面积为30509.72平方米。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芳群园三区4号楼(中乐六星酒店)房地产,属开发建设的商业项目，该项目尚在开发建设中。根据，估价对象（分摊）出让国有建设用地使用权面积为5000平方米，规划建筑面积为30509.72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丰台区芳群园三区4号楼(中乐六星酒店)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2020年10月16日（评估专业人员实地查勘之日）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16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28" t="s">
        <v>2466</v>
      </c>
      <c r="S4" s="3329"/>
      <c r="T4" s="3328" t="s">
        <v>2467</v>
      </c>
      <c r="U4" s="3329"/>
      <c r="V4" s="3353" t="s">
        <v>2468</v>
      </c>
      <c r="W4" s="3353"/>
      <c r="X4" s="1541"/>
      <c r="Y4" s="3328" t="s">
        <v>2470</v>
      </c>
      <c r="Z4" s="3329"/>
      <c r="AA4" s="3323" t="s">
        <v>2466</v>
      </c>
      <c r="AB4" s="3324" t="s">
        <v>2467</v>
      </c>
      <c r="AC4" s="3323" t="s">
        <v>2468</v>
      </c>
    </row>
    <row r="5" spans="1:29" ht="15">
      <c r="A5" s="364"/>
      <c r="B5" s="365"/>
      <c r="C5" s="3334" t="s">
        <v>2361</v>
      </c>
      <c r="D5" s="3335"/>
      <c r="E5" s="3332" t="s">
        <v>2362</v>
      </c>
      <c r="F5" s="3333"/>
      <c r="G5" s="3334" t="s">
        <v>2363</v>
      </c>
      <c r="H5" s="3335"/>
      <c r="I5" s="3334" t="s">
        <v>2364</v>
      </c>
      <c r="J5" s="3335"/>
      <c r="K5" s="567"/>
      <c r="L5" s="2945"/>
      <c r="M5" s="2946"/>
      <c r="N5" s="2946"/>
      <c r="O5" s="2946"/>
      <c r="P5" s="3347"/>
      <c r="Q5" s="3348"/>
      <c r="R5" s="3330"/>
      <c r="S5" s="3331"/>
      <c r="T5" s="3330"/>
      <c r="U5" s="3331"/>
      <c r="V5" s="3353"/>
      <c r="W5" s="3353"/>
      <c r="X5" s="1541"/>
      <c r="Y5" s="3330"/>
      <c r="Z5" s="3331"/>
      <c r="AA5" s="3324"/>
      <c r="AB5" s="3324"/>
      <c r="AC5" s="3324"/>
    </row>
    <row r="6" spans="1:29" ht="15.75" thickBot="1">
      <c r="A6" s="366"/>
      <c r="B6" s="367"/>
      <c r="C6" s="3336" t="s">
        <v>2365</v>
      </c>
      <c r="D6" s="3337"/>
      <c r="E6" s="3338" t="s">
        <v>2365</v>
      </c>
      <c r="F6" s="3339"/>
      <c r="G6" s="3336" t="s">
        <v>2365</v>
      </c>
      <c r="H6" s="3337"/>
      <c r="I6" s="3336" t="s">
        <v>2365</v>
      </c>
      <c r="J6" s="3337"/>
      <c r="K6" s="567" t="s">
        <v>2366</v>
      </c>
      <c r="L6" s="2945"/>
      <c r="M6" s="2946"/>
      <c r="N6" s="2946"/>
      <c r="O6" s="2946"/>
      <c r="P6" s="3349"/>
      <c r="Q6" s="3350"/>
      <c r="R6" s="3330"/>
      <c r="S6" s="3331"/>
      <c r="T6" s="3351"/>
      <c r="U6" s="3352"/>
      <c r="V6" s="3353"/>
      <c r="W6" s="3353"/>
      <c r="X6" s="1541"/>
      <c r="Y6" s="3351"/>
      <c r="Z6" s="3352"/>
      <c r="AA6" s="3325"/>
      <c r="AB6" s="3325"/>
      <c r="AC6" s="3325"/>
    </row>
    <row r="7" spans="1:29" s="113" customFormat="1" ht="15.75" thickBot="1">
      <c r="A7" s="368" t="s">
        <v>2367</v>
      </c>
      <c r="B7" s="369"/>
      <c r="C7" s="370">
        <f>'数据-取费表'!B2</f>
        <v>44120</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26" t="s">
        <v>2368</v>
      </c>
      <c r="Q7" s="3354"/>
      <c r="R7" s="710" t="s">
        <v>17</v>
      </c>
      <c r="S7" s="711">
        <f t="shared" ref="S7:S14" si="0">F7</f>
        <v>0</v>
      </c>
      <c r="T7" s="710" t="s">
        <v>17</v>
      </c>
      <c r="U7" s="711">
        <f t="shared" ref="U7:U14" si="1">H7</f>
        <v>0</v>
      </c>
      <c r="V7" s="710" t="s">
        <v>17</v>
      </c>
      <c r="W7" s="711">
        <f t="shared" ref="W7:W14" si="2">J7</f>
        <v>0</v>
      </c>
      <c r="X7" s="712"/>
      <c r="Y7" s="3326" t="s">
        <v>2368</v>
      </c>
      <c r="Z7" s="3327"/>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26" t="s">
        <v>2371</v>
      </c>
      <c r="Q8" s="3327"/>
      <c r="R8" s="710" t="s">
        <v>17</v>
      </c>
      <c r="S8" s="711">
        <f t="shared" si="0"/>
        <v>0</v>
      </c>
      <c r="T8" s="710" t="s">
        <v>17</v>
      </c>
      <c r="U8" s="711">
        <f t="shared" si="1"/>
        <v>0</v>
      </c>
      <c r="V8" s="710" t="s">
        <v>17</v>
      </c>
      <c r="W8" s="711">
        <f t="shared" si="2"/>
        <v>0</v>
      </c>
      <c r="X8" s="712"/>
      <c r="Y8" s="3326" t="s">
        <v>2371</v>
      </c>
      <c r="Z8" s="3327"/>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58" t="s">
        <v>2374</v>
      </c>
      <c r="Q9" s="1529" t="str">
        <f t="shared" ref="Q9:Q14" si="6">B9</f>
        <v>用途</v>
      </c>
      <c r="R9" s="710" t="s">
        <v>17</v>
      </c>
      <c r="S9" s="711">
        <f t="shared" si="0"/>
        <v>100</v>
      </c>
      <c r="T9" s="710" t="s">
        <v>17</v>
      </c>
      <c r="U9" s="711">
        <f t="shared" si="1"/>
        <v>100</v>
      </c>
      <c r="V9" s="710" t="s">
        <v>17</v>
      </c>
      <c r="W9" s="711">
        <f t="shared" si="2"/>
        <v>100</v>
      </c>
      <c r="X9" s="712"/>
      <c r="Y9" s="3240"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58"/>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58"/>
      <c r="Q11" s="1529">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58"/>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58"/>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60" t="s">
        <v>2379</v>
      </c>
      <c r="Q14" s="1538" t="str">
        <f t="shared" si="6"/>
        <v>交通便捷度</v>
      </c>
      <c r="R14" s="714" t="s">
        <v>17</v>
      </c>
      <c r="S14" s="715">
        <f t="shared" si="0"/>
        <v>100</v>
      </c>
      <c r="T14" s="714" t="s">
        <v>17</v>
      </c>
      <c r="U14" s="715">
        <f t="shared" si="1"/>
        <v>100</v>
      </c>
      <c r="V14" s="714" t="s">
        <v>17</v>
      </c>
      <c r="W14" s="715">
        <f t="shared" si="2"/>
        <v>100</v>
      </c>
      <c r="X14" s="1541"/>
      <c r="Y14" s="3360"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2"/>
      <c r="M15" s="2946"/>
      <c r="N15" s="2946"/>
      <c r="O15" s="2946"/>
      <c r="P15" s="3361"/>
      <c r="Q15" s="1538"/>
      <c r="R15" s="714"/>
      <c r="S15" s="715"/>
      <c r="T15" s="714"/>
      <c r="U15" s="715"/>
      <c r="V15" s="714"/>
      <c r="W15" s="715"/>
      <c r="X15" s="1541"/>
      <c r="Y15" s="3361"/>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61"/>
      <c r="Q16" s="1538" t="str">
        <f>B16</f>
        <v>公共配套设施</v>
      </c>
      <c r="R16" s="714" t="s">
        <v>17</v>
      </c>
      <c r="S16" s="715">
        <f>F16</f>
        <v>100</v>
      </c>
      <c r="T16" s="714" t="s">
        <v>17</v>
      </c>
      <c r="U16" s="715">
        <f>H16</f>
        <v>100</v>
      </c>
      <c r="V16" s="714" t="s">
        <v>17</v>
      </c>
      <c r="W16" s="715">
        <f>J16</f>
        <v>100</v>
      </c>
      <c r="X16" s="1541"/>
      <c r="Y16" s="336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2"/>
      <c r="M17" s="2946"/>
      <c r="N17" s="2946"/>
      <c r="O17" s="2946"/>
      <c r="P17" s="3361"/>
      <c r="Q17" s="1538"/>
      <c r="R17" s="714"/>
      <c r="S17" s="715"/>
      <c r="T17" s="714"/>
      <c r="U17" s="715"/>
      <c r="V17" s="714"/>
      <c r="W17" s="715"/>
      <c r="X17" s="1541"/>
      <c r="Y17" s="3361"/>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61"/>
      <c r="Q18" s="1538" t="str">
        <f>B18</f>
        <v>基础设施水平</v>
      </c>
      <c r="R18" s="714" t="s">
        <v>17</v>
      </c>
      <c r="S18" s="715">
        <f>F18</f>
        <v>100</v>
      </c>
      <c r="T18" s="714" t="s">
        <v>17</v>
      </c>
      <c r="U18" s="715">
        <f>H18</f>
        <v>100</v>
      </c>
      <c r="V18" s="714" t="s">
        <v>17</v>
      </c>
      <c r="W18" s="715">
        <f>J18</f>
        <v>100</v>
      </c>
      <c r="X18" s="1541"/>
      <c r="Y18" s="336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2"/>
      <c r="M19" s="2946"/>
      <c r="N19" s="2946"/>
      <c r="O19" s="2946"/>
      <c r="P19" s="3361"/>
      <c r="Q19" s="1538"/>
      <c r="R19" s="714"/>
      <c r="S19" s="715"/>
      <c r="T19" s="714"/>
      <c r="U19" s="715"/>
      <c r="V19" s="714"/>
      <c r="W19" s="715"/>
      <c r="X19" s="1541"/>
      <c r="Y19" s="3361"/>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61"/>
      <c r="Q20" s="1538" t="str">
        <f>B20</f>
        <v>自然及人文环境</v>
      </c>
      <c r="R20" s="714" t="s">
        <v>17</v>
      </c>
      <c r="S20" s="715">
        <f>F20</f>
        <v>100</v>
      </c>
      <c r="T20" s="714" t="s">
        <v>17</v>
      </c>
      <c r="U20" s="715">
        <f>H20</f>
        <v>100</v>
      </c>
      <c r="V20" s="714" t="s">
        <v>17</v>
      </c>
      <c r="W20" s="715">
        <f>J20</f>
        <v>100</v>
      </c>
      <c r="X20" s="1541"/>
      <c r="Y20" s="336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2"/>
      <c r="M21" s="2946"/>
      <c r="N21" s="2946"/>
      <c r="O21" s="2946"/>
      <c r="P21" s="3361"/>
      <c r="Q21" s="1538"/>
      <c r="R21" s="714"/>
      <c r="S21" s="715"/>
      <c r="T21" s="714"/>
      <c r="U21" s="715"/>
      <c r="V21" s="714"/>
      <c r="W21" s="715"/>
      <c r="X21" s="1541"/>
      <c r="Y21" s="3361"/>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61"/>
      <c r="Q22" s="1538" t="str">
        <f>B22</f>
        <v>楼层</v>
      </c>
      <c r="R22" s="714" t="s">
        <v>17</v>
      </c>
      <c r="S22" s="715">
        <f>F22</f>
        <v>100</v>
      </c>
      <c r="T22" s="714" t="s">
        <v>17</v>
      </c>
      <c r="U22" s="715">
        <f>H22</f>
        <v>100</v>
      </c>
      <c r="V22" s="714" t="s">
        <v>17</v>
      </c>
      <c r="W22" s="715">
        <f>J22</f>
        <v>100</v>
      </c>
      <c r="X22" s="1541"/>
      <c r="Y22" s="336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61"/>
      <c r="Q23" s="1538">
        <f>B23</f>
        <v>111</v>
      </c>
      <c r="R23" s="714" t="s">
        <v>17</v>
      </c>
      <c r="S23" s="715">
        <f>F23</f>
        <v>100</v>
      </c>
      <c r="T23" s="714" t="s">
        <v>17</v>
      </c>
      <c r="U23" s="715">
        <f>H23</f>
        <v>100</v>
      </c>
      <c r="V23" s="714" t="s">
        <v>17</v>
      </c>
      <c r="W23" s="715">
        <f>J23</f>
        <v>100</v>
      </c>
      <c r="X23" s="1541"/>
      <c r="Y23" s="336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61"/>
      <c r="Q24" s="1538">
        <f t="shared" ref="Q24:Q36" si="11">B24</f>
        <v>111</v>
      </c>
      <c r="R24" s="714" t="s">
        <v>17</v>
      </c>
      <c r="S24" s="715">
        <f>F24</f>
        <v>100</v>
      </c>
      <c r="T24" s="714" t="s">
        <v>17</v>
      </c>
      <c r="U24" s="715">
        <f>H24</f>
        <v>100</v>
      </c>
      <c r="V24" s="714" t="s">
        <v>17</v>
      </c>
      <c r="W24" s="715">
        <f>J24</f>
        <v>100</v>
      </c>
      <c r="X24" s="1541"/>
      <c r="Y24" s="336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61"/>
      <c r="Q25" s="1529">
        <f t="shared" si="11"/>
        <v>111</v>
      </c>
      <c r="R25" s="710" t="s">
        <v>17</v>
      </c>
      <c r="S25" s="711">
        <f>F25</f>
        <v>100</v>
      </c>
      <c r="T25" s="710" t="s">
        <v>17</v>
      </c>
      <c r="U25" s="711">
        <f>H25</f>
        <v>100</v>
      </c>
      <c r="V25" s="710" t="s">
        <v>17</v>
      </c>
      <c r="W25" s="711">
        <f>J25</f>
        <v>100</v>
      </c>
      <c r="X25" s="712"/>
      <c r="Y25" s="3361"/>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9"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65"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65"/>
      <c r="Q27" s="716" t="str">
        <f t="shared" si="11"/>
        <v>项目停车位配比</v>
      </c>
      <c r="R27" s="717" t="s">
        <v>17</v>
      </c>
      <c r="S27" s="718">
        <f t="shared" si="12"/>
        <v>100</v>
      </c>
      <c r="T27" s="717" t="s">
        <v>17</v>
      </c>
      <c r="U27" s="718">
        <f t="shared" si="13"/>
        <v>100</v>
      </c>
      <c r="V27" s="717" t="s">
        <v>17</v>
      </c>
      <c r="W27" s="718">
        <f t="shared" si="14"/>
        <v>100</v>
      </c>
      <c r="X27" s="719"/>
      <c r="Y27" s="3365"/>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65"/>
      <c r="Q28" s="1538" t="str">
        <f t="shared" si="11"/>
        <v>公共部分装修</v>
      </c>
      <c r="R28" s="714" t="s">
        <v>17</v>
      </c>
      <c r="S28" s="715">
        <f t="shared" si="12"/>
        <v>100</v>
      </c>
      <c r="T28" s="714" t="s">
        <v>17</v>
      </c>
      <c r="U28" s="715">
        <f t="shared" si="13"/>
        <v>100</v>
      </c>
      <c r="V28" s="714" t="s">
        <v>17</v>
      </c>
      <c r="W28" s="715">
        <f t="shared" si="14"/>
        <v>100</v>
      </c>
      <c r="X28" s="1541"/>
      <c r="Y28" s="3365"/>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65"/>
      <c r="Q29" s="1538" t="str">
        <f t="shared" si="11"/>
        <v>成新率</v>
      </c>
      <c r="R29" s="714" t="s">
        <v>17</v>
      </c>
      <c r="S29" s="715" t="e">
        <f t="shared" si="12"/>
        <v>#N/A</v>
      </c>
      <c r="T29" s="714" t="s">
        <v>17</v>
      </c>
      <c r="U29" s="715" t="e">
        <f t="shared" si="13"/>
        <v>#N/A</v>
      </c>
      <c r="V29" s="714" t="s">
        <v>17</v>
      </c>
      <c r="W29" s="715" t="e">
        <f t="shared" si="14"/>
        <v>#N/A</v>
      </c>
      <c r="X29" s="1541"/>
      <c r="Y29" s="3365"/>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65"/>
      <c r="Q30" s="1538" t="str">
        <f t="shared" si="11"/>
        <v>物业等级</v>
      </c>
      <c r="R30" s="714" t="s">
        <v>17</v>
      </c>
      <c r="S30" s="715">
        <f t="shared" si="12"/>
        <v>100</v>
      </c>
      <c r="T30" s="714" t="s">
        <v>17</v>
      </c>
      <c r="U30" s="715">
        <f t="shared" si="13"/>
        <v>100</v>
      </c>
      <c r="V30" s="714" t="s">
        <v>17</v>
      </c>
      <c r="W30" s="715">
        <f t="shared" si="14"/>
        <v>100</v>
      </c>
      <c r="X30" s="1541"/>
      <c r="Y30" s="3365"/>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65"/>
      <c r="Q31" s="1529" t="str">
        <f t="shared" si="11"/>
        <v>停车位面积</v>
      </c>
      <c r="R31" s="710" t="s">
        <v>17</v>
      </c>
      <c r="S31" s="711" t="e">
        <f t="shared" si="12"/>
        <v>#N/A</v>
      </c>
      <c r="T31" s="710" t="s">
        <v>17</v>
      </c>
      <c r="U31" s="711" t="e">
        <f t="shared" si="13"/>
        <v>#N/A</v>
      </c>
      <c r="V31" s="710" t="s">
        <v>17</v>
      </c>
      <c r="W31" s="711" t="e">
        <f t="shared" si="14"/>
        <v>#N/A</v>
      </c>
      <c r="X31" s="712"/>
      <c r="Y31" s="3365"/>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65" t="s">
        <v>2384</v>
      </c>
      <c r="Q32" s="1538" t="str">
        <f t="shared" si="11"/>
        <v>车位类型</v>
      </c>
      <c r="R32" s="714" t="s">
        <v>17</v>
      </c>
      <c r="S32" s="715">
        <f t="shared" si="12"/>
        <v>100</v>
      </c>
      <c r="T32" s="714" t="s">
        <v>17</v>
      </c>
      <c r="U32" s="715">
        <f t="shared" si="13"/>
        <v>100</v>
      </c>
      <c r="V32" s="714" t="s">
        <v>17</v>
      </c>
      <c r="W32" s="715">
        <f t="shared" si="14"/>
        <v>100</v>
      </c>
      <c r="X32" s="1541"/>
      <c r="Y32" s="3365"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65"/>
      <c r="Q33" s="1538" t="str">
        <f t="shared" si="11"/>
        <v>是否直接入户</v>
      </c>
      <c r="R33" s="714" t="s">
        <v>17</v>
      </c>
      <c r="S33" s="715">
        <f t="shared" si="12"/>
        <v>100</v>
      </c>
      <c r="T33" s="714" t="s">
        <v>17</v>
      </c>
      <c r="U33" s="715">
        <f t="shared" si="13"/>
        <v>100</v>
      </c>
      <c r="V33" s="714" t="s">
        <v>17</v>
      </c>
      <c r="W33" s="715">
        <f t="shared" si="14"/>
        <v>100</v>
      </c>
      <c r="X33" s="1541"/>
      <c r="Y33" s="336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65"/>
      <c r="Q34" s="1538">
        <f t="shared" si="11"/>
        <v>111</v>
      </c>
      <c r="R34" s="714" t="s">
        <v>17</v>
      </c>
      <c r="S34" s="715">
        <f t="shared" si="12"/>
        <v>100</v>
      </c>
      <c r="T34" s="714" t="s">
        <v>17</v>
      </c>
      <c r="U34" s="715">
        <f t="shared" si="13"/>
        <v>100</v>
      </c>
      <c r="V34" s="714" t="s">
        <v>17</v>
      </c>
      <c r="W34" s="715">
        <f t="shared" si="14"/>
        <v>100</v>
      </c>
      <c r="X34" s="1541"/>
      <c r="Y34" s="336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65"/>
      <c r="Q35" s="716">
        <f t="shared" si="11"/>
        <v>111</v>
      </c>
      <c r="R35" s="717" t="s">
        <v>17</v>
      </c>
      <c r="S35" s="718">
        <f t="shared" si="12"/>
        <v>100</v>
      </c>
      <c r="T35" s="717" t="s">
        <v>17</v>
      </c>
      <c r="U35" s="718">
        <f t="shared" si="13"/>
        <v>100</v>
      </c>
      <c r="V35" s="717" t="s">
        <v>17</v>
      </c>
      <c r="W35" s="718">
        <f t="shared" si="14"/>
        <v>100</v>
      </c>
      <c r="X35" s="719"/>
      <c r="Y35" s="336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65"/>
      <c r="Q36" s="1538">
        <f t="shared" si="11"/>
        <v>111</v>
      </c>
      <c r="R36" s="714" t="s">
        <v>17</v>
      </c>
      <c r="S36" s="715">
        <f t="shared" si="12"/>
        <v>100</v>
      </c>
      <c r="T36" s="714" t="s">
        <v>17</v>
      </c>
      <c r="U36" s="715">
        <f t="shared" si="13"/>
        <v>100</v>
      </c>
      <c r="V36" s="714" t="s">
        <v>17</v>
      </c>
      <c r="W36" s="715">
        <f t="shared" si="14"/>
        <v>100</v>
      </c>
      <c r="X36" s="1541"/>
      <c r="Y36" s="3365"/>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4"/>
      <c r="M37" s="2955"/>
      <c r="N37" s="2946"/>
      <c r="O37" s="2955"/>
      <c r="P37" s="3358" t="str">
        <f>A37</f>
        <v>成交单价</v>
      </c>
      <c r="Q37" s="3358"/>
      <c r="R37" s="3359">
        <f>E37</f>
        <v>0</v>
      </c>
      <c r="S37" s="3359"/>
      <c r="T37" s="3359">
        <f>G37</f>
        <v>0</v>
      </c>
      <c r="U37" s="3359"/>
      <c r="V37" s="3359">
        <f>I37</f>
        <v>0</v>
      </c>
      <c r="W37" s="3359"/>
      <c r="X37" s="699"/>
      <c r="Y37" s="721"/>
      <c r="Z37" s="699"/>
      <c r="AA37" s="699"/>
      <c r="AB37" s="699"/>
      <c r="AC37" s="699"/>
    </row>
    <row r="38" spans="1:29" ht="15.75" thickBot="1">
      <c r="A38" s="445" t="s">
        <v>2541</v>
      </c>
      <c r="B38" s="446" t="str">
        <f>B37</f>
        <v>元/车位</v>
      </c>
      <c r="C38" s="1322" t="e">
        <f>R39</f>
        <v>#DIV/0!</v>
      </c>
      <c r="D38" s="2540" t="s">
        <v>2878</v>
      </c>
      <c r="E38" s="1323" t="e">
        <f>R38</f>
        <v>#DIV/0!</v>
      </c>
      <c r="F38" s="2541"/>
      <c r="G38" s="1322" t="e">
        <f>T38</f>
        <v>#DIV/0!</v>
      </c>
      <c r="H38" s="2541"/>
      <c r="I38" s="1323" t="e">
        <f>V38</f>
        <v>#DIV/0!</v>
      </c>
      <c r="J38" s="2541"/>
      <c r="K38" s="2543">
        <f>F38+H38+J38</f>
        <v>0</v>
      </c>
      <c r="L38" s="2954"/>
      <c r="M38" s="2955"/>
      <c r="N38" s="2955"/>
      <c r="O38" s="2955"/>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4"/>
      <c r="M39" s="2955"/>
      <c r="N39" s="2955"/>
      <c r="O39" s="2955"/>
      <c r="P39" s="3355" t="str">
        <f>A39</f>
        <v>估价对象XX用房的比较价值（楼面单价，元/平方米）</v>
      </c>
      <c r="Q39" s="3356"/>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2546</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2547</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0"/>
      <c r="Q50" s="2969"/>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2"/>
      <c r="O51" s="2982"/>
      <c r="P51" s="2991"/>
      <c r="Q51" s="2969"/>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2422</v>
      </c>
      <c r="C65" s="535" t="s">
        <v>2416</v>
      </c>
      <c r="D65" s="535" t="s">
        <v>2417</v>
      </c>
      <c r="E65" s="535" t="s">
        <v>2418</v>
      </c>
      <c r="F65" s="535" t="s">
        <v>2419</v>
      </c>
      <c r="G65" s="535" t="s">
        <v>2420</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2508</v>
      </c>
      <c r="C67" s="616" t="s">
        <v>2494</v>
      </c>
      <c r="D67" s="616" t="s">
        <v>2495</v>
      </c>
      <c r="E67" s="616" t="s">
        <v>2496</v>
      </c>
      <c r="F67" s="616" t="s">
        <v>2497</v>
      </c>
      <c r="G67" s="616" t="s">
        <v>2498</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2428</v>
      </c>
      <c r="C69" s="535" t="s">
        <v>2416</v>
      </c>
      <c r="D69" s="535" t="s">
        <v>2417</v>
      </c>
      <c r="E69" s="535" t="s">
        <v>2418</v>
      </c>
      <c r="F69" s="535" t="s">
        <v>2419</v>
      </c>
      <c r="G69" s="535" t="s">
        <v>2420</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2548</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4"/>
      <c r="O74" s="2984"/>
      <c r="P74" s="2992"/>
      <c r="Q74" s="2969"/>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4"/>
      <c r="O76" s="2984"/>
      <c r="P76" s="2992"/>
      <c r="Q76" s="2969"/>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2382</v>
      </c>
      <c r="B79" s="485" t="s">
        <v>2549</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2550</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2435</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2552</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2554</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2555</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28" t="s">
        <v>2466</v>
      </c>
      <c r="S4" s="3329"/>
      <c r="T4" s="3328" t="s">
        <v>2467</v>
      </c>
      <c r="U4" s="3329"/>
      <c r="V4" s="3353" t="s">
        <v>2468</v>
      </c>
      <c r="W4" s="3353"/>
      <c r="X4" s="1541"/>
      <c r="Y4" s="3328" t="s">
        <v>2470</v>
      </c>
      <c r="Z4" s="3329"/>
      <c r="AA4" s="3323" t="s">
        <v>2466</v>
      </c>
      <c r="AB4" s="3324" t="s">
        <v>2467</v>
      </c>
      <c r="AC4" s="3323" t="s">
        <v>2468</v>
      </c>
    </row>
    <row r="5" spans="1:29" ht="15">
      <c r="A5" s="364"/>
      <c r="B5" s="365"/>
      <c r="C5" s="3334" t="s">
        <v>2361</v>
      </c>
      <c r="D5" s="3335"/>
      <c r="E5" s="3332" t="s">
        <v>2362</v>
      </c>
      <c r="F5" s="3333"/>
      <c r="G5" s="3334" t="s">
        <v>2363</v>
      </c>
      <c r="H5" s="3335"/>
      <c r="I5" s="3334" t="s">
        <v>2364</v>
      </c>
      <c r="J5" s="3335"/>
      <c r="K5" s="567"/>
      <c r="L5" s="2945"/>
      <c r="M5" s="2946"/>
      <c r="N5" s="2946"/>
      <c r="O5" s="2946"/>
      <c r="P5" s="3347"/>
      <c r="Q5" s="3348"/>
      <c r="R5" s="3330"/>
      <c r="S5" s="3331"/>
      <c r="T5" s="3330"/>
      <c r="U5" s="3331"/>
      <c r="V5" s="3353"/>
      <c r="W5" s="3353"/>
      <c r="X5" s="1541"/>
      <c r="Y5" s="3330"/>
      <c r="Z5" s="3331"/>
      <c r="AA5" s="3324"/>
      <c r="AB5" s="3324"/>
      <c r="AC5" s="3324"/>
    </row>
    <row r="6" spans="1:29" ht="15.75" thickBot="1">
      <c r="A6" s="366"/>
      <c r="B6" s="367"/>
      <c r="C6" s="3336" t="s">
        <v>2365</v>
      </c>
      <c r="D6" s="3337"/>
      <c r="E6" s="3338" t="s">
        <v>2365</v>
      </c>
      <c r="F6" s="3339"/>
      <c r="G6" s="3336" t="s">
        <v>2365</v>
      </c>
      <c r="H6" s="3337"/>
      <c r="I6" s="3336" t="s">
        <v>2365</v>
      </c>
      <c r="J6" s="3337"/>
      <c r="K6" s="567" t="s">
        <v>2366</v>
      </c>
      <c r="L6" s="2945"/>
      <c r="M6" s="2946"/>
      <c r="N6" s="2946"/>
      <c r="O6" s="2946"/>
      <c r="P6" s="3349"/>
      <c r="Q6" s="3350"/>
      <c r="R6" s="3330"/>
      <c r="S6" s="3331"/>
      <c r="T6" s="3351"/>
      <c r="U6" s="3352"/>
      <c r="V6" s="3353"/>
      <c r="W6" s="3353"/>
      <c r="X6" s="1541"/>
      <c r="Y6" s="3351"/>
      <c r="Z6" s="3352"/>
      <c r="AA6" s="3325"/>
      <c r="AB6" s="3325"/>
      <c r="AC6" s="3325"/>
    </row>
    <row r="7" spans="1:29" s="113" customFormat="1" ht="15.75" thickBot="1">
      <c r="A7" s="368" t="s">
        <v>2367</v>
      </c>
      <c r="B7" s="369"/>
      <c r="C7" s="370">
        <f>'数据-取费表'!B2</f>
        <v>44120</v>
      </c>
      <c r="D7" s="371">
        <v>100</v>
      </c>
      <c r="E7" s="372"/>
      <c r="F7" s="373">
        <f>SUMIF(46:46,YEAR(E7)&amp;"-"&amp;MONTH(E7),47:47)</f>
        <v>0</v>
      </c>
      <c r="G7" s="2162"/>
      <c r="H7" s="371">
        <f>SUMIF(46:46,YEAR(G7)&amp;"-"&amp;MONTH(G7),47:47)</f>
        <v>0</v>
      </c>
      <c r="I7" s="372"/>
      <c r="J7" s="371">
        <f>SUMIF(46:46,YEAR(I7)&amp;"-"&amp;MONTH(I7),47:47)</f>
        <v>0</v>
      </c>
      <c r="K7" s="568"/>
      <c r="L7" s="2947"/>
      <c r="M7" s="2948"/>
      <c r="N7" s="2948"/>
      <c r="O7" s="2948"/>
      <c r="P7" s="3326" t="s">
        <v>2368</v>
      </c>
      <c r="Q7" s="3354"/>
      <c r="R7" s="710" t="s">
        <v>17</v>
      </c>
      <c r="S7" s="711">
        <f t="shared" ref="S7:S14" si="0">F7</f>
        <v>0</v>
      </c>
      <c r="T7" s="710" t="s">
        <v>17</v>
      </c>
      <c r="U7" s="711">
        <f t="shared" ref="U7:U14" si="1">H7</f>
        <v>0</v>
      </c>
      <c r="V7" s="710" t="s">
        <v>17</v>
      </c>
      <c r="W7" s="711">
        <f t="shared" ref="W7:W14" si="2">J7</f>
        <v>0</v>
      </c>
      <c r="X7" s="712"/>
      <c r="Y7" s="3326" t="s">
        <v>2368</v>
      </c>
      <c r="Z7" s="3327"/>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26" t="s">
        <v>2371</v>
      </c>
      <c r="Q8" s="3327"/>
      <c r="R8" s="710" t="s">
        <v>17</v>
      </c>
      <c r="S8" s="711">
        <f t="shared" si="0"/>
        <v>0</v>
      </c>
      <c r="T8" s="710" t="s">
        <v>17</v>
      </c>
      <c r="U8" s="711">
        <f t="shared" si="1"/>
        <v>0</v>
      </c>
      <c r="V8" s="710" t="s">
        <v>17</v>
      </c>
      <c r="W8" s="711">
        <f t="shared" si="2"/>
        <v>0</v>
      </c>
      <c r="X8" s="712"/>
      <c r="Y8" s="3326" t="s">
        <v>2371</v>
      </c>
      <c r="Z8" s="3327"/>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58" t="s">
        <v>2374</v>
      </c>
      <c r="Q9" s="1529" t="str">
        <f t="shared" ref="Q9:Q14" si="6">B9</f>
        <v>用途</v>
      </c>
      <c r="R9" s="710" t="s">
        <v>17</v>
      </c>
      <c r="S9" s="711">
        <f t="shared" si="0"/>
        <v>100</v>
      </c>
      <c r="T9" s="710" t="s">
        <v>17</v>
      </c>
      <c r="U9" s="711">
        <f t="shared" si="1"/>
        <v>100</v>
      </c>
      <c r="V9" s="710" t="s">
        <v>17</v>
      </c>
      <c r="W9" s="711">
        <f t="shared" si="2"/>
        <v>100</v>
      </c>
      <c r="X9" s="712"/>
      <c r="Y9" s="3240"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58"/>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58"/>
      <c r="Q11" s="1529">
        <f t="shared" si="6"/>
        <v>111</v>
      </c>
      <c r="R11" s="710" t="s">
        <v>17</v>
      </c>
      <c r="S11" s="711">
        <f t="shared" si="0"/>
        <v>100</v>
      </c>
      <c r="T11" s="710" t="s">
        <v>17</v>
      </c>
      <c r="U11" s="711">
        <f t="shared" si="1"/>
        <v>100</v>
      </c>
      <c r="V11" s="710" t="s">
        <v>17</v>
      </c>
      <c r="W11" s="711">
        <f t="shared" si="2"/>
        <v>100</v>
      </c>
      <c r="X11" s="712"/>
      <c r="Y11" s="324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58"/>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2"/>
      <c r="M13" s="2946"/>
      <c r="N13" s="2946"/>
      <c r="O13" s="3004"/>
      <c r="P13" s="3358"/>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60" t="s">
        <v>2379</v>
      </c>
      <c r="Q14" s="1538" t="str">
        <f t="shared" si="6"/>
        <v>交通便捷度</v>
      </c>
      <c r="R14" s="714" t="s">
        <v>17</v>
      </c>
      <c r="S14" s="715">
        <f t="shared" si="0"/>
        <v>100</v>
      </c>
      <c r="T14" s="714" t="s">
        <v>17</v>
      </c>
      <c r="U14" s="715">
        <f t="shared" si="1"/>
        <v>100</v>
      </c>
      <c r="V14" s="714" t="s">
        <v>17</v>
      </c>
      <c r="W14" s="715">
        <f t="shared" si="2"/>
        <v>100</v>
      </c>
      <c r="X14" s="1541"/>
      <c r="Y14" s="3360"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2"/>
      <c r="M15" s="2946"/>
      <c r="N15" s="2946"/>
      <c r="O15" s="3004"/>
      <c r="P15" s="3361"/>
      <c r="Q15" s="1538"/>
      <c r="R15" s="714"/>
      <c r="S15" s="715"/>
      <c r="T15" s="714"/>
      <c r="U15" s="715"/>
      <c r="V15" s="714"/>
      <c r="W15" s="715"/>
      <c r="X15" s="1541"/>
      <c r="Y15" s="3361"/>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61"/>
      <c r="Q16" s="1538" t="str">
        <f>B16</f>
        <v>公共配套设施</v>
      </c>
      <c r="R16" s="714" t="s">
        <v>17</v>
      </c>
      <c r="S16" s="715">
        <f>F16</f>
        <v>100</v>
      </c>
      <c r="T16" s="714" t="s">
        <v>17</v>
      </c>
      <c r="U16" s="715">
        <f>H16</f>
        <v>100</v>
      </c>
      <c r="V16" s="714" t="s">
        <v>17</v>
      </c>
      <c r="W16" s="715">
        <f>J16</f>
        <v>100</v>
      </c>
      <c r="X16" s="1541"/>
      <c r="Y16" s="336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2"/>
      <c r="M17" s="2946"/>
      <c r="N17" s="2946"/>
      <c r="O17" s="3004"/>
      <c r="P17" s="3361"/>
      <c r="Q17" s="1538"/>
      <c r="R17" s="714"/>
      <c r="S17" s="715"/>
      <c r="T17" s="714"/>
      <c r="U17" s="715"/>
      <c r="V17" s="714"/>
      <c r="W17" s="715"/>
      <c r="X17" s="1541"/>
      <c r="Y17" s="3361"/>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61"/>
      <c r="Q18" s="1538" t="str">
        <f>B18</f>
        <v>基础设施水平</v>
      </c>
      <c r="R18" s="714" t="s">
        <v>17</v>
      </c>
      <c r="S18" s="715">
        <f>F18</f>
        <v>100</v>
      </c>
      <c r="T18" s="714" t="s">
        <v>17</v>
      </c>
      <c r="U18" s="715">
        <f>H18</f>
        <v>100</v>
      </c>
      <c r="V18" s="714" t="s">
        <v>17</v>
      </c>
      <c r="W18" s="715">
        <f>J18</f>
        <v>100</v>
      </c>
      <c r="X18" s="1541"/>
      <c r="Y18" s="336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2"/>
      <c r="M19" s="2946"/>
      <c r="N19" s="2946"/>
      <c r="O19" s="3004"/>
      <c r="P19" s="3361"/>
      <c r="Q19" s="1538"/>
      <c r="R19" s="714"/>
      <c r="S19" s="715"/>
      <c r="T19" s="714"/>
      <c r="U19" s="715"/>
      <c r="V19" s="714"/>
      <c r="W19" s="715"/>
      <c r="X19" s="1541"/>
      <c r="Y19" s="3361"/>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61"/>
      <c r="Q20" s="1538" t="str">
        <f>B20</f>
        <v>自然及人文环境</v>
      </c>
      <c r="R20" s="714" t="s">
        <v>17</v>
      </c>
      <c r="S20" s="715">
        <f>F20</f>
        <v>100</v>
      </c>
      <c r="T20" s="714" t="s">
        <v>17</v>
      </c>
      <c r="U20" s="715">
        <f>H20</f>
        <v>100</v>
      </c>
      <c r="V20" s="714" t="s">
        <v>17</v>
      </c>
      <c r="W20" s="715">
        <f>J20</f>
        <v>100</v>
      </c>
      <c r="X20" s="1541"/>
      <c r="Y20" s="336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2"/>
      <c r="M21" s="2946"/>
      <c r="N21" s="2946"/>
      <c r="O21" s="3004"/>
      <c r="P21" s="3361"/>
      <c r="Q21" s="1538"/>
      <c r="R21" s="714"/>
      <c r="S21" s="715"/>
      <c r="T21" s="714"/>
      <c r="U21" s="715"/>
      <c r="V21" s="714"/>
      <c r="W21" s="715"/>
      <c r="X21" s="1541"/>
      <c r="Y21" s="3361"/>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61"/>
      <c r="Q22" s="1538" t="str">
        <f>B22</f>
        <v>楼层</v>
      </c>
      <c r="R22" s="714" t="s">
        <v>17</v>
      </c>
      <c r="S22" s="715">
        <f>F22</f>
        <v>100</v>
      </c>
      <c r="T22" s="714" t="s">
        <v>17</v>
      </c>
      <c r="U22" s="715">
        <f>H22</f>
        <v>100</v>
      </c>
      <c r="V22" s="714" t="s">
        <v>17</v>
      </c>
      <c r="W22" s="715">
        <f>J22</f>
        <v>100</v>
      </c>
      <c r="X22" s="1541"/>
      <c r="Y22" s="336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61"/>
      <c r="Q23" s="1538">
        <f>B23</f>
        <v>111</v>
      </c>
      <c r="R23" s="714" t="s">
        <v>17</v>
      </c>
      <c r="S23" s="715">
        <f>F23</f>
        <v>100</v>
      </c>
      <c r="T23" s="714" t="s">
        <v>17</v>
      </c>
      <c r="U23" s="715">
        <f>H23</f>
        <v>100</v>
      </c>
      <c r="V23" s="714" t="s">
        <v>17</v>
      </c>
      <c r="W23" s="715">
        <f>J23</f>
        <v>100</v>
      </c>
      <c r="X23" s="1541"/>
      <c r="Y23" s="336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61"/>
      <c r="Q24" s="1538">
        <f t="shared" ref="Q24:Q34" si="11">B24</f>
        <v>111</v>
      </c>
      <c r="R24" s="714" t="s">
        <v>17</v>
      </c>
      <c r="S24" s="715">
        <f>F24</f>
        <v>100</v>
      </c>
      <c r="T24" s="714" t="s">
        <v>17</v>
      </c>
      <c r="U24" s="715">
        <f>H24</f>
        <v>100</v>
      </c>
      <c r="V24" s="714" t="s">
        <v>17</v>
      </c>
      <c r="W24" s="715">
        <f>J24</f>
        <v>100</v>
      </c>
      <c r="X24" s="1541"/>
      <c r="Y24" s="336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7"/>
      <c r="M25" s="2948"/>
      <c r="N25" s="2948"/>
      <c r="O25" s="3002"/>
      <c r="P25" s="3361"/>
      <c r="Q25" s="1529">
        <f t="shared" si="11"/>
        <v>111</v>
      </c>
      <c r="R25" s="710" t="s">
        <v>17</v>
      </c>
      <c r="S25" s="711">
        <f>F25</f>
        <v>100</v>
      </c>
      <c r="T25" s="710" t="s">
        <v>17</v>
      </c>
      <c r="U25" s="711">
        <f>H25</f>
        <v>100</v>
      </c>
      <c r="V25" s="710" t="s">
        <v>17</v>
      </c>
      <c r="W25" s="711">
        <f>J25</f>
        <v>100</v>
      </c>
      <c r="X25" s="712"/>
      <c r="Y25" s="3361"/>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2"/>
      <c r="M26" s="2946"/>
      <c r="N26" s="2946"/>
      <c r="O26" s="3004"/>
      <c r="P26" s="3369"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65"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65"/>
      <c r="Q27" s="716" t="str">
        <f t="shared" si="11"/>
        <v>成新率</v>
      </c>
      <c r="R27" s="717" t="s">
        <v>17</v>
      </c>
      <c r="S27" s="718" t="e">
        <f t="shared" si="12"/>
        <v>#N/A</v>
      </c>
      <c r="T27" s="717" t="s">
        <v>17</v>
      </c>
      <c r="U27" s="718" t="e">
        <f t="shared" si="13"/>
        <v>#N/A</v>
      </c>
      <c r="V27" s="717" t="s">
        <v>17</v>
      </c>
      <c r="W27" s="718" t="e">
        <f t="shared" si="14"/>
        <v>#N/A</v>
      </c>
      <c r="X27" s="719"/>
      <c r="Y27" s="3365"/>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65"/>
      <c r="Q28" s="1538" t="str">
        <f t="shared" si="11"/>
        <v>物业等级</v>
      </c>
      <c r="R28" s="714" t="s">
        <v>17</v>
      </c>
      <c r="S28" s="715">
        <f t="shared" si="12"/>
        <v>100</v>
      </c>
      <c r="T28" s="714" t="s">
        <v>17</v>
      </c>
      <c r="U28" s="715">
        <f t="shared" si="13"/>
        <v>100</v>
      </c>
      <c r="V28" s="714" t="s">
        <v>17</v>
      </c>
      <c r="W28" s="715">
        <f t="shared" si="14"/>
        <v>100</v>
      </c>
      <c r="X28" s="1541"/>
      <c r="Y28" s="3365"/>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65"/>
      <c r="Q29" s="1538" t="str">
        <f t="shared" si="11"/>
        <v>有无电梯</v>
      </c>
      <c r="R29" s="714" t="s">
        <v>17</v>
      </c>
      <c r="S29" s="715">
        <f t="shared" si="12"/>
        <v>100</v>
      </c>
      <c r="T29" s="714" t="s">
        <v>17</v>
      </c>
      <c r="U29" s="715">
        <f t="shared" si="13"/>
        <v>100</v>
      </c>
      <c r="V29" s="714" t="s">
        <v>17</v>
      </c>
      <c r="W29" s="715">
        <f t="shared" si="14"/>
        <v>100</v>
      </c>
      <c r="X29" s="1541"/>
      <c r="Y29" s="3365"/>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65"/>
      <c r="Q30" s="1538" t="str">
        <f t="shared" si="11"/>
        <v>建筑面积</v>
      </c>
      <c r="R30" s="714" t="s">
        <v>17</v>
      </c>
      <c r="S30" s="715" t="e">
        <f t="shared" si="12"/>
        <v>#N/A</v>
      </c>
      <c r="T30" s="714" t="s">
        <v>17</v>
      </c>
      <c r="U30" s="715" t="e">
        <f t="shared" si="13"/>
        <v>#N/A</v>
      </c>
      <c r="V30" s="714" t="s">
        <v>17</v>
      </c>
      <c r="W30" s="715" t="e">
        <f t="shared" si="14"/>
        <v>#N/A</v>
      </c>
      <c r="X30" s="1541"/>
      <c r="Y30" s="3365"/>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65"/>
      <c r="Q31" s="1529" t="str">
        <f t="shared" si="11"/>
        <v>是否封闭</v>
      </c>
      <c r="R31" s="710" t="s">
        <v>17</v>
      </c>
      <c r="S31" s="711">
        <f t="shared" si="12"/>
        <v>100</v>
      </c>
      <c r="T31" s="710" t="s">
        <v>17</v>
      </c>
      <c r="U31" s="711">
        <f t="shared" si="13"/>
        <v>100</v>
      </c>
      <c r="V31" s="710" t="s">
        <v>17</v>
      </c>
      <c r="W31" s="711">
        <f t="shared" si="14"/>
        <v>100</v>
      </c>
      <c r="X31" s="712"/>
      <c r="Y31" s="336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65" t="s">
        <v>2384</v>
      </c>
      <c r="Q32" s="1538">
        <f t="shared" si="11"/>
        <v>111</v>
      </c>
      <c r="R32" s="714" t="s">
        <v>17</v>
      </c>
      <c r="S32" s="715">
        <f t="shared" si="12"/>
        <v>100</v>
      </c>
      <c r="T32" s="714" t="s">
        <v>17</v>
      </c>
      <c r="U32" s="715">
        <f t="shared" si="13"/>
        <v>100</v>
      </c>
      <c r="V32" s="714" t="s">
        <v>17</v>
      </c>
      <c r="W32" s="715">
        <f t="shared" si="14"/>
        <v>100</v>
      </c>
      <c r="X32" s="1541"/>
      <c r="Y32" s="3365"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65"/>
      <c r="Q33" s="1538">
        <f t="shared" si="11"/>
        <v>111</v>
      </c>
      <c r="R33" s="714" t="s">
        <v>17</v>
      </c>
      <c r="S33" s="715">
        <f t="shared" si="12"/>
        <v>100</v>
      </c>
      <c r="T33" s="714" t="s">
        <v>17</v>
      </c>
      <c r="U33" s="715">
        <f t="shared" si="13"/>
        <v>100</v>
      </c>
      <c r="V33" s="714" t="s">
        <v>17</v>
      </c>
      <c r="W33" s="715">
        <f t="shared" si="14"/>
        <v>100</v>
      </c>
      <c r="X33" s="1541"/>
      <c r="Y33" s="336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2"/>
      <c r="M34" s="2946"/>
      <c r="N34" s="2946"/>
      <c r="O34" s="3004"/>
      <c r="P34" s="3365"/>
      <c r="Q34" s="1538">
        <f t="shared" si="11"/>
        <v>111</v>
      </c>
      <c r="R34" s="714" t="s">
        <v>17</v>
      </c>
      <c r="S34" s="715">
        <f t="shared" si="12"/>
        <v>100</v>
      </c>
      <c r="T34" s="714" t="s">
        <v>17</v>
      </c>
      <c r="U34" s="715">
        <f t="shared" si="13"/>
        <v>100</v>
      </c>
      <c r="V34" s="714" t="s">
        <v>17</v>
      </c>
      <c r="W34" s="715">
        <f t="shared" si="14"/>
        <v>100</v>
      </c>
      <c r="X34" s="1541"/>
      <c r="Y34" s="3365"/>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4"/>
      <c r="M35" s="2955"/>
      <c r="N35" s="2946"/>
      <c r="O35" s="2955"/>
      <c r="P35" s="3358" t="str">
        <f>A35</f>
        <v>成交单价（元/平方米）</v>
      </c>
      <c r="Q35" s="3358"/>
      <c r="R35" s="3359">
        <f>E35</f>
        <v>0</v>
      </c>
      <c r="S35" s="3359"/>
      <c r="T35" s="3359">
        <f>G35</f>
        <v>0</v>
      </c>
      <c r="U35" s="3359"/>
      <c r="V35" s="3359">
        <f>I35</f>
        <v>0</v>
      </c>
      <c r="W35" s="3359"/>
      <c r="X35" s="699"/>
      <c r="Y35" s="721"/>
      <c r="Z35" s="699"/>
      <c r="AA35" s="699"/>
      <c r="AB35" s="699"/>
      <c r="AC35" s="699"/>
    </row>
    <row r="36" spans="1:30" ht="15.75" thickBot="1">
      <c r="A36" s="445" t="s">
        <v>2488</v>
      </c>
      <c r="B36" s="446"/>
      <c r="C36" s="1322" t="e">
        <f>R37</f>
        <v>#DIV/0!</v>
      </c>
      <c r="D36" s="2540" t="s">
        <v>2878</v>
      </c>
      <c r="E36" s="1323" t="e">
        <f>R36</f>
        <v>#DIV/0!</v>
      </c>
      <c r="F36" s="2541"/>
      <c r="G36" s="1322" t="e">
        <f>T36</f>
        <v>#DIV/0!</v>
      </c>
      <c r="H36" s="2541"/>
      <c r="I36" s="1323" t="e">
        <f>V36</f>
        <v>#DIV/0!</v>
      </c>
      <c r="J36" s="2541"/>
      <c r="K36" s="2543">
        <f>F36+H36+J36</f>
        <v>0</v>
      </c>
      <c r="L36" s="2954"/>
      <c r="M36" s="2955"/>
      <c r="N36" s="2946"/>
      <c r="O36" s="2955"/>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4"/>
      <c r="M37" s="2955"/>
      <c r="N37" s="2955"/>
      <c r="O37" s="2955"/>
      <c r="P37" s="3355" t="str">
        <f>A37</f>
        <v>估价对象XX用房的比较价值（楼面单价，元/平方米）</v>
      </c>
      <c r="Q37" s="3356"/>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2493</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2367</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69"/>
      <c r="Q48" s="2969"/>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2"/>
      <c r="O49" s="2982"/>
      <c r="P49" s="3007"/>
      <c r="Q49" s="2969"/>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2559</v>
      </c>
      <c r="C63" s="535" t="s">
        <v>2416</v>
      </c>
      <c r="D63" s="535" t="s">
        <v>2417</v>
      </c>
      <c r="E63" s="535" t="s">
        <v>2418</v>
      </c>
      <c r="F63" s="535" t="s">
        <v>2419</v>
      </c>
      <c r="G63" s="535" t="s">
        <v>2420</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2508</v>
      </c>
      <c r="C65" s="616" t="s">
        <v>2494</v>
      </c>
      <c r="D65" s="616" t="s">
        <v>2495</v>
      </c>
      <c r="E65" s="616" t="s">
        <v>2496</v>
      </c>
      <c r="F65" s="616" t="s">
        <v>2497</v>
      </c>
      <c r="G65" s="616" t="s">
        <v>2498</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2428</v>
      </c>
      <c r="C67" s="535" t="s">
        <v>2416</v>
      </c>
      <c r="D67" s="535" t="s">
        <v>2417</v>
      </c>
      <c r="E67" s="535" t="s">
        <v>2418</v>
      </c>
      <c r="F67" s="535" t="s">
        <v>2419</v>
      </c>
      <c r="G67" s="535" t="s">
        <v>2420</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2548</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4"/>
      <c r="O72" s="2984"/>
      <c r="P72" s="3008"/>
      <c r="Q72" s="2969"/>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4"/>
      <c r="O74" s="2984"/>
      <c r="P74" s="3008"/>
      <c r="Q74" s="2969"/>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2382</v>
      </c>
      <c r="B77" s="485" t="s">
        <v>2435</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2552</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2560</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2562</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28" t="s">
        <v>2466</v>
      </c>
      <c r="S4" s="3329"/>
      <c r="T4" s="3328" t="s">
        <v>2467</v>
      </c>
      <c r="U4" s="3329"/>
      <c r="V4" s="3353" t="s">
        <v>2468</v>
      </c>
      <c r="W4" s="3353"/>
      <c r="X4" s="1541"/>
      <c r="Y4" s="3328" t="s">
        <v>2470</v>
      </c>
      <c r="Z4" s="3329"/>
      <c r="AA4" s="3323" t="s">
        <v>2466</v>
      </c>
      <c r="AB4" s="3324" t="s">
        <v>2467</v>
      </c>
      <c r="AC4" s="3323" t="s">
        <v>2468</v>
      </c>
    </row>
    <row r="5" spans="1:30" ht="15">
      <c r="A5" s="364"/>
      <c r="B5" s="365"/>
      <c r="C5" s="3334" t="s">
        <v>2361</v>
      </c>
      <c r="D5" s="3335"/>
      <c r="E5" s="3332" t="s">
        <v>2362</v>
      </c>
      <c r="F5" s="3333"/>
      <c r="G5" s="3334" t="s">
        <v>2363</v>
      </c>
      <c r="H5" s="3335"/>
      <c r="I5" s="3334" t="s">
        <v>2364</v>
      </c>
      <c r="J5" s="3335"/>
      <c r="K5" s="567"/>
      <c r="L5" s="2945"/>
      <c r="M5" s="2946"/>
      <c r="N5" s="2946"/>
      <c r="O5" s="2946"/>
      <c r="P5" s="3347"/>
      <c r="Q5" s="3348"/>
      <c r="R5" s="3330"/>
      <c r="S5" s="3331"/>
      <c r="T5" s="3330"/>
      <c r="U5" s="3331"/>
      <c r="V5" s="3353"/>
      <c r="W5" s="3353"/>
      <c r="X5" s="1541"/>
      <c r="Y5" s="3330"/>
      <c r="Z5" s="3331"/>
      <c r="AA5" s="3324"/>
      <c r="AB5" s="3324"/>
      <c r="AC5" s="3324"/>
    </row>
    <row r="6" spans="1:30" ht="15.75" thickBot="1">
      <c r="A6" s="366"/>
      <c r="B6" s="367"/>
      <c r="C6" s="3336" t="s">
        <v>2365</v>
      </c>
      <c r="D6" s="3337"/>
      <c r="E6" s="3338" t="s">
        <v>2365</v>
      </c>
      <c r="F6" s="3339"/>
      <c r="G6" s="3336" t="s">
        <v>2365</v>
      </c>
      <c r="H6" s="3337"/>
      <c r="I6" s="3336" t="s">
        <v>2365</v>
      </c>
      <c r="J6" s="3337"/>
      <c r="K6" s="567" t="s">
        <v>2366</v>
      </c>
      <c r="L6" s="2945"/>
      <c r="M6" s="2946"/>
      <c r="N6" s="2946"/>
      <c r="O6" s="2946"/>
      <c r="P6" s="3349"/>
      <c r="Q6" s="3350"/>
      <c r="R6" s="3330"/>
      <c r="S6" s="3331"/>
      <c r="T6" s="3351"/>
      <c r="U6" s="3352"/>
      <c r="V6" s="3353"/>
      <c r="W6" s="3353"/>
      <c r="X6" s="1541"/>
      <c r="Y6" s="3351"/>
      <c r="Z6" s="3352"/>
      <c r="AA6" s="3325"/>
      <c r="AB6" s="3325"/>
      <c r="AC6" s="3325"/>
    </row>
    <row r="7" spans="1:30" s="113" customFormat="1" ht="15.75" thickBot="1">
      <c r="A7" s="368" t="s">
        <v>2367</v>
      </c>
      <c r="B7" s="369"/>
      <c r="C7" s="370">
        <f>'数据-取费表'!B2</f>
        <v>44120</v>
      </c>
      <c r="D7" s="371">
        <v>100</v>
      </c>
      <c r="E7" s="372"/>
      <c r="F7" s="373">
        <f>SUMIF(70:70,YEAR(E7)&amp;"-"&amp;INT((MONTH(E7)+2)/3),71:71)</f>
        <v>0</v>
      </c>
      <c r="G7" s="2162"/>
      <c r="H7" s="371">
        <f>SUMIF(70:70,YEAR(G7)&amp;"-"&amp;INT((MONTH(G7)+2)/3),71:71)</f>
        <v>0</v>
      </c>
      <c r="I7" s="2162"/>
      <c r="J7" s="371">
        <f>SUMIF(70:70,YEAR(I7)&amp;"-"&amp;INT((MONTH(I7)+2)/3),71:71)</f>
        <v>0</v>
      </c>
      <c r="K7" s="568"/>
      <c r="L7" s="2947"/>
      <c r="M7" s="2948"/>
      <c r="N7" s="2948"/>
      <c r="O7" s="2948"/>
      <c r="P7" s="3326" t="s">
        <v>2368</v>
      </c>
      <c r="Q7" s="3354"/>
      <c r="R7" s="710" t="s">
        <v>17</v>
      </c>
      <c r="S7" s="711">
        <f t="shared" ref="S7:S15" si="0">F7</f>
        <v>0</v>
      </c>
      <c r="T7" s="710" t="s">
        <v>17</v>
      </c>
      <c r="U7" s="711">
        <f t="shared" ref="U7:U15" si="1">H7</f>
        <v>0</v>
      </c>
      <c r="V7" s="710" t="s">
        <v>17</v>
      </c>
      <c r="W7" s="711">
        <f t="shared" ref="W7:W15" si="2">J7</f>
        <v>0</v>
      </c>
      <c r="X7" s="712"/>
      <c r="Y7" s="3326" t="s">
        <v>2368</v>
      </c>
      <c r="Z7" s="3327"/>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326" t="s">
        <v>2371</v>
      </c>
      <c r="Q8" s="3327"/>
      <c r="R8" s="710" t="s">
        <v>17</v>
      </c>
      <c r="S8" s="711">
        <f t="shared" si="0"/>
        <v>0</v>
      </c>
      <c r="T8" s="710" t="s">
        <v>17</v>
      </c>
      <c r="U8" s="711">
        <f t="shared" si="1"/>
        <v>0</v>
      </c>
      <c r="V8" s="710" t="s">
        <v>17</v>
      </c>
      <c r="W8" s="711">
        <f t="shared" si="2"/>
        <v>0</v>
      </c>
      <c r="X8" s="712"/>
      <c r="Y8" s="3326" t="s">
        <v>2371</v>
      </c>
      <c r="Z8" s="3327"/>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7"/>
      <c r="M9" s="2948"/>
      <c r="N9" s="2948"/>
      <c r="O9" s="3002"/>
      <c r="P9" s="3358"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136</v>
      </c>
      <c r="G10" s="422"/>
      <c r="H10" s="132">
        <f>ROUND(100/'数据-取费表'!G16,0)</f>
        <v>136</v>
      </c>
      <c r="I10" s="422"/>
      <c r="J10" s="132">
        <f>ROUND(100/'数据-取费表'!G16,0)</f>
        <v>136</v>
      </c>
      <c r="K10" s="628"/>
      <c r="L10" s="2949"/>
      <c r="M10" s="2950"/>
      <c r="N10" s="2950"/>
      <c r="O10" s="3003"/>
      <c r="P10" s="3358"/>
      <c r="Q10" s="1529" t="str">
        <f t="shared" si="6"/>
        <v>土地使用年限（年）</v>
      </c>
      <c r="R10" s="710" t="s">
        <v>17</v>
      </c>
      <c r="S10" s="711">
        <f t="shared" si="0"/>
        <v>136</v>
      </c>
      <c r="T10" s="710" t="s">
        <v>17</v>
      </c>
      <c r="U10" s="711">
        <f t="shared" si="1"/>
        <v>136</v>
      </c>
      <c r="V10" s="710" t="s">
        <v>17</v>
      </c>
      <c r="W10" s="711">
        <f t="shared" si="2"/>
        <v>136</v>
      </c>
      <c r="X10" s="712"/>
      <c r="Y10" s="3240"/>
      <c r="Z10" s="55" t="str">
        <f t="shared" si="7"/>
        <v>土地使用年限（年）</v>
      </c>
      <c r="AA10" s="713">
        <f t="shared" si="3"/>
        <v>0.73529411764705888</v>
      </c>
      <c r="AB10" s="713">
        <f t="shared" si="4"/>
        <v>0.73529411764705888</v>
      </c>
      <c r="AC10" s="713">
        <f t="shared" si="5"/>
        <v>0.73529411764705888</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58"/>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58"/>
      <c r="Q12" s="1529" t="str">
        <f t="shared" si="6"/>
        <v>配建</v>
      </c>
      <c r="R12" s="710" t="s">
        <v>17</v>
      </c>
      <c r="S12" s="711">
        <f t="shared" si="0"/>
        <v>100</v>
      </c>
      <c r="T12" s="710" t="s">
        <v>17</v>
      </c>
      <c r="U12" s="711">
        <f t="shared" si="1"/>
        <v>100</v>
      </c>
      <c r="V12" s="710" t="s">
        <v>17</v>
      </c>
      <c r="W12" s="711">
        <f t="shared" si="2"/>
        <v>100</v>
      </c>
      <c r="X12" s="712"/>
      <c r="Y12" s="324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58"/>
      <c r="Q13" s="1529">
        <f t="shared" si="6"/>
        <v>111</v>
      </c>
      <c r="R13" s="710" t="s">
        <v>17</v>
      </c>
      <c r="S13" s="711">
        <f t="shared" si="0"/>
        <v>100</v>
      </c>
      <c r="T13" s="710" t="s">
        <v>17</v>
      </c>
      <c r="U13" s="711">
        <f t="shared" si="1"/>
        <v>100</v>
      </c>
      <c r="V13" s="710" t="s">
        <v>17</v>
      </c>
      <c r="W13" s="711">
        <f t="shared" si="2"/>
        <v>100</v>
      </c>
      <c r="X13" s="712"/>
      <c r="Y13" s="324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58"/>
      <c r="Q14" s="1529">
        <f t="shared" si="6"/>
        <v>111</v>
      </c>
      <c r="R14" s="710" t="s">
        <v>17</v>
      </c>
      <c r="S14" s="711">
        <f t="shared" si="0"/>
        <v>100</v>
      </c>
      <c r="T14" s="710" t="s">
        <v>17</v>
      </c>
      <c r="U14" s="711">
        <f t="shared" si="1"/>
        <v>100</v>
      </c>
      <c r="V14" s="710" t="s">
        <v>17</v>
      </c>
      <c r="W14" s="711">
        <f t="shared" si="2"/>
        <v>100</v>
      </c>
      <c r="X14" s="712"/>
      <c r="Y14" s="3240"/>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60" t="s">
        <v>2379</v>
      </c>
      <c r="Q15" s="1538" t="str">
        <f t="shared" si="6"/>
        <v>居住社区成熟度</v>
      </c>
      <c r="R15" s="714" t="s">
        <v>17</v>
      </c>
      <c r="S15" s="715">
        <f t="shared" si="0"/>
        <v>100</v>
      </c>
      <c r="T15" s="714" t="s">
        <v>17</v>
      </c>
      <c r="U15" s="715">
        <f t="shared" si="1"/>
        <v>100</v>
      </c>
      <c r="V15" s="714" t="s">
        <v>17</v>
      </c>
      <c r="W15" s="715">
        <f t="shared" si="2"/>
        <v>100</v>
      </c>
      <c r="X15" s="1541"/>
      <c r="Y15" s="3360"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2"/>
      <c r="M16" s="2946"/>
      <c r="N16" s="2946"/>
      <c r="O16" s="3004"/>
      <c r="P16" s="3361"/>
      <c r="Q16" s="1538"/>
      <c r="R16" s="714"/>
      <c r="S16" s="715"/>
      <c r="T16" s="714"/>
      <c r="U16" s="715"/>
      <c r="V16" s="714"/>
      <c r="W16" s="715"/>
      <c r="X16" s="1541"/>
      <c r="Y16" s="3361"/>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61"/>
      <c r="Q17" s="1538" t="str">
        <f>B17</f>
        <v>商业繁华度</v>
      </c>
      <c r="R17" s="714" t="s">
        <v>17</v>
      </c>
      <c r="S17" s="715">
        <f>F17</f>
        <v>100</v>
      </c>
      <c r="T17" s="714" t="s">
        <v>17</v>
      </c>
      <c r="U17" s="715">
        <f>H17</f>
        <v>100</v>
      </c>
      <c r="V17" s="714" t="s">
        <v>17</v>
      </c>
      <c r="W17" s="715">
        <f>J17</f>
        <v>100</v>
      </c>
      <c r="X17" s="1541"/>
      <c r="Y17" s="336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2"/>
      <c r="M18" s="2946"/>
      <c r="N18" s="2946"/>
      <c r="O18" s="3004"/>
      <c r="P18" s="3361"/>
      <c r="Q18" s="1538"/>
      <c r="R18" s="714"/>
      <c r="S18" s="715"/>
      <c r="T18" s="714"/>
      <c r="U18" s="715"/>
      <c r="V18" s="714"/>
      <c r="W18" s="715"/>
      <c r="X18" s="1541"/>
      <c r="Y18" s="3361"/>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61"/>
      <c r="Q19" s="1538" t="str">
        <f>B19</f>
        <v>办公集聚程度</v>
      </c>
      <c r="R19" s="714" t="s">
        <v>17</v>
      </c>
      <c r="S19" s="715">
        <f>F19</f>
        <v>100</v>
      </c>
      <c r="T19" s="714" t="s">
        <v>17</v>
      </c>
      <c r="U19" s="715">
        <f>H19</f>
        <v>100</v>
      </c>
      <c r="V19" s="714" t="s">
        <v>17</v>
      </c>
      <c r="W19" s="715">
        <f>J19</f>
        <v>100</v>
      </c>
      <c r="X19" s="1541"/>
      <c r="Y19" s="336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2"/>
      <c r="M20" s="2946"/>
      <c r="N20" s="2946"/>
      <c r="O20" s="3004"/>
      <c r="P20" s="3361"/>
      <c r="Q20" s="1538"/>
      <c r="R20" s="714"/>
      <c r="S20" s="715"/>
      <c r="T20" s="714"/>
      <c r="U20" s="715"/>
      <c r="V20" s="714"/>
      <c r="W20" s="715"/>
      <c r="X20" s="1541"/>
      <c r="Y20" s="3361"/>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61"/>
      <c r="Q21" s="1538" t="str">
        <f>B21</f>
        <v>交通便捷度</v>
      </c>
      <c r="R21" s="714" t="s">
        <v>17</v>
      </c>
      <c r="S21" s="715">
        <f>F21</f>
        <v>100</v>
      </c>
      <c r="T21" s="714" t="s">
        <v>17</v>
      </c>
      <c r="U21" s="715">
        <f>H21</f>
        <v>100</v>
      </c>
      <c r="V21" s="714" t="s">
        <v>17</v>
      </c>
      <c r="W21" s="715">
        <f>J21</f>
        <v>100</v>
      </c>
      <c r="X21" s="1541"/>
      <c r="Y21" s="336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2"/>
      <c r="M22" s="2946"/>
      <c r="N22" s="2946"/>
      <c r="O22" s="3004"/>
      <c r="P22" s="3361"/>
      <c r="Q22" s="1538"/>
      <c r="R22" s="714"/>
      <c r="S22" s="715"/>
      <c r="T22" s="714"/>
      <c r="U22" s="715"/>
      <c r="V22" s="714"/>
      <c r="W22" s="715"/>
      <c r="X22" s="1541"/>
      <c r="Y22" s="3361"/>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61"/>
      <c r="Q23" s="1538" t="str">
        <f t="shared" ref="Q23:Q37" si="8">B23</f>
        <v>区域土地利用方向</v>
      </c>
      <c r="R23" s="714" t="s">
        <v>17</v>
      </c>
      <c r="S23" s="715">
        <f>F23</f>
        <v>100</v>
      </c>
      <c r="T23" s="714" t="s">
        <v>17</v>
      </c>
      <c r="U23" s="715">
        <f>H23</f>
        <v>100</v>
      </c>
      <c r="V23" s="714" t="s">
        <v>17</v>
      </c>
      <c r="W23" s="715">
        <f>J23</f>
        <v>100</v>
      </c>
      <c r="X23" s="1541"/>
      <c r="Y23" s="336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2"/>
      <c r="M24" s="2946"/>
      <c r="N24" s="2946"/>
      <c r="O24" s="3004"/>
      <c r="P24" s="3361"/>
      <c r="Q24" s="1538"/>
      <c r="R24" s="714"/>
      <c r="S24" s="715"/>
      <c r="T24" s="714"/>
      <c r="U24" s="715"/>
      <c r="V24" s="714"/>
      <c r="W24" s="715"/>
      <c r="X24" s="1541"/>
      <c r="Y24" s="3361"/>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61"/>
      <c r="Q25" s="1538" t="str">
        <f t="shared" si="8"/>
        <v>自然及人文环境状况</v>
      </c>
      <c r="R25" s="714" t="s">
        <v>17</v>
      </c>
      <c r="S25" s="715">
        <f>F25</f>
        <v>100</v>
      </c>
      <c r="T25" s="714" t="s">
        <v>17</v>
      </c>
      <c r="U25" s="715">
        <f>H25</f>
        <v>100</v>
      </c>
      <c r="V25" s="714" t="s">
        <v>17</v>
      </c>
      <c r="W25" s="715">
        <f>J25</f>
        <v>100</v>
      </c>
      <c r="X25" s="1541"/>
      <c r="Y25" s="336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2"/>
      <c r="M26" s="2946"/>
      <c r="N26" s="2946"/>
      <c r="O26" s="3004"/>
      <c r="P26" s="3361"/>
      <c r="Q26" s="1538"/>
      <c r="R26" s="714"/>
      <c r="S26" s="715"/>
      <c r="T26" s="714"/>
      <c r="U26" s="715"/>
      <c r="V26" s="714"/>
      <c r="W26" s="715"/>
      <c r="X26" s="1541"/>
      <c r="Y26" s="3361"/>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61"/>
      <c r="Q27" s="1529" t="str">
        <f t="shared" si="8"/>
        <v>公共配套设施</v>
      </c>
      <c r="R27" s="710" t="s">
        <v>17</v>
      </c>
      <c r="S27" s="711">
        <f>F27</f>
        <v>100</v>
      </c>
      <c r="T27" s="710" t="s">
        <v>17</v>
      </c>
      <c r="U27" s="711">
        <f>H27</f>
        <v>100</v>
      </c>
      <c r="V27" s="710" t="s">
        <v>17</v>
      </c>
      <c r="W27" s="711">
        <f>J27</f>
        <v>100</v>
      </c>
      <c r="X27" s="712"/>
      <c r="Y27" s="336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7"/>
      <c r="M28" s="2948"/>
      <c r="N28" s="2948"/>
      <c r="O28" s="3002"/>
      <c r="P28" s="3361"/>
      <c r="Q28" s="1529"/>
      <c r="R28" s="710"/>
      <c r="S28" s="711"/>
      <c r="T28" s="710"/>
      <c r="U28" s="711"/>
      <c r="V28" s="710"/>
      <c r="W28" s="711"/>
      <c r="X28" s="712"/>
      <c r="Y28" s="3361"/>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61"/>
      <c r="Q29" s="1529" t="str">
        <f t="shared" ref="Q29" si="9">B29</f>
        <v>基础设施水平</v>
      </c>
      <c r="R29" s="710" t="s">
        <v>17</v>
      </c>
      <c r="S29" s="711">
        <f>F29</f>
        <v>100</v>
      </c>
      <c r="T29" s="710" t="s">
        <v>17</v>
      </c>
      <c r="U29" s="711">
        <f>H29</f>
        <v>100</v>
      </c>
      <c r="V29" s="710" t="s">
        <v>17</v>
      </c>
      <c r="W29" s="711">
        <f>J29</f>
        <v>100</v>
      </c>
      <c r="X29" s="712"/>
      <c r="Y29" s="336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7"/>
      <c r="M30" s="2948"/>
      <c r="N30" s="2948"/>
      <c r="O30" s="3002"/>
      <c r="P30" s="3361"/>
      <c r="Q30" s="1529"/>
      <c r="R30" s="710"/>
      <c r="S30" s="711"/>
      <c r="T30" s="710"/>
      <c r="U30" s="711"/>
      <c r="V30" s="710"/>
      <c r="W30" s="711"/>
      <c r="X30" s="712"/>
      <c r="Y30" s="3361"/>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6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61"/>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61"/>
      <c r="Q32" s="1538" t="str">
        <f t="shared" si="8"/>
        <v>毗邻道路的类型与等级</v>
      </c>
      <c r="R32" s="714" t="s">
        <v>17</v>
      </c>
      <c r="S32" s="715">
        <f t="shared" si="10"/>
        <v>100</v>
      </c>
      <c r="T32" s="714" t="s">
        <v>17</v>
      </c>
      <c r="U32" s="715">
        <f t="shared" si="11"/>
        <v>100</v>
      </c>
      <c r="V32" s="714" t="s">
        <v>17</v>
      </c>
      <c r="W32" s="715">
        <f t="shared" si="12"/>
        <v>100</v>
      </c>
      <c r="X32" s="1541"/>
      <c r="Y32" s="336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2"/>
      <c r="M33" s="2946"/>
      <c r="N33" s="2946"/>
      <c r="O33" s="3004"/>
      <c r="P33" s="3361"/>
      <c r="Q33" s="1538"/>
      <c r="R33" s="714"/>
      <c r="S33" s="715"/>
      <c r="T33" s="714"/>
      <c r="U33" s="715"/>
      <c r="V33" s="714"/>
      <c r="W33" s="715"/>
      <c r="X33" s="1541"/>
      <c r="Y33" s="3361"/>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61"/>
      <c r="Q34" s="1538" t="str">
        <f t="shared" si="8"/>
        <v>土地级别</v>
      </c>
      <c r="R34" s="714" t="s">
        <v>17</v>
      </c>
      <c r="S34" s="715">
        <f t="shared" si="10"/>
        <v>100</v>
      </c>
      <c r="T34" s="714" t="s">
        <v>17</v>
      </c>
      <c r="U34" s="715">
        <f t="shared" si="11"/>
        <v>100</v>
      </c>
      <c r="V34" s="714" t="s">
        <v>17</v>
      </c>
      <c r="W34" s="715">
        <f t="shared" si="12"/>
        <v>100</v>
      </c>
      <c r="X34" s="1541"/>
      <c r="Y34" s="336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61"/>
      <c r="Q35" s="1538">
        <f t="shared" si="8"/>
        <v>111</v>
      </c>
      <c r="R35" s="714" t="s">
        <v>17</v>
      </c>
      <c r="S35" s="715">
        <f t="shared" si="10"/>
        <v>100</v>
      </c>
      <c r="T35" s="714" t="s">
        <v>17</v>
      </c>
      <c r="U35" s="715">
        <f t="shared" si="11"/>
        <v>100</v>
      </c>
      <c r="V35" s="714" t="s">
        <v>17</v>
      </c>
      <c r="W35" s="715">
        <f t="shared" si="12"/>
        <v>100</v>
      </c>
      <c r="X35" s="1541"/>
      <c r="Y35" s="336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9" t="s">
        <v>2384</v>
      </c>
      <c r="Q36" s="1538">
        <f t="shared" si="8"/>
        <v>111</v>
      </c>
      <c r="R36" s="714" t="s">
        <v>17</v>
      </c>
      <c r="S36" s="715">
        <f t="shared" si="10"/>
        <v>100</v>
      </c>
      <c r="T36" s="714" t="s">
        <v>17</v>
      </c>
      <c r="U36" s="715">
        <f t="shared" si="11"/>
        <v>100</v>
      </c>
      <c r="V36" s="714" t="s">
        <v>17</v>
      </c>
      <c r="W36" s="715">
        <f t="shared" si="12"/>
        <v>100</v>
      </c>
      <c r="X36" s="1541"/>
      <c r="Y36" s="3365"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65"/>
      <c r="Q37" s="1538">
        <f t="shared" si="8"/>
        <v>111</v>
      </c>
      <c r="R37" s="717" t="s">
        <v>17</v>
      </c>
      <c r="S37" s="718">
        <f t="shared" si="10"/>
        <v>100</v>
      </c>
      <c r="T37" s="717" t="s">
        <v>17</v>
      </c>
      <c r="U37" s="718">
        <f t="shared" si="11"/>
        <v>100</v>
      </c>
      <c r="V37" s="717" t="s">
        <v>17</v>
      </c>
      <c r="W37" s="718">
        <f t="shared" si="12"/>
        <v>100</v>
      </c>
      <c r="X37" s="719"/>
      <c r="Y37" s="3365"/>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65"/>
      <c r="Q38" s="1538" t="str">
        <f>B38</f>
        <v>宗地面积</v>
      </c>
      <c r="R38" s="714" t="s">
        <v>17</v>
      </c>
      <c r="S38" s="715" t="e">
        <f t="shared" si="10"/>
        <v>#N/A</v>
      </c>
      <c r="T38" s="714" t="s">
        <v>17</v>
      </c>
      <c r="U38" s="715" t="e">
        <f t="shared" si="11"/>
        <v>#N/A</v>
      </c>
      <c r="V38" s="714" t="s">
        <v>17</v>
      </c>
      <c r="W38" s="715" t="e">
        <f t="shared" si="12"/>
        <v>#N/A</v>
      </c>
      <c r="X38" s="1541"/>
      <c r="Y38" s="3365"/>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2"/>
      <c r="M39" s="2946"/>
      <c r="N39" s="2946"/>
      <c r="O39" s="3004"/>
      <c r="P39" s="3365"/>
      <c r="Q39" s="1538" t="str">
        <f t="shared" ref="Q39:Q45" si="14">B39</f>
        <v>宗地形状</v>
      </c>
      <c r="R39" s="714" t="s">
        <v>17</v>
      </c>
      <c r="S39" s="715">
        <f t="shared" si="10"/>
        <v>100</v>
      </c>
      <c r="T39" s="714" t="s">
        <v>17</v>
      </c>
      <c r="U39" s="715">
        <f t="shared" si="11"/>
        <v>100</v>
      </c>
      <c r="V39" s="714" t="s">
        <v>17</v>
      </c>
      <c r="W39" s="715">
        <f t="shared" si="12"/>
        <v>100</v>
      </c>
      <c r="X39" s="1541"/>
      <c r="Y39" s="3365"/>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2"/>
      <c r="M40" s="2946"/>
      <c r="N40" s="2946"/>
      <c r="O40" s="3004"/>
      <c r="P40" s="3365"/>
      <c r="Q40" s="1538" t="str">
        <f t="shared" si="14"/>
        <v>临街宽度及深度</v>
      </c>
      <c r="R40" s="714" t="s">
        <v>17</v>
      </c>
      <c r="S40" s="715">
        <f t="shared" si="10"/>
        <v>100</v>
      </c>
      <c r="T40" s="714" t="s">
        <v>17</v>
      </c>
      <c r="U40" s="715">
        <f t="shared" si="11"/>
        <v>100</v>
      </c>
      <c r="V40" s="714" t="s">
        <v>17</v>
      </c>
      <c r="W40" s="715">
        <f t="shared" si="12"/>
        <v>100</v>
      </c>
      <c r="X40" s="1541"/>
      <c r="Y40" s="3365"/>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7"/>
      <c r="M41" s="2948"/>
      <c r="N41" s="2948"/>
      <c r="O41" s="3002"/>
      <c r="P41" s="3365"/>
      <c r="Q41" s="1538" t="str">
        <f t="shared" si="14"/>
        <v>宗地开发程度</v>
      </c>
      <c r="R41" s="710" t="s">
        <v>17</v>
      </c>
      <c r="S41" s="711">
        <f t="shared" si="10"/>
        <v>100</v>
      </c>
      <c r="T41" s="710" t="s">
        <v>17</v>
      </c>
      <c r="U41" s="711">
        <f t="shared" si="11"/>
        <v>100</v>
      </c>
      <c r="V41" s="710" t="s">
        <v>17</v>
      </c>
      <c r="W41" s="711">
        <f t="shared" si="12"/>
        <v>100</v>
      </c>
      <c r="X41" s="712"/>
      <c r="Y41" s="3365"/>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2"/>
      <c r="M42" s="2946"/>
      <c r="N42" s="2946"/>
      <c r="O42" s="3004"/>
      <c r="P42" s="3365" t="s">
        <v>2384</v>
      </c>
      <c r="Q42" s="1538" t="str">
        <f t="shared" si="14"/>
        <v>工程地质条件</v>
      </c>
      <c r="R42" s="714" t="s">
        <v>17</v>
      </c>
      <c r="S42" s="715">
        <f t="shared" si="10"/>
        <v>100</v>
      </c>
      <c r="T42" s="714" t="s">
        <v>17</v>
      </c>
      <c r="U42" s="715">
        <f t="shared" si="11"/>
        <v>100</v>
      </c>
      <c r="V42" s="714" t="s">
        <v>17</v>
      </c>
      <c r="W42" s="715">
        <f t="shared" si="12"/>
        <v>100</v>
      </c>
      <c r="X42" s="1541"/>
      <c r="Y42" s="3365"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65"/>
      <c r="Q43" s="1538">
        <f t="shared" si="14"/>
        <v>111</v>
      </c>
      <c r="R43" s="714" t="s">
        <v>17</v>
      </c>
      <c r="S43" s="715">
        <f t="shared" si="10"/>
        <v>100</v>
      </c>
      <c r="T43" s="714" t="s">
        <v>17</v>
      </c>
      <c r="U43" s="715">
        <f t="shared" si="11"/>
        <v>100</v>
      </c>
      <c r="V43" s="714" t="s">
        <v>17</v>
      </c>
      <c r="W43" s="715">
        <f t="shared" si="12"/>
        <v>100</v>
      </c>
      <c r="X43" s="1541"/>
      <c r="Y43" s="336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65"/>
      <c r="Q44" s="1538">
        <f t="shared" si="14"/>
        <v>111</v>
      </c>
      <c r="R44" s="714" t="s">
        <v>17</v>
      </c>
      <c r="S44" s="715">
        <f t="shared" si="10"/>
        <v>100</v>
      </c>
      <c r="T44" s="714" t="s">
        <v>17</v>
      </c>
      <c r="U44" s="715">
        <f t="shared" si="11"/>
        <v>100</v>
      </c>
      <c r="V44" s="714" t="s">
        <v>17</v>
      </c>
      <c r="W44" s="715">
        <f t="shared" si="12"/>
        <v>100</v>
      </c>
      <c r="X44" s="1541"/>
      <c r="Y44" s="336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65"/>
      <c r="Q45" s="1538">
        <f t="shared" si="14"/>
        <v>111</v>
      </c>
      <c r="R45" s="717" t="s">
        <v>17</v>
      </c>
      <c r="S45" s="718">
        <f t="shared" si="10"/>
        <v>100</v>
      </c>
      <c r="T45" s="717" t="s">
        <v>17</v>
      </c>
      <c r="U45" s="718">
        <f t="shared" si="11"/>
        <v>100</v>
      </c>
      <c r="V45" s="717" t="s">
        <v>17</v>
      </c>
      <c r="W45" s="718">
        <f t="shared" si="12"/>
        <v>100</v>
      </c>
      <c r="X45" s="719"/>
      <c r="Y45" s="3365"/>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4"/>
      <c r="M46" s="2955"/>
      <c r="N46" s="2946"/>
      <c r="O46" s="2955"/>
      <c r="P46" s="3358" t="str">
        <f>A46</f>
        <v>成交单价</v>
      </c>
      <c r="Q46" s="3358"/>
      <c r="R46" s="3353">
        <f>E46</f>
        <v>0</v>
      </c>
      <c r="S46" s="3353"/>
      <c r="T46" s="3353">
        <f>G46</f>
        <v>0</v>
      </c>
      <c r="U46" s="3353"/>
      <c r="V46" s="3353">
        <f>I46</f>
        <v>0</v>
      </c>
      <c r="W46" s="3353"/>
      <c r="X46" s="699"/>
      <c r="Y46" s="721"/>
      <c r="Z46" s="699"/>
      <c r="AA46" s="699"/>
      <c r="AB46" s="699"/>
      <c r="AC46" s="699"/>
    </row>
    <row r="47" spans="1:29" ht="15.75" thickBot="1">
      <c r="A47" s="445" t="s">
        <v>2488</v>
      </c>
      <c r="B47" s="639"/>
      <c r="C47" s="448" t="e">
        <f>R48</f>
        <v>#DIV/0!</v>
      </c>
      <c r="D47" s="2540" t="s">
        <v>2878</v>
      </c>
      <c r="E47" s="448" t="e">
        <f>R47</f>
        <v>#DIV/0!</v>
      </c>
      <c r="F47" s="2541"/>
      <c r="G47" s="447" t="e">
        <f>T47</f>
        <v>#DIV/0!</v>
      </c>
      <c r="H47" s="2541"/>
      <c r="I47" s="448" t="e">
        <f>V47</f>
        <v>#DIV/0!</v>
      </c>
      <c r="J47" s="2541"/>
      <c r="K47" s="2543">
        <f>F47+H47+J47</f>
        <v>0</v>
      </c>
      <c r="L47" s="2954"/>
      <c r="M47" s="2955"/>
      <c r="N47" s="2955"/>
      <c r="O47" s="2955"/>
      <c r="P47" s="3358" t="str">
        <f>A47</f>
        <v>比较价值（元/平方米）</v>
      </c>
      <c r="Q47" s="3358"/>
      <c r="R47" s="3371" t="e">
        <f>ROUND(PRODUCT(R46,AA7:AA45),0)</f>
        <v>#DIV/0!</v>
      </c>
      <c r="S47" s="3371"/>
      <c r="T47" s="3371" t="e">
        <f>ROUND(PRODUCT(T46,AB7:AB45),0)</f>
        <v>#DIV/0!</v>
      </c>
      <c r="U47" s="3371"/>
      <c r="V47" s="3371" t="e">
        <f>ROUND(PRODUCT(V46,AC7:AC45),0)</f>
        <v>#DIV/0!</v>
      </c>
      <c r="W47" s="3371"/>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4"/>
      <c r="M48" s="2955"/>
      <c r="N48" s="2955"/>
      <c r="O48" s="2955"/>
      <c r="P48" s="3355" t="str">
        <f>A48</f>
        <v>估价对象XX用房的比较价值（楼面单价，元/平方米）</v>
      </c>
      <c r="Q48" s="3356"/>
      <c r="R48" s="3372" t="e">
        <f>ROUND(IF(D47="简单平均",AVERAGE(R47:W47),R47*F47+T47*H47+V47*J47),0)</f>
        <v>#DIV/0!</v>
      </c>
      <c r="S48" s="3372"/>
      <c r="T48" s="3372"/>
      <c r="U48" s="3372"/>
      <c r="V48" s="3372"/>
      <c r="W48" s="3372"/>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2577</v>
      </c>
      <c r="B55" s="641" t="s">
        <v>2578</v>
      </c>
      <c r="C55" s="2171" t="s">
        <v>2579</v>
      </c>
      <c r="D55" s="2172" t="s">
        <v>2580</v>
      </c>
      <c r="E55" s="642" t="s">
        <v>2581</v>
      </c>
      <c r="F55" s="1021" t="s">
        <v>2582</v>
      </c>
      <c r="G55" s="3341" t="s">
        <v>2583</v>
      </c>
      <c r="H55" s="3373"/>
      <c r="I55" s="140" t="s">
        <v>2584</v>
      </c>
      <c r="J55" s="2173">
        <f>项目基本情况!F35</f>
        <v>0</v>
      </c>
      <c r="K55" s="2174" t="s">
        <v>2585</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2586</v>
      </c>
      <c r="B56" s="645" t="e">
        <f>C48</f>
        <v>#DIV/0!</v>
      </c>
      <c r="C56" s="646">
        <v>1</v>
      </c>
      <c r="D56" s="1075">
        <v>1</v>
      </c>
      <c r="E56" s="646">
        <f>'数据-汇总表'!E8+'数据-汇总表'!E9</f>
        <v>28836.85999999999</v>
      </c>
      <c r="F56" s="1017" t="e">
        <f t="shared" ref="F56:F65" si="15">ROUND(B56*E56/10000,0)</f>
        <v>#DIV/0!</v>
      </c>
      <c r="G56" s="3340"/>
      <c r="H56" s="3358"/>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2587</v>
      </c>
      <c r="B57" s="224" t="e">
        <f>ROUND($C$48*C57*D57,0)</f>
        <v>#DIV/0!</v>
      </c>
      <c r="C57" s="176">
        <f t="shared" ref="C57:C65" si="16">IF($C$55="北京市系数",I57,J57)</f>
        <v>0.7</v>
      </c>
      <c r="D57" s="1076">
        <v>0.25</v>
      </c>
      <c r="E57" s="650"/>
      <c r="F57" s="1017" t="e">
        <f t="shared" si="15"/>
        <v>#DIV/0!</v>
      </c>
      <c r="G57" s="3374" t="s">
        <v>2588</v>
      </c>
      <c r="H57" s="1018" t="str">
        <f>项目基本情况!B37</f>
        <v>四级</v>
      </c>
      <c r="I57" s="1022">
        <f>SUMIF(修正!A45:A56,H57,修正!B45:B56)</f>
        <v>0.7</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2589</v>
      </c>
      <c r="B58" s="224" t="e">
        <f t="shared" ref="B58:B65" si="17">ROUND($C$48*C58*D58,0)</f>
        <v>#DIV/0!</v>
      </c>
      <c r="C58" s="176">
        <f t="shared" si="16"/>
        <v>0.4</v>
      </c>
      <c r="D58" s="1076">
        <v>0.25</v>
      </c>
      <c r="E58" s="650"/>
      <c r="F58" s="1017" t="e">
        <f t="shared" si="15"/>
        <v>#DIV/0!</v>
      </c>
      <c r="G58" s="3374"/>
      <c r="H58" s="1018" t="str">
        <f>项目基本情况!B37</f>
        <v>四级</v>
      </c>
      <c r="I58" s="1022">
        <f>SUMIF(修正!A45:A56,H58,修正!C45:C56)</f>
        <v>0.4</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2590</v>
      </c>
      <c r="B59" s="224" t="e">
        <f t="shared" si="17"/>
        <v>#DIV/0!</v>
      </c>
      <c r="C59" s="176">
        <f t="shared" si="16"/>
        <v>0.28000000000000003</v>
      </c>
      <c r="D59" s="1076">
        <v>0.25</v>
      </c>
      <c r="E59" s="650"/>
      <c r="F59" s="1017" t="e">
        <f t="shared" si="15"/>
        <v>#DIV/0!</v>
      </c>
      <c r="G59" s="3374"/>
      <c r="H59" s="1018" t="str">
        <f>项目基本情况!B37</f>
        <v>四级</v>
      </c>
      <c r="I59" s="1022">
        <f>SUMIF(修正!A45:A56,H59,修正!D45:D56)</f>
        <v>0.28000000000000003</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2591</v>
      </c>
      <c r="B60" s="224" t="e">
        <f t="shared" si="17"/>
        <v>#DIV/0!</v>
      </c>
      <c r="C60" s="176">
        <f t="shared" si="16"/>
        <v>0.25</v>
      </c>
      <c r="D60" s="1076">
        <v>0.25</v>
      </c>
      <c r="E60" s="650"/>
      <c r="F60" s="1017" t="e">
        <f t="shared" si="15"/>
        <v>#DIV/0!</v>
      </c>
      <c r="G60" s="3374"/>
      <c r="H60" s="1018" t="str">
        <f>项目基本情况!B37</f>
        <v>四级</v>
      </c>
      <c r="I60" s="1022">
        <f>SUMIF(修正!A45:A56,H60,修正!E45:E56)</f>
        <v>0.25</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2592</v>
      </c>
      <c r="B61" s="224" t="e">
        <f t="shared" si="17"/>
        <v>#DIV/0!</v>
      </c>
      <c r="C61" s="176">
        <f t="shared" si="16"/>
        <v>0.25</v>
      </c>
      <c r="D61" s="1076">
        <v>0.25</v>
      </c>
      <c r="E61" s="223">
        <f>'数据-汇总表'!E11</f>
        <v>1672.86</v>
      </c>
      <c r="F61" s="1017" t="e">
        <f t="shared" si="15"/>
        <v>#DIV/0!</v>
      </c>
      <c r="G61" s="2175" t="s">
        <v>2593</v>
      </c>
      <c r="H61" s="1018" t="str">
        <f>项目基本情况!C37</f>
        <v>四级</v>
      </c>
      <c r="I61" s="1022">
        <f>SUMIF(修正!A45:A56,H61,修正!F45:F56)</f>
        <v>0.25</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2594</v>
      </c>
      <c r="B62" s="224" t="e">
        <f t="shared" si="17"/>
        <v>#DIV/0!</v>
      </c>
      <c r="C62" s="176">
        <f t="shared" si="16"/>
        <v>0.25</v>
      </c>
      <c r="D62" s="1076">
        <v>0.25</v>
      </c>
      <c r="E62" s="223">
        <f>'数据-汇总表'!E12</f>
        <v>0</v>
      </c>
      <c r="F62" s="1017" t="e">
        <f t="shared" si="15"/>
        <v>#DIV/0!</v>
      </c>
      <c r="G62" s="1023" t="s">
        <v>2595</v>
      </c>
      <c r="H62" s="1018" t="str">
        <f>IF(G62="商业",项目基本情况!B37,IF(G62="办公",项目基本情况!C37,IF(G62="住宅",项目基本情况!D37,项目基本情况!E37)))</f>
        <v>四级</v>
      </c>
      <c r="I62" s="1022">
        <f>SUMIF(修正!A45:A56,H62,修正!G45:G56)</f>
        <v>0.25</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2598</v>
      </c>
      <c r="B64" s="224" t="e">
        <f t="shared" si="17"/>
        <v>#DIV/0!</v>
      </c>
      <c r="C64" s="176">
        <f t="shared" si="16"/>
        <v>0.2</v>
      </c>
      <c r="D64" s="1076">
        <v>0.25</v>
      </c>
      <c r="E64" s="223">
        <f>'数据-汇总表'!E14</f>
        <v>0</v>
      </c>
      <c r="F64" s="1017" t="e">
        <f t="shared" si="15"/>
        <v>#DIV/0!</v>
      </c>
      <c r="G64" s="2175" t="s">
        <v>2588</v>
      </c>
      <c r="H64" s="1018" t="str">
        <f>项目基本情况!B37</f>
        <v>四级</v>
      </c>
      <c r="I64" s="1022">
        <f>SUMIF(修正!A45:A56,H64,修正!H45:H56)</f>
        <v>0.2</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2599</v>
      </c>
      <c r="B65" s="224" t="e">
        <f t="shared" si="17"/>
        <v>#DIV/0!</v>
      </c>
      <c r="C65" s="176">
        <f t="shared" si="16"/>
        <v>0.2</v>
      </c>
      <c r="D65" s="1076">
        <v>0.25</v>
      </c>
      <c r="E65" s="223">
        <f>'数据-汇总表'!E15</f>
        <v>0</v>
      </c>
      <c r="F65" s="1017" t="e">
        <f t="shared" si="15"/>
        <v>#DIV/0!</v>
      </c>
      <c r="G65" s="2176" t="s">
        <v>2593</v>
      </c>
      <c r="H65" s="1028" t="str">
        <f>项目基本情况!C37</f>
        <v>四级</v>
      </c>
      <c r="I65" s="1024">
        <f>SUMIF(修正!A45:A56,H65,修正!H45:H56)</f>
        <v>0.2</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2600</v>
      </c>
      <c r="B66" s="652" t="s">
        <v>28</v>
      </c>
      <c r="C66" s="652" t="s">
        <v>29</v>
      </c>
      <c r="D66" s="652" t="s">
        <v>997</v>
      </c>
      <c r="E66" s="652">
        <f>IF(B46="楼面地价",SUM(E56:E65),'数据-汇总表'!D3)</f>
        <v>30509.71999999999</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5"/>
      <c r="Q68" s="2955"/>
      <c r="R68" s="2955"/>
      <c r="S68" s="2955"/>
      <c r="T68" s="2955"/>
      <c r="U68" s="2955"/>
      <c r="V68" s="2955"/>
      <c r="W68" s="2955"/>
      <c r="X68" s="2955"/>
      <c r="Y68" s="2955"/>
      <c r="Z68" s="2955"/>
      <c r="AA68" s="2955"/>
      <c r="AB68" s="2955"/>
      <c r="AC68" s="2955"/>
    </row>
    <row r="69" spans="1:29" ht="21.75" thickBot="1">
      <c r="A69" s="703" t="s">
        <v>2493</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7" t="s">
        <v>2601</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6"/>
      <c r="Q70" s="2971"/>
      <c r="R70" s="2971"/>
      <c r="S70" s="2971"/>
      <c r="T70" s="2971"/>
      <c r="U70" s="2971"/>
      <c r="V70" s="2971"/>
      <c r="W70" s="2971"/>
      <c r="X70" s="2971"/>
      <c r="Y70" s="2971"/>
      <c r="Z70" s="2971"/>
      <c r="AA70" s="2971"/>
      <c r="AB70" s="2971"/>
      <c r="AC70" s="2971"/>
    </row>
    <row r="71" spans="1:29" s="113" customFormat="1" ht="30" customHeight="1">
      <c r="A71" s="2178" t="s">
        <v>2602</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9"/>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69"/>
      <c r="Q72" s="2969"/>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2"/>
      <c r="O73" s="2982"/>
      <c r="P73" s="3007"/>
      <c r="Q73" s="2969"/>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2376</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2378</v>
      </c>
      <c r="B88" s="485" t="s">
        <v>2415</v>
      </c>
      <c r="C88" s="530" t="s">
        <v>2416</v>
      </c>
      <c r="D88" s="530" t="s">
        <v>2417</v>
      </c>
      <c r="E88" s="530" t="s">
        <v>2418</v>
      </c>
      <c r="F88" s="530" t="s">
        <v>2419</v>
      </c>
      <c r="G88" s="530" t="s">
        <v>2420</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2603</v>
      </c>
      <c r="C90" s="535" t="s">
        <v>2416</v>
      </c>
      <c r="D90" s="535" t="s">
        <v>2417</v>
      </c>
      <c r="E90" s="535" t="s">
        <v>2418</v>
      </c>
      <c r="F90" s="535" t="s">
        <v>2419</v>
      </c>
      <c r="G90" s="535" t="s">
        <v>2420</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2516</v>
      </c>
      <c r="C92" s="535" t="s">
        <v>2416</v>
      </c>
      <c r="D92" s="535" t="s">
        <v>2417</v>
      </c>
      <c r="E92" s="535" t="s">
        <v>2418</v>
      </c>
      <c r="F92" s="535" t="s">
        <v>2419</v>
      </c>
      <c r="G92" s="535" t="s">
        <v>2420</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2421</v>
      </c>
      <c r="C94" s="535" t="s">
        <v>2416</v>
      </c>
      <c r="D94" s="535" t="s">
        <v>2417</v>
      </c>
      <c r="E94" s="535" t="s">
        <v>2418</v>
      </c>
      <c r="F94" s="535" t="s">
        <v>2419</v>
      </c>
      <c r="G94" s="535" t="s">
        <v>2420</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2"/>
      <c r="O96" s="2982"/>
      <c r="P96" s="3008"/>
      <c r="Q96" s="2969"/>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2"/>
      <c r="O98" s="2982"/>
      <c r="P98" s="3008"/>
      <c r="Q98" s="2969"/>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2510</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2569</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2611</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2612</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2613</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2614</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45" t="s">
        <v>2470</v>
      </c>
      <c r="Q4" s="3346"/>
      <c r="R4" s="3328" t="s">
        <v>2466</v>
      </c>
      <c r="S4" s="3329"/>
      <c r="T4" s="3328" t="s">
        <v>2467</v>
      </c>
      <c r="U4" s="3329"/>
      <c r="V4" s="3353" t="s">
        <v>2468</v>
      </c>
      <c r="W4" s="3353"/>
      <c r="X4" s="1541"/>
      <c r="Y4" s="3328" t="s">
        <v>2470</v>
      </c>
      <c r="Z4" s="3329"/>
      <c r="AA4" s="3323" t="s">
        <v>2466</v>
      </c>
      <c r="AB4" s="3324" t="s">
        <v>2467</v>
      </c>
      <c r="AC4" s="3323" t="s">
        <v>2468</v>
      </c>
    </row>
    <row r="5" spans="1:29" ht="15">
      <c r="A5" s="364"/>
      <c r="B5" s="365"/>
      <c r="C5" s="3334" t="s">
        <v>2361</v>
      </c>
      <c r="D5" s="3335"/>
      <c r="E5" s="3332" t="s">
        <v>2362</v>
      </c>
      <c r="F5" s="3333"/>
      <c r="G5" s="3334" t="s">
        <v>2363</v>
      </c>
      <c r="H5" s="3335"/>
      <c r="I5" s="3334" t="s">
        <v>2364</v>
      </c>
      <c r="J5" s="3335"/>
      <c r="K5" s="567"/>
      <c r="L5" s="2945"/>
      <c r="M5" s="2946"/>
      <c r="N5" s="2946"/>
      <c r="O5" s="2946"/>
      <c r="P5" s="3347"/>
      <c r="Q5" s="3348"/>
      <c r="R5" s="3330"/>
      <c r="S5" s="3331"/>
      <c r="T5" s="3330"/>
      <c r="U5" s="3331"/>
      <c r="V5" s="3353"/>
      <c r="W5" s="3353"/>
      <c r="X5" s="1541"/>
      <c r="Y5" s="3330"/>
      <c r="Z5" s="3331"/>
      <c r="AA5" s="3324"/>
      <c r="AB5" s="3324"/>
      <c r="AC5" s="3324"/>
    </row>
    <row r="6" spans="1:29" ht="15.75" thickBot="1">
      <c r="A6" s="366"/>
      <c r="B6" s="367"/>
      <c r="C6" s="3375" t="s">
        <v>2616</v>
      </c>
      <c r="D6" s="3376"/>
      <c r="E6" s="3377" t="s">
        <v>2616</v>
      </c>
      <c r="F6" s="3378"/>
      <c r="G6" s="3375" t="s">
        <v>2616</v>
      </c>
      <c r="H6" s="3376"/>
      <c r="I6" s="3375" t="s">
        <v>2616</v>
      </c>
      <c r="J6" s="3376"/>
      <c r="K6" s="567" t="s">
        <v>2366</v>
      </c>
      <c r="L6" s="2945"/>
      <c r="M6" s="2946"/>
      <c r="N6" s="2946"/>
      <c r="O6" s="2946"/>
      <c r="P6" s="3349"/>
      <c r="Q6" s="3350"/>
      <c r="R6" s="3330"/>
      <c r="S6" s="3331"/>
      <c r="T6" s="3351"/>
      <c r="U6" s="3352"/>
      <c r="V6" s="3353"/>
      <c r="W6" s="3353"/>
      <c r="X6" s="1541"/>
      <c r="Y6" s="3351"/>
      <c r="Z6" s="3352"/>
      <c r="AA6" s="3325"/>
      <c r="AB6" s="3325"/>
      <c r="AC6" s="3325"/>
    </row>
    <row r="7" spans="1:29" s="113" customFormat="1" ht="15.75" thickBot="1">
      <c r="A7" s="368" t="s">
        <v>2367</v>
      </c>
      <c r="B7" s="369"/>
      <c r="C7" s="370">
        <f>'数据-取费表'!B2</f>
        <v>44120</v>
      </c>
      <c r="D7" s="371">
        <v>100</v>
      </c>
      <c r="E7" s="372"/>
      <c r="F7" s="373">
        <f>SUMIF(65:65,YEAR(E7)&amp;"-"&amp;INT((MONTH(E7)+2)/3),66:66)</f>
        <v>0</v>
      </c>
      <c r="G7" s="2162"/>
      <c r="H7" s="371">
        <f>SUMIF(65:65,YEAR(G7)&amp;"-"&amp;INT((MONTH(G7)+2)/3),66:66)</f>
        <v>0</v>
      </c>
      <c r="I7" s="2162"/>
      <c r="J7" s="371">
        <f>SUMIF(65:65,YEAR(I7)&amp;"-"&amp;INT((MONTH(I7)+2)/3),66:66)</f>
        <v>0</v>
      </c>
      <c r="K7" s="568"/>
      <c r="L7" s="2947"/>
      <c r="M7" s="2948"/>
      <c r="N7" s="2948"/>
      <c r="O7" s="2948"/>
      <c r="P7" s="3326" t="s">
        <v>2368</v>
      </c>
      <c r="Q7" s="3354"/>
      <c r="R7" s="710" t="s">
        <v>17</v>
      </c>
      <c r="S7" s="711">
        <f t="shared" ref="S7:S15" si="0">F7</f>
        <v>0</v>
      </c>
      <c r="T7" s="710" t="s">
        <v>17</v>
      </c>
      <c r="U7" s="711">
        <f t="shared" ref="U7:U15" si="1">H7</f>
        <v>0</v>
      </c>
      <c r="V7" s="710" t="s">
        <v>17</v>
      </c>
      <c r="W7" s="711">
        <f t="shared" ref="W7:W15" si="2">J7</f>
        <v>0</v>
      </c>
      <c r="X7" s="712"/>
      <c r="Y7" s="3326" t="s">
        <v>2368</v>
      </c>
      <c r="Z7" s="3327"/>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26" t="s">
        <v>2371</v>
      </c>
      <c r="Q8" s="3327"/>
      <c r="R8" s="710" t="s">
        <v>17</v>
      </c>
      <c r="S8" s="711">
        <f t="shared" si="0"/>
        <v>0</v>
      </c>
      <c r="T8" s="710" t="s">
        <v>17</v>
      </c>
      <c r="U8" s="711">
        <f t="shared" si="1"/>
        <v>0</v>
      </c>
      <c r="V8" s="710" t="s">
        <v>17</v>
      </c>
      <c r="W8" s="711">
        <f t="shared" si="2"/>
        <v>0</v>
      </c>
      <c r="X8" s="712"/>
      <c r="Y8" s="3326" t="s">
        <v>2371</v>
      </c>
      <c r="Z8" s="3327"/>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7"/>
      <c r="M9" s="2948"/>
      <c r="N9" s="2948"/>
      <c r="O9" s="3002"/>
      <c r="P9" s="3358"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136</v>
      </c>
      <c r="G10" s="391"/>
      <c r="H10" s="132">
        <f>ROUND(100/'数据-取费表'!G16,0)</f>
        <v>136</v>
      </c>
      <c r="I10" s="391"/>
      <c r="J10" s="132">
        <f>ROUND(100/'数据-取费表'!G16,0)</f>
        <v>136</v>
      </c>
      <c r="K10" s="628"/>
      <c r="L10" s="2949"/>
      <c r="M10" s="2950"/>
      <c r="N10" s="2950"/>
      <c r="O10" s="3003"/>
      <c r="P10" s="3358"/>
      <c r="Q10" s="1529" t="str">
        <f t="shared" si="6"/>
        <v>土地使用年限（年）</v>
      </c>
      <c r="R10" s="710" t="s">
        <v>17</v>
      </c>
      <c r="S10" s="711">
        <f t="shared" si="0"/>
        <v>136</v>
      </c>
      <c r="T10" s="710" t="s">
        <v>17</v>
      </c>
      <c r="U10" s="711">
        <f t="shared" si="1"/>
        <v>136</v>
      </c>
      <c r="V10" s="710" t="s">
        <v>17</v>
      </c>
      <c r="W10" s="711">
        <f t="shared" si="2"/>
        <v>136</v>
      </c>
      <c r="X10" s="712"/>
      <c r="Y10" s="3240"/>
      <c r="Z10" s="55" t="str">
        <f t="shared" si="7"/>
        <v>土地使用年限（年）</v>
      </c>
      <c r="AA10" s="713">
        <f t="shared" si="3"/>
        <v>0.73529411764705888</v>
      </c>
      <c r="AB10" s="713">
        <f t="shared" si="4"/>
        <v>0.73529411764705888</v>
      </c>
      <c r="AC10" s="713">
        <f t="shared" si="5"/>
        <v>0.73529411764705888</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58"/>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58"/>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58"/>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58"/>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60" t="s">
        <v>2379</v>
      </c>
      <c r="Q15" s="1538" t="str">
        <f t="shared" si="6"/>
        <v>产业集聚程度</v>
      </c>
      <c r="R15" s="714" t="s">
        <v>17</v>
      </c>
      <c r="S15" s="715">
        <f t="shared" si="0"/>
        <v>100</v>
      </c>
      <c r="T15" s="714" t="s">
        <v>17</v>
      </c>
      <c r="U15" s="715">
        <f t="shared" si="1"/>
        <v>100</v>
      </c>
      <c r="V15" s="714" t="s">
        <v>17</v>
      </c>
      <c r="W15" s="715">
        <f t="shared" si="2"/>
        <v>100</v>
      </c>
      <c r="X15" s="1541"/>
      <c r="Y15" s="3360"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2"/>
      <c r="M16" s="2946"/>
      <c r="N16" s="2946"/>
      <c r="O16" s="3004"/>
      <c r="P16" s="3361"/>
      <c r="Q16" s="1538"/>
      <c r="R16" s="714"/>
      <c r="S16" s="715"/>
      <c r="T16" s="714"/>
      <c r="U16" s="715"/>
      <c r="V16" s="714"/>
      <c r="W16" s="715"/>
      <c r="X16" s="1541"/>
      <c r="Y16" s="3361"/>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61"/>
      <c r="Q17" s="1538" t="str">
        <f>B17</f>
        <v>交通便捷度</v>
      </c>
      <c r="R17" s="714" t="s">
        <v>17</v>
      </c>
      <c r="S17" s="715">
        <f>F17</f>
        <v>100</v>
      </c>
      <c r="T17" s="714" t="s">
        <v>17</v>
      </c>
      <c r="U17" s="715">
        <f>H17</f>
        <v>100</v>
      </c>
      <c r="V17" s="714" t="s">
        <v>17</v>
      </c>
      <c r="W17" s="715">
        <f>J17</f>
        <v>100</v>
      </c>
      <c r="X17" s="1541"/>
      <c r="Y17" s="336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2"/>
      <c r="M18" s="2946"/>
      <c r="N18" s="2946"/>
      <c r="O18" s="3004"/>
      <c r="P18" s="3361"/>
      <c r="Q18" s="1538"/>
      <c r="R18" s="714"/>
      <c r="S18" s="715"/>
      <c r="T18" s="714"/>
      <c r="U18" s="715"/>
      <c r="V18" s="714"/>
      <c r="W18" s="715"/>
      <c r="X18" s="1541"/>
      <c r="Y18" s="3361"/>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61"/>
      <c r="Q19" s="1538" t="str">
        <f t="shared" ref="Q19:Q33" si="8">B19</f>
        <v>区域土地利用方向</v>
      </c>
      <c r="R19" s="714" t="s">
        <v>17</v>
      </c>
      <c r="S19" s="715">
        <f>F19</f>
        <v>100</v>
      </c>
      <c r="T19" s="714" t="s">
        <v>17</v>
      </c>
      <c r="U19" s="715">
        <f>H19</f>
        <v>100</v>
      </c>
      <c r="V19" s="714" t="s">
        <v>17</v>
      </c>
      <c r="W19" s="715">
        <f>J19</f>
        <v>100</v>
      </c>
      <c r="X19" s="1541"/>
      <c r="Y19" s="336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2"/>
      <c r="M20" s="2946"/>
      <c r="N20" s="2946"/>
      <c r="O20" s="3004"/>
      <c r="P20" s="3361"/>
      <c r="Q20" s="1538"/>
      <c r="R20" s="714"/>
      <c r="S20" s="715"/>
      <c r="T20" s="714"/>
      <c r="U20" s="715"/>
      <c r="V20" s="714"/>
      <c r="W20" s="715"/>
      <c r="X20" s="1541"/>
      <c r="Y20" s="3361"/>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61"/>
      <c r="Q21" s="1538" t="str">
        <f t="shared" si="8"/>
        <v>环境状况</v>
      </c>
      <c r="R21" s="714" t="s">
        <v>17</v>
      </c>
      <c r="S21" s="715">
        <f>F21</f>
        <v>100</v>
      </c>
      <c r="T21" s="714" t="s">
        <v>17</v>
      </c>
      <c r="U21" s="715">
        <f>H21</f>
        <v>100</v>
      </c>
      <c r="V21" s="714" t="s">
        <v>17</v>
      </c>
      <c r="W21" s="715">
        <f>J21</f>
        <v>100</v>
      </c>
      <c r="X21" s="1541"/>
      <c r="Y21" s="336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2"/>
      <c r="M22" s="2946"/>
      <c r="N22" s="2946"/>
      <c r="O22" s="3004"/>
      <c r="P22" s="3361"/>
      <c r="Q22" s="1538"/>
      <c r="R22" s="714"/>
      <c r="S22" s="715"/>
      <c r="T22" s="714"/>
      <c r="U22" s="715"/>
      <c r="V22" s="714"/>
      <c r="W22" s="715"/>
      <c r="X22" s="1541"/>
      <c r="Y22" s="3361"/>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61"/>
      <c r="Q23" s="1529" t="str">
        <f t="shared" si="8"/>
        <v>公共配套设施</v>
      </c>
      <c r="R23" s="710" t="s">
        <v>17</v>
      </c>
      <c r="S23" s="711">
        <f>F23</f>
        <v>100</v>
      </c>
      <c r="T23" s="710" t="s">
        <v>17</v>
      </c>
      <c r="U23" s="711">
        <f>H23</f>
        <v>100</v>
      </c>
      <c r="V23" s="710" t="s">
        <v>17</v>
      </c>
      <c r="W23" s="711">
        <f>J23</f>
        <v>100</v>
      </c>
      <c r="X23" s="712"/>
      <c r="Y23" s="336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7"/>
      <c r="M24" s="2948"/>
      <c r="N24" s="2948"/>
      <c r="O24" s="3002"/>
      <c r="P24" s="3361"/>
      <c r="Q24" s="1529"/>
      <c r="R24" s="710"/>
      <c r="S24" s="711"/>
      <c r="T24" s="710"/>
      <c r="U24" s="711"/>
      <c r="V24" s="710"/>
      <c r="W24" s="711"/>
      <c r="X24" s="712"/>
      <c r="Y24" s="3361"/>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61"/>
      <c r="Q25" s="1529" t="str">
        <f t="shared" ref="Q25" si="9">B25</f>
        <v>基础设施水平</v>
      </c>
      <c r="R25" s="710" t="s">
        <v>17</v>
      </c>
      <c r="S25" s="711">
        <f>F25</f>
        <v>100</v>
      </c>
      <c r="T25" s="710" t="s">
        <v>17</v>
      </c>
      <c r="U25" s="711">
        <f>H25</f>
        <v>100</v>
      </c>
      <c r="V25" s="710" t="s">
        <v>17</v>
      </c>
      <c r="W25" s="711">
        <f>J25</f>
        <v>100</v>
      </c>
      <c r="X25" s="712"/>
      <c r="Y25" s="336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7"/>
      <c r="M26" s="2948"/>
      <c r="N26" s="2948"/>
      <c r="O26" s="3002"/>
      <c r="P26" s="3361"/>
      <c r="Q26" s="1529"/>
      <c r="R26" s="710"/>
      <c r="S26" s="711"/>
      <c r="T26" s="710"/>
      <c r="U26" s="711"/>
      <c r="V26" s="710"/>
      <c r="W26" s="711"/>
      <c r="X26" s="712"/>
      <c r="Y26" s="3361"/>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6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61"/>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61"/>
      <c r="Q28" s="1538" t="str">
        <f t="shared" si="8"/>
        <v>毗邻道路的类型与等级</v>
      </c>
      <c r="R28" s="714" t="s">
        <v>17</v>
      </c>
      <c r="S28" s="715">
        <f t="shared" si="10"/>
        <v>100</v>
      </c>
      <c r="T28" s="714" t="s">
        <v>17</v>
      </c>
      <c r="U28" s="715">
        <f t="shared" si="11"/>
        <v>100</v>
      </c>
      <c r="V28" s="714" t="s">
        <v>17</v>
      </c>
      <c r="W28" s="715">
        <f t="shared" si="12"/>
        <v>100</v>
      </c>
      <c r="X28" s="1541"/>
      <c r="Y28" s="336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2"/>
      <c r="M29" s="2946"/>
      <c r="N29" s="2946"/>
      <c r="O29" s="3004"/>
      <c r="P29" s="3361"/>
      <c r="Q29" s="1538"/>
      <c r="R29" s="714"/>
      <c r="S29" s="715"/>
      <c r="T29" s="714"/>
      <c r="U29" s="715"/>
      <c r="V29" s="714"/>
      <c r="W29" s="715"/>
      <c r="X29" s="1541"/>
      <c r="Y29" s="3361"/>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61"/>
      <c r="Q30" s="1538" t="str">
        <f t="shared" si="8"/>
        <v>土地级别</v>
      </c>
      <c r="R30" s="714" t="s">
        <v>17</v>
      </c>
      <c r="S30" s="715">
        <f t="shared" si="10"/>
        <v>100</v>
      </c>
      <c r="T30" s="714" t="s">
        <v>17</v>
      </c>
      <c r="U30" s="715">
        <f t="shared" si="11"/>
        <v>100</v>
      </c>
      <c r="V30" s="714" t="s">
        <v>17</v>
      </c>
      <c r="W30" s="715">
        <f t="shared" si="12"/>
        <v>100</v>
      </c>
      <c r="X30" s="1541"/>
      <c r="Y30" s="336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61"/>
      <c r="Q31" s="1538">
        <f t="shared" si="8"/>
        <v>111</v>
      </c>
      <c r="R31" s="714" t="s">
        <v>17</v>
      </c>
      <c r="S31" s="715">
        <f t="shared" si="10"/>
        <v>100</v>
      </c>
      <c r="T31" s="714" t="s">
        <v>17</v>
      </c>
      <c r="U31" s="715">
        <f t="shared" si="11"/>
        <v>100</v>
      </c>
      <c r="V31" s="714" t="s">
        <v>17</v>
      </c>
      <c r="W31" s="715">
        <f t="shared" si="12"/>
        <v>100</v>
      </c>
      <c r="X31" s="1541"/>
      <c r="Y31" s="336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9" t="s">
        <v>2384</v>
      </c>
      <c r="Q32" s="1538">
        <f t="shared" si="8"/>
        <v>111</v>
      </c>
      <c r="R32" s="714" t="s">
        <v>17</v>
      </c>
      <c r="S32" s="715">
        <f t="shared" si="10"/>
        <v>100</v>
      </c>
      <c r="T32" s="714" t="s">
        <v>17</v>
      </c>
      <c r="U32" s="715">
        <f t="shared" si="11"/>
        <v>100</v>
      </c>
      <c r="V32" s="714" t="s">
        <v>17</v>
      </c>
      <c r="W32" s="715">
        <f t="shared" si="12"/>
        <v>100</v>
      </c>
      <c r="X32" s="1541"/>
      <c r="Y32" s="3365"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65"/>
      <c r="Q33" s="1538">
        <f t="shared" si="8"/>
        <v>111</v>
      </c>
      <c r="R33" s="717" t="s">
        <v>17</v>
      </c>
      <c r="S33" s="718">
        <f t="shared" si="10"/>
        <v>100</v>
      </c>
      <c r="T33" s="717" t="s">
        <v>17</v>
      </c>
      <c r="U33" s="718">
        <f t="shared" si="11"/>
        <v>100</v>
      </c>
      <c r="V33" s="717" t="s">
        <v>17</v>
      </c>
      <c r="W33" s="718">
        <f t="shared" si="12"/>
        <v>100</v>
      </c>
      <c r="X33" s="719"/>
      <c r="Y33" s="3365"/>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65"/>
      <c r="Q34" s="1538" t="str">
        <f>B34</f>
        <v>宗地面积</v>
      </c>
      <c r="R34" s="714" t="s">
        <v>17</v>
      </c>
      <c r="S34" s="715" t="e">
        <f t="shared" si="10"/>
        <v>#N/A</v>
      </c>
      <c r="T34" s="714" t="s">
        <v>17</v>
      </c>
      <c r="U34" s="715" t="e">
        <f t="shared" si="11"/>
        <v>#N/A</v>
      </c>
      <c r="V34" s="714" t="s">
        <v>17</v>
      </c>
      <c r="W34" s="715" t="e">
        <f t="shared" si="12"/>
        <v>#N/A</v>
      </c>
      <c r="X34" s="1541"/>
      <c r="Y34" s="3365"/>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2"/>
      <c r="M35" s="2946"/>
      <c r="N35" s="2946"/>
      <c r="O35" s="3004"/>
      <c r="P35" s="3365"/>
      <c r="Q35" s="1538" t="str">
        <f t="shared" ref="Q35:Q40" si="14">B35</f>
        <v>宗地形状</v>
      </c>
      <c r="R35" s="714" t="s">
        <v>17</v>
      </c>
      <c r="S35" s="715">
        <f t="shared" si="10"/>
        <v>100</v>
      </c>
      <c r="T35" s="714" t="s">
        <v>17</v>
      </c>
      <c r="U35" s="715">
        <f t="shared" si="11"/>
        <v>100</v>
      </c>
      <c r="V35" s="714" t="s">
        <v>17</v>
      </c>
      <c r="W35" s="715">
        <f t="shared" si="12"/>
        <v>100</v>
      </c>
      <c r="X35" s="1541"/>
      <c r="Y35" s="3365"/>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7"/>
      <c r="M36" s="2948"/>
      <c r="N36" s="2948"/>
      <c r="O36" s="3002"/>
      <c r="P36" s="3365"/>
      <c r="Q36" s="1538" t="str">
        <f t="shared" si="14"/>
        <v>宗地开发程度</v>
      </c>
      <c r="R36" s="710" t="s">
        <v>17</v>
      </c>
      <c r="S36" s="711">
        <f t="shared" si="10"/>
        <v>100</v>
      </c>
      <c r="T36" s="710" t="s">
        <v>17</v>
      </c>
      <c r="U36" s="711">
        <f t="shared" si="11"/>
        <v>100</v>
      </c>
      <c r="V36" s="710" t="s">
        <v>17</v>
      </c>
      <c r="W36" s="711">
        <f t="shared" si="12"/>
        <v>100</v>
      </c>
      <c r="X36" s="712"/>
      <c r="Y36" s="3365"/>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2"/>
      <c r="M37" s="2946"/>
      <c r="N37" s="2946"/>
      <c r="O37" s="3004"/>
      <c r="P37" s="3365" t="s">
        <v>2384</v>
      </c>
      <c r="Q37" s="1538" t="str">
        <f t="shared" si="14"/>
        <v>工程地质条件</v>
      </c>
      <c r="R37" s="714" t="s">
        <v>17</v>
      </c>
      <c r="S37" s="715">
        <f t="shared" si="10"/>
        <v>100</v>
      </c>
      <c r="T37" s="714" t="s">
        <v>17</v>
      </c>
      <c r="U37" s="715">
        <f t="shared" si="11"/>
        <v>100</v>
      </c>
      <c r="V37" s="714" t="s">
        <v>17</v>
      </c>
      <c r="W37" s="715">
        <f t="shared" si="12"/>
        <v>100</v>
      </c>
      <c r="X37" s="1541"/>
      <c r="Y37" s="3365"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65"/>
      <c r="Q38" s="1538">
        <f t="shared" si="14"/>
        <v>111</v>
      </c>
      <c r="R38" s="714" t="s">
        <v>17</v>
      </c>
      <c r="S38" s="715">
        <f t="shared" si="10"/>
        <v>100</v>
      </c>
      <c r="T38" s="714" t="s">
        <v>17</v>
      </c>
      <c r="U38" s="715">
        <f t="shared" si="11"/>
        <v>100</v>
      </c>
      <c r="V38" s="714" t="s">
        <v>17</v>
      </c>
      <c r="W38" s="715">
        <f t="shared" si="12"/>
        <v>100</v>
      </c>
      <c r="X38" s="1541"/>
      <c r="Y38" s="336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65"/>
      <c r="Q39" s="1538">
        <f t="shared" si="14"/>
        <v>111</v>
      </c>
      <c r="R39" s="714" t="s">
        <v>17</v>
      </c>
      <c r="S39" s="715">
        <f t="shared" si="10"/>
        <v>100</v>
      </c>
      <c r="T39" s="714" t="s">
        <v>17</v>
      </c>
      <c r="U39" s="715">
        <f t="shared" si="11"/>
        <v>100</v>
      </c>
      <c r="V39" s="714" t="s">
        <v>17</v>
      </c>
      <c r="W39" s="715">
        <f t="shared" si="12"/>
        <v>100</v>
      </c>
      <c r="X39" s="1541"/>
      <c r="Y39" s="336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65"/>
      <c r="Q40" s="1538">
        <f t="shared" si="14"/>
        <v>111</v>
      </c>
      <c r="R40" s="717" t="s">
        <v>17</v>
      </c>
      <c r="S40" s="718">
        <f t="shared" si="10"/>
        <v>100</v>
      </c>
      <c r="T40" s="717" t="s">
        <v>17</v>
      </c>
      <c r="U40" s="718">
        <f t="shared" si="11"/>
        <v>100</v>
      </c>
      <c r="V40" s="717" t="s">
        <v>17</v>
      </c>
      <c r="W40" s="718">
        <f t="shared" si="12"/>
        <v>100</v>
      </c>
      <c r="X40" s="719"/>
      <c r="Y40" s="3365"/>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4"/>
      <c r="M41" s="2946"/>
      <c r="N41" s="2946"/>
      <c r="O41" s="2955"/>
      <c r="P41" s="3358" t="str">
        <f>A41</f>
        <v>成交单价</v>
      </c>
      <c r="Q41" s="3358"/>
      <c r="R41" s="3353">
        <f>E41</f>
        <v>0</v>
      </c>
      <c r="S41" s="3353"/>
      <c r="T41" s="3353">
        <f>G41</f>
        <v>0</v>
      </c>
      <c r="U41" s="3353"/>
      <c r="V41" s="3353">
        <f>I41</f>
        <v>0</v>
      </c>
      <c r="W41" s="3353"/>
      <c r="X41" s="699"/>
      <c r="Y41" s="721"/>
      <c r="Z41" s="699"/>
      <c r="AA41" s="699"/>
      <c r="AB41" s="699"/>
      <c r="AC41" s="699"/>
    </row>
    <row r="42" spans="1:31" ht="15.75" thickBot="1">
      <c r="A42" s="445" t="s">
        <v>2488</v>
      </c>
      <c r="B42" s="639"/>
      <c r="C42" s="448" t="e">
        <f>R43</f>
        <v>#DIV/0!</v>
      </c>
      <c r="D42" s="2540" t="s">
        <v>2878</v>
      </c>
      <c r="E42" s="448" t="e">
        <f>R42</f>
        <v>#DIV/0!</v>
      </c>
      <c r="F42" s="2541"/>
      <c r="G42" s="447" t="e">
        <f>T42</f>
        <v>#DIV/0!</v>
      </c>
      <c r="H42" s="2541"/>
      <c r="I42" s="448" t="e">
        <f>V42</f>
        <v>#DIV/0!</v>
      </c>
      <c r="J42" s="2541"/>
      <c r="K42" s="2543">
        <f>F42+H42+J42</f>
        <v>0</v>
      </c>
      <c r="L42" s="2954"/>
      <c r="M42" s="2946"/>
      <c r="N42" s="2946"/>
      <c r="O42" s="2955"/>
      <c r="P42" s="3358" t="str">
        <f>A42</f>
        <v>比较价值（元/平方米）</v>
      </c>
      <c r="Q42" s="3358"/>
      <c r="R42" s="3371" t="e">
        <f>ROUND(PRODUCT(R41,AA7:AA40),0)</f>
        <v>#DIV/0!</v>
      </c>
      <c r="S42" s="3371"/>
      <c r="T42" s="3371" t="e">
        <f>ROUND(PRODUCT(T41,AB7:AB40),0)</f>
        <v>#DIV/0!</v>
      </c>
      <c r="U42" s="3371"/>
      <c r="V42" s="3371" t="e">
        <f>ROUND(PRODUCT(V41,AC7:AC40),0)</f>
        <v>#DIV/0!</v>
      </c>
      <c r="W42" s="3371"/>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4"/>
      <c r="M43" s="2946"/>
      <c r="N43" s="2946"/>
      <c r="O43" s="2955"/>
      <c r="P43" s="3355" t="str">
        <f>A43</f>
        <v>估价对象XX用房的比较价值（楼面单价，元/平方米）</v>
      </c>
      <c r="Q43" s="3356"/>
      <c r="R43" s="3372" t="e">
        <f>ROUND(IF(D42="简单平均",AVERAGE(R42:W42),R42*F42+T42*H42+V42*J42),0)</f>
        <v>#DIV/0!</v>
      </c>
      <c r="S43" s="3372"/>
      <c r="T43" s="3372"/>
      <c r="U43" s="3372"/>
      <c r="V43" s="3372"/>
      <c r="W43" s="3372"/>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2577</v>
      </c>
      <c r="B50" s="641" t="s">
        <v>2578</v>
      </c>
      <c r="C50" s="2171" t="s">
        <v>2579</v>
      </c>
      <c r="D50" s="2172" t="s">
        <v>2580</v>
      </c>
      <c r="E50" s="642" t="s">
        <v>2581</v>
      </c>
      <c r="F50" s="643" t="s">
        <v>2582</v>
      </c>
      <c r="G50" s="3341" t="s">
        <v>2583</v>
      </c>
      <c r="H50" s="3373"/>
      <c r="I50" s="1542" t="s">
        <v>2620</v>
      </c>
      <c r="J50" s="1542">
        <f>项目基本情况!F35</f>
        <v>0</v>
      </c>
      <c r="K50" s="2174" t="s">
        <v>2585</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2586</v>
      </c>
      <c r="B51" s="645" t="e">
        <f>C43</f>
        <v>#DIV/0!</v>
      </c>
      <c r="C51" s="646">
        <v>1</v>
      </c>
      <c r="D51" s="1075">
        <v>1</v>
      </c>
      <c r="E51" s="646">
        <f>'数据-汇总表'!E8+'数据-汇总表'!E9</f>
        <v>28836.85999999999</v>
      </c>
      <c r="F51" s="647" t="e">
        <f t="shared" ref="F51:F60" si="15">ROUND(B51*E51/10000,0)</f>
        <v>#DIV/0!</v>
      </c>
      <c r="G51" s="3340"/>
      <c r="H51" s="3358"/>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2587</v>
      </c>
      <c r="B52" s="224" t="e">
        <f>ROUND($C$43*C52*D52,0)</f>
        <v>#DIV/0!</v>
      </c>
      <c r="C52" s="176">
        <f t="shared" ref="C52:C60" si="16">IF($C$50="北京市系数",I52,J52)</f>
        <v>0.7</v>
      </c>
      <c r="D52" s="1076">
        <v>0.25</v>
      </c>
      <c r="E52" s="650"/>
      <c r="F52" s="647" t="e">
        <f t="shared" si="15"/>
        <v>#DIV/0!</v>
      </c>
      <c r="G52" s="3374" t="s">
        <v>2588</v>
      </c>
      <c r="H52" s="1018" t="str">
        <f>项目基本情况!B37</f>
        <v>四级</v>
      </c>
      <c r="I52" s="879">
        <f>SUMIF(修正!A45:A56,H52,修正!B45:B56)</f>
        <v>0.7</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2589</v>
      </c>
      <c r="B53" s="224" t="e">
        <f t="shared" ref="B53:B60" si="17">ROUND($C$43*C53*D53,0)</f>
        <v>#DIV/0!</v>
      </c>
      <c r="C53" s="176">
        <f t="shared" si="16"/>
        <v>0.4</v>
      </c>
      <c r="D53" s="1076">
        <v>0.25</v>
      </c>
      <c r="E53" s="650"/>
      <c r="F53" s="647" t="e">
        <f t="shared" si="15"/>
        <v>#DIV/0!</v>
      </c>
      <c r="G53" s="3374"/>
      <c r="H53" s="1018" t="str">
        <f>项目基本情况!B37</f>
        <v>四级</v>
      </c>
      <c r="I53" s="879">
        <f>SUMIF(修正!A45:A56,H53,修正!C45:C56)</f>
        <v>0.4</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2590</v>
      </c>
      <c r="B54" s="224" t="e">
        <f t="shared" si="17"/>
        <v>#DIV/0!</v>
      </c>
      <c r="C54" s="176">
        <f t="shared" si="16"/>
        <v>0.28000000000000003</v>
      </c>
      <c r="D54" s="1076">
        <v>0.25</v>
      </c>
      <c r="E54" s="650"/>
      <c r="F54" s="647" t="e">
        <f t="shared" si="15"/>
        <v>#DIV/0!</v>
      </c>
      <c r="G54" s="3374"/>
      <c r="H54" s="1018" t="str">
        <f>项目基本情况!B37</f>
        <v>四级</v>
      </c>
      <c r="I54" s="879">
        <f>SUMIF(修正!A45:A56,H54,修正!D45:D56)</f>
        <v>0.28000000000000003</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2591</v>
      </c>
      <c r="B55" s="224" t="e">
        <f t="shared" si="17"/>
        <v>#DIV/0!</v>
      </c>
      <c r="C55" s="176">
        <f t="shared" si="16"/>
        <v>0.25</v>
      </c>
      <c r="D55" s="1076">
        <v>0.25</v>
      </c>
      <c r="E55" s="650"/>
      <c r="F55" s="647" t="e">
        <f t="shared" si="15"/>
        <v>#DIV/0!</v>
      </c>
      <c r="G55" s="3374"/>
      <c r="H55" s="1018" t="str">
        <f>项目基本情况!B37</f>
        <v>四级</v>
      </c>
      <c r="I55" s="879">
        <f>SUMIF(修正!A45:A56,H55,修正!E45:E56)</f>
        <v>0.25</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2592</v>
      </c>
      <c r="B56" s="224" t="e">
        <f t="shared" si="17"/>
        <v>#DIV/0!</v>
      </c>
      <c r="C56" s="176">
        <f t="shared" si="16"/>
        <v>0.25</v>
      </c>
      <c r="D56" s="1076">
        <v>0.25</v>
      </c>
      <c r="E56" s="223">
        <f>'数据-汇总表'!E11</f>
        <v>1672.86</v>
      </c>
      <c r="F56" s="647" t="e">
        <f t="shared" si="15"/>
        <v>#DIV/0!</v>
      </c>
      <c r="G56" s="2175" t="s">
        <v>2593</v>
      </c>
      <c r="H56" s="1018" t="str">
        <f>项目基本情况!C37</f>
        <v>四级</v>
      </c>
      <c r="I56" s="879">
        <f>SUMIF(修正!A45:A56,H56,修正!F45:F56)</f>
        <v>0.25</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四级</v>
      </c>
      <c r="I57" s="879">
        <f>SUMIF(修正!A45:A56,H57,修正!G45:G56)</f>
        <v>0.25</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2598</v>
      </c>
      <c r="B59" s="224" t="e">
        <f t="shared" si="17"/>
        <v>#DIV/0!</v>
      </c>
      <c r="C59" s="176">
        <f t="shared" si="16"/>
        <v>0.2</v>
      </c>
      <c r="D59" s="1076">
        <v>0.25</v>
      </c>
      <c r="E59" s="223">
        <f>'数据-汇总表'!E14</f>
        <v>0</v>
      </c>
      <c r="F59" s="647" t="e">
        <f t="shared" si="15"/>
        <v>#DIV/0!</v>
      </c>
      <c r="G59" s="2175" t="s">
        <v>2588</v>
      </c>
      <c r="H59" s="1018" t="str">
        <f>项目基本情况!B37</f>
        <v>四级</v>
      </c>
      <c r="I59" s="879">
        <f>SUMIF(修正!A45:A56,H59,修正!H45:H56)</f>
        <v>0.2</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2599</v>
      </c>
      <c r="B60" s="224" t="e">
        <f t="shared" si="17"/>
        <v>#DIV/0!</v>
      </c>
      <c r="C60" s="176">
        <f t="shared" si="16"/>
        <v>0.2</v>
      </c>
      <c r="D60" s="1076">
        <v>0.25</v>
      </c>
      <c r="E60" s="223">
        <f>'数据-汇总表'!E15</f>
        <v>0</v>
      </c>
      <c r="F60" s="647" t="e">
        <f t="shared" si="15"/>
        <v>#DIV/0!</v>
      </c>
      <c r="G60" s="2176" t="s">
        <v>2593</v>
      </c>
      <c r="H60" s="1028" t="str">
        <f>项目基本情况!C37</f>
        <v>四级</v>
      </c>
      <c r="I60" s="879">
        <f>SUMIF(修正!A45:A56,H60,修正!H45:H56)</f>
        <v>0.2</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2600</v>
      </c>
      <c r="B61" s="652" t="s">
        <v>28</v>
      </c>
      <c r="C61" s="652" t="s">
        <v>29</v>
      </c>
      <c r="D61" s="652" t="s">
        <v>997</v>
      </c>
      <c r="E61" s="652">
        <f>IF(B41="楼面地价",SUM(E51:E60),'数据-汇总表'!D3)</f>
        <v>5000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5"/>
      <c r="Q63" s="2955"/>
      <c r="R63" s="2955"/>
      <c r="S63" s="2955"/>
      <c r="T63" s="2955"/>
      <c r="U63" s="2955"/>
      <c r="V63" s="2955"/>
      <c r="W63" s="2955"/>
      <c r="X63" s="2955"/>
      <c r="Y63" s="2955"/>
      <c r="Z63" s="2955"/>
      <c r="AA63" s="2955"/>
      <c r="AB63" s="2955"/>
      <c r="AC63" s="2955"/>
      <c r="AD63" s="2955"/>
      <c r="AE63" s="2955"/>
    </row>
    <row r="64" spans="1:31" ht="21.75" thickBot="1">
      <c r="A64" s="703" t="s">
        <v>2493</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7" t="s">
        <v>2601</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2" t="s">
        <v>2621</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9"/>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69"/>
      <c r="Q67" s="2969"/>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2"/>
      <c r="O68" s="2982"/>
      <c r="P68" s="3007"/>
      <c r="Q68" s="2969"/>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2376</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2378</v>
      </c>
      <c r="B83" s="485" t="s">
        <v>2524</v>
      </c>
      <c r="C83" s="530" t="s">
        <v>2416</v>
      </c>
      <c r="D83" s="530" t="s">
        <v>2417</v>
      </c>
      <c r="E83" s="530" t="s">
        <v>2418</v>
      </c>
      <c r="F83" s="530" t="s">
        <v>2419</v>
      </c>
      <c r="G83" s="530" t="s">
        <v>2420</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2421</v>
      </c>
      <c r="C85" s="535" t="s">
        <v>2416</v>
      </c>
      <c r="D85" s="535" t="s">
        <v>2417</v>
      </c>
      <c r="E85" s="535" t="s">
        <v>2418</v>
      </c>
      <c r="F85" s="535" t="s">
        <v>2419</v>
      </c>
      <c r="G85" s="535" t="s">
        <v>2420</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2"/>
      <c r="O87" s="2982"/>
      <c r="P87" s="3008"/>
      <c r="Q87" s="2969"/>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2"/>
      <c r="O89" s="2982"/>
      <c r="P89" s="3008"/>
      <c r="Q89" s="2969"/>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2510</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2569</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2611</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2613</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2614</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9" t="s">
        <v>614</v>
      </c>
      <c r="C61" s="757" t="s">
        <v>615</v>
      </c>
      <c r="D61" s="757" t="s">
        <v>616</v>
      </c>
      <c r="E61" s="834">
        <v>0.5</v>
      </c>
      <c r="F61" s="821">
        <v>80</v>
      </c>
    </row>
    <row r="62" spans="1:8" s="817" customFormat="1" ht="24">
      <c r="A62" s="821">
        <v>2</v>
      </c>
      <c r="B62" s="3379"/>
      <c r="C62" s="757" t="s">
        <v>617</v>
      </c>
      <c r="D62" s="757" t="s">
        <v>618</v>
      </c>
      <c r="E62" s="834">
        <v>0.5</v>
      </c>
      <c r="F62" s="821">
        <v>80</v>
      </c>
    </row>
    <row r="63" spans="1:8" s="817" customFormat="1" ht="36">
      <c r="A63" s="821">
        <v>3</v>
      </c>
      <c r="B63" s="3379"/>
      <c r="C63" s="757" t="s">
        <v>619</v>
      </c>
      <c r="D63" s="757" t="s">
        <v>620</v>
      </c>
      <c r="E63" s="834">
        <v>0.5</v>
      </c>
      <c r="F63" s="821">
        <v>80</v>
      </c>
    </row>
    <row r="64" spans="1:8" s="817" customFormat="1" ht="36">
      <c r="A64" s="821">
        <v>4</v>
      </c>
      <c r="B64" s="3379"/>
      <c r="C64" s="757" t="s">
        <v>621</v>
      </c>
      <c r="D64" s="757" t="s">
        <v>622</v>
      </c>
      <c r="E64" s="834">
        <v>0.4</v>
      </c>
      <c r="F64" s="821">
        <v>60</v>
      </c>
    </row>
    <row r="65" spans="1:6" s="817" customFormat="1" ht="36">
      <c r="A65" s="821">
        <v>5</v>
      </c>
      <c r="B65" s="3379"/>
      <c r="C65" s="757" t="s">
        <v>623</v>
      </c>
      <c r="D65" s="757" t="s">
        <v>624</v>
      </c>
      <c r="E65" s="834">
        <v>0.2</v>
      </c>
      <c r="F65" s="821">
        <v>30</v>
      </c>
    </row>
    <row r="66" spans="1:6" s="817" customFormat="1" ht="36">
      <c r="A66" s="821">
        <v>6</v>
      </c>
      <c r="B66" s="3379"/>
      <c r="C66" s="757" t="s">
        <v>625</v>
      </c>
      <c r="D66" s="757" t="s">
        <v>626</v>
      </c>
      <c r="E66" s="834">
        <v>0.3</v>
      </c>
      <c r="F66" s="821">
        <v>50</v>
      </c>
    </row>
    <row r="67" spans="1:6" s="817" customFormat="1" ht="36">
      <c r="A67" s="821">
        <v>7</v>
      </c>
      <c r="B67" s="3379"/>
      <c r="C67" s="757" t="s">
        <v>627</v>
      </c>
      <c r="D67" s="757" t="s">
        <v>628</v>
      </c>
      <c r="E67" s="834">
        <v>0.2</v>
      </c>
      <c r="F67" s="821">
        <v>30</v>
      </c>
    </row>
    <row r="68" spans="1:6" s="817" customFormat="1" ht="36">
      <c r="A68" s="821">
        <v>8</v>
      </c>
      <c r="B68" s="3379"/>
      <c r="C68" s="757" t="s">
        <v>629</v>
      </c>
      <c r="D68" s="757" t="s">
        <v>630</v>
      </c>
      <c r="E68" s="834">
        <v>0.2</v>
      </c>
      <c r="F68" s="821">
        <v>30</v>
      </c>
    </row>
    <row r="69" spans="1:6" s="817" customFormat="1" ht="36">
      <c r="A69" s="821">
        <v>9</v>
      </c>
      <c r="B69" s="3379"/>
      <c r="C69" s="757" t="s">
        <v>631</v>
      </c>
      <c r="D69" s="757" t="s">
        <v>632</v>
      </c>
      <c r="E69" s="834">
        <v>0.2</v>
      </c>
      <c r="F69" s="821">
        <v>30</v>
      </c>
    </row>
    <row r="70" spans="1:6" s="817" customFormat="1" ht="48">
      <c r="A70" s="821">
        <v>10</v>
      </c>
      <c r="B70" s="3379"/>
      <c r="C70" s="757" t="s">
        <v>633</v>
      </c>
      <c r="D70" s="757" t="s">
        <v>634</v>
      </c>
      <c r="E70" s="834">
        <v>0.2</v>
      </c>
      <c r="F70" s="821">
        <v>30</v>
      </c>
    </row>
    <row r="71" spans="1:6" s="817" customFormat="1" ht="48">
      <c r="A71" s="821">
        <v>11</v>
      </c>
      <c r="B71" s="3379"/>
      <c r="C71" s="757" t="s">
        <v>635</v>
      </c>
      <c r="D71" s="757" t="s">
        <v>636</v>
      </c>
      <c r="E71" s="834">
        <v>0.2</v>
      </c>
      <c r="F71" s="821">
        <v>30</v>
      </c>
    </row>
    <row r="72" spans="1:6" s="817" customFormat="1" ht="36">
      <c r="A72" s="821">
        <v>12</v>
      </c>
      <c r="B72" s="3379"/>
      <c r="C72" s="757" t="s">
        <v>637</v>
      </c>
      <c r="D72" s="757" t="s">
        <v>638</v>
      </c>
      <c r="E72" s="834">
        <v>0.5</v>
      </c>
      <c r="F72" s="821">
        <v>80</v>
      </c>
    </row>
    <row r="73" spans="1:6" s="817" customFormat="1" ht="24">
      <c r="A73" s="821">
        <v>13</v>
      </c>
      <c r="B73" s="3379"/>
      <c r="C73" s="757" t="s">
        <v>639</v>
      </c>
      <c r="D73" s="757" t="s">
        <v>640</v>
      </c>
      <c r="E73" s="834">
        <v>0.4</v>
      </c>
      <c r="F73" s="821">
        <v>60</v>
      </c>
    </row>
    <row r="74" spans="1:6" s="817" customFormat="1" ht="24">
      <c r="A74" s="821">
        <v>14</v>
      </c>
      <c r="B74" s="3379"/>
      <c r="C74" s="757" t="s">
        <v>641</v>
      </c>
      <c r="D74" s="757" t="s">
        <v>642</v>
      </c>
      <c r="E74" s="834">
        <v>0.2</v>
      </c>
      <c r="F74" s="821">
        <v>30</v>
      </c>
    </row>
    <row r="75" spans="1:6" s="817" customFormat="1" ht="24">
      <c r="A75" s="821">
        <v>15</v>
      </c>
      <c r="B75" s="3379"/>
      <c r="C75" s="757" t="s">
        <v>643</v>
      </c>
      <c r="D75" s="757" t="s">
        <v>644</v>
      </c>
      <c r="E75" s="834">
        <v>0.2</v>
      </c>
      <c r="F75" s="821">
        <v>30</v>
      </c>
    </row>
    <row r="76" spans="1:6" s="817" customFormat="1" ht="24">
      <c r="A76" s="821">
        <v>16</v>
      </c>
      <c r="B76" s="3379" t="s">
        <v>645</v>
      </c>
      <c r="C76" s="757" t="s">
        <v>646</v>
      </c>
      <c r="D76" s="757" t="s">
        <v>647</v>
      </c>
      <c r="E76" s="834">
        <v>0.5</v>
      </c>
      <c r="F76" s="821">
        <v>80</v>
      </c>
    </row>
    <row r="77" spans="1:6" s="817" customFormat="1" ht="24">
      <c r="A77" s="821">
        <v>17</v>
      </c>
      <c r="B77" s="3379"/>
      <c r="C77" s="757" t="s">
        <v>648</v>
      </c>
      <c r="D77" s="757" t="s">
        <v>649</v>
      </c>
      <c r="E77" s="834">
        <v>0.5</v>
      </c>
      <c r="F77" s="821">
        <v>80</v>
      </c>
    </row>
    <row r="78" spans="1:6" s="817" customFormat="1" ht="24">
      <c r="A78" s="821">
        <v>18</v>
      </c>
      <c r="B78" s="3379"/>
      <c r="C78" s="757" t="s">
        <v>650</v>
      </c>
      <c r="D78" s="757" t="s">
        <v>651</v>
      </c>
      <c r="E78" s="834">
        <v>0.2</v>
      </c>
      <c r="F78" s="821">
        <v>30</v>
      </c>
    </row>
    <row r="79" spans="1:6" s="817" customFormat="1" ht="24">
      <c r="A79" s="821">
        <v>19</v>
      </c>
      <c r="B79" s="3379"/>
      <c r="C79" s="757" t="s">
        <v>652</v>
      </c>
      <c r="D79" s="757" t="s">
        <v>653</v>
      </c>
      <c r="E79" s="834">
        <v>0.5</v>
      </c>
      <c r="F79" s="821">
        <v>80</v>
      </c>
    </row>
    <row r="80" spans="1:6" s="817" customFormat="1" ht="36">
      <c r="A80" s="821">
        <v>20</v>
      </c>
      <c r="B80" s="3379"/>
      <c r="C80" s="757" t="s">
        <v>654</v>
      </c>
      <c r="D80" s="757" t="s">
        <v>655</v>
      </c>
      <c r="E80" s="834">
        <v>0.2</v>
      </c>
      <c r="F80" s="821">
        <v>30</v>
      </c>
    </row>
    <row r="81" spans="1:6" s="817" customFormat="1" ht="36">
      <c r="A81" s="821">
        <v>21</v>
      </c>
      <c r="B81" s="3379"/>
      <c r="C81" s="757" t="s">
        <v>656</v>
      </c>
      <c r="D81" s="757" t="s">
        <v>657</v>
      </c>
      <c r="E81" s="834">
        <v>0.2</v>
      </c>
      <c r="F81" s="821">
        <v>30</v>
      </c>
    </row>
    <row r="82" spans="1:6" s="817" customFormat="1" ht="48">
      <c r="A82" s="821">
        <v>22</v>
      </c>
      <c r="B82" s="3379"/>
      <c r="C82" s="757" t="s">
        <v>658</v>
      </c>
      <c r="D82" s="757" t="s">
        <v>659</v>
      </c>
      <c r="E82" s="834">
        <v>0.2</v>
      </c>
      <c r="F82" s="821">
        <v>30</v>
      </c>
    </row>
    <row r="83" spans="1:6" s="817" customFormat="1" ht="48">
      <c r="A83" s="821">
        <v>23</v>
      </c>
      <c r="B83" s="3379"/>
      <c r="C83" s="757" t="s">
        <v>660</v>
      </c>
      <c r="D83" s="757" t="s">
        <v>661</v>
      </c>
      <c r="E83" s="834">
        <v>0.2</v>
      </c>
      <c r="F83" s="821">
        <v>30</v>
      </c>
    </row>
    <row r="84" spans="1:6" s="817" customFormat="1" ht="36">
      <c r="A84" s="821">
        <v>24</v>
      </c>
      <c r="B84" s="3379"/>
      <c r="C84" s="757" t="s">
        <v>662</v>
      </c>
      <c r="D84" s="757" t="s">
        <v>663</v>
      </c>
      <c r="E84" s="834">
        <v>0.2</v>
      </c>
      <c r="F84" s="821">
        <v>30</v>
      </c>
    </row>
    <row r="85" spans="1:6" s="817" customFormat="1" ht="36">
      <c r="A85" s="821">
        <v>25</v>
      </c>
      <c r="B85" s="3379"/>
      <c r="C85" s="757" t="s">
        <v>664</v>
      </c>
      <c r="D85" s="757" t="s">
        <v>665</v>
      </c>
      <c r="E85" s="834">
        <v>0.5</v>
      </c>
      <c r="F85" s="821">
        <v>80</v>
      </c>
    </row>
    <row r="86" spans="1:6" s="817" customFormat="1" ht="36">
      <c r="A86" s="821">
        <v>26</v>
      </c>
      <c r="B86" s="3379"/>
      <c r="C86" s="757" t="s">
        <v>666</v>
      </c>
      <c r="D86" s="757" t="s">
        <v>667</v>
      </c>
      <c r="E86" s="834">
        <v>0.2</v>
      </c>
      <c r="F86" s="821">
        <v>30</v>
      </c>
    </row>
    <row r="87" spans="1:6" s="817" customFormat="1" ht="36">
      <c r="A87" s="821">
        <v>27</v>
      </c>
      <c r="B87" s="3379"/>
      <c r="C87" s="757" t="s">
        <v>668</v>
      </c>
      <c r="D87" s="757" t="s">
        <v>669</v>
      </c>
      <c r="E87" s="834">
        <v>0.2</v>
      </c>
      <c r="F87" s="821">
        <v>30</v>
      </c>
    </row>
    <row r="88" spans="1:6" s="817" customFormat="1" ht="36">
      <c r="A88" s="821">
        <v>28</v>
      </c>
      <c r="B88" s="3379"/>
      <c r="C88" s="757" t="s">
        <v>670</v>
      </c>
      <c r="D88" s="757" t="s">
        <v>671</v>
      </c>
      <c r="E88" s="834">
        <v>0.2</v>
      </c>
      <c r="F88" s="821">
        <v>30</v>
      </c>
    </row>
    <row r="89" spans="1:6" s="817" customFormat="1" ht="24">
      <c r="A89" s="821">
        <v>29</v>
      </c>
      <c r="B89" s="3379"/>
      <c r="C89" s="757" t="s">
        <v>672</v>
      </c>
      <c r="D89" s="757" t="s">
        <v>673</v>
      </c>
      <c r="E89" s="834">
        <v>0.2</v>
      </c>
      <c r="F89" s="821">
        <v>30</v>
      </c>
    </row>
    <row r="90" spans="1:6" s="817" customFormat="1" ht="24">
      <c r="A90" s="821">
        <v>30</v>
      </c>
      <c r="B90" s="3379"/>
      <c r="C90" s="757" t="s">
        <v>674</v>
      </c>
      <c r="D90" s="757" t="s">
        <v>675</v>
      </c>
      <c r="E90" s="834">
        <v>0.2</v>
      </c>
      <c r="F90" s="821">
        <v>30</v>
      </c>
    </row>
    <row r="91" spans="1:6" s="817" customFormat="1" ht="36">
      <c r="A91" s="821">
        <v>31</v>
      </c>
      <c r="B91" s="3379"/>
      <c r="C91" s="757" t="s">
        <v>676</v>
      </c>
      <c r="D91" s="757" t="s">
        <v>677</v>
      </c>
      <c r="E91" s="834">
        <v>0.2</v>
      </c>
      <c r="F91" s="821">
        <v>30</v>
      </c>
    </row>
    <row r="92" spans="1:6" s="817" customFormat="1" ht="24">
      <c r="A92" s="821">
        <v>32</v>
      </c>
      <c r="B92" s="3379" t="s">
        <v>678</v>
      </c>
      <c r="C92" s="821" t="s">
        <v>679</v>
      </c>
      <c r="D92" s="757" t="s">
        <v>680</v>
      </c>
      <c r="E92" s="834">
        <v>0.2</v>
      </c>
      <c r="F92" s="821">
        <v>30</v>
      </c>
    </row>
    <row r="93" spans="1:6" s="817" customFormat="1" ht="36">
      <c r="A93" s="821">
        <v>33</v>
      </c>
      <c r="B93" s="3379"/>
      <c r="C93" s="821" t="s">
        <v>681</v>
      </c>
      <c r="D93" s="757" t="s">
        <v>682</v>
      </c>
      <c r="E93" s="834">
        <v>0.2</v>
      </c>
      <c r="F93" s="821">
        <v>30</v>
      </c>
    </row>
    <row r="94" spans="1:6" s="817" customFormat="1" ht="48">
      <c r="A94" s="821">
        <v>34</v>
      </c>
      <c r="B94" s="3379"/>
      <c r="C94" s="821" t="s">
        <v>683</v>
      </c>
      <c r="D94" s="757" t="s">
        <v>684</v>
      </c>
      <c r="E94" s="834">
        <v>0.2</v>
      </c>
      <c r="F94" s="821">
        <v>30</v>
      </c>
    </row>
    <row r="95" spans="1:6" s="817" customFormat="1" ht="36">
      <c r="A95" s="821">
        <v>35</v>
      </c>
      <c r="B95" s="3379"/>
      <c r="C95" s="821" t="s">
        <v>685</v>
      </c>
      <c r="D95" s="757" t="s">
        <v>686</v>
      </c>
      <c r="E95" s="834">
        <v>0.2</v>
      </c>
      <c r="F95" s="821">
        <v>30</v>
      </c>
    </row>
    <row r="96" spans="1:6" s="817" customFormat="1" ht="48">
      <c r="A96" s="821">
        <v>36</v>
      </c>
      <c r="B96" s="3379"/>
      <c r="C96" s="757" t="s">
        <v>687</v>
      </c>
      <c r="D96" s="757" t="s">
        <v>688</v>
      </c>
      <c r="E96" s="834">
        <v>0.2</v>
      </c>
      <c r="F96" s="821">
        <v>30</v>
      </c>
    </row>
    <row r="97" spans="1:6" s="817" customFormat="1" ht="36">
      <c r="A97" s="821">
        <v>37</v>
      </c>
      <c r="B97" s="3379"/>
      <c r="C97" s="821" t="s">
        <v>689</v>
      </c>
      <c r="D97" s="757" t="s">
        <v>690</v>
      </c>
      <c r="E97" s="834">
        <v>0.2</v>
      </c>
      <c r="F97" s="821">
        <v>30</v>
      </c>
    </row>
    <row r="98" spans="1:6" s="817" customFormat="1" ht="36">
      <c r="A98" s="821">
        <v>38</v>
      </c>
      <c r="B98" s="3379"/>
      <c r="C98" s="821" t="s">
        <v>691</v>
      </c>
      <c r="D98" s="757" t="s">
        <v>692</v>
      </c>
      <c r="E98" s="834">
        <v>0.2</v>
      </c>
      <c r="F98" s="821">
        <v>30</v>
      </c>
    </row>
    <row r="99" spans="1:6" s="817" customFormat="1" ht="36">
      <c r="A99" s="821">
        <v>39</v>
      </c>
      <c r="B99" s="3379" t="s">
        <v>693</v>
      </c>
      <c r="C99" s="821" t="s">
        <v>694</v>
      </c>
      <c r="D99" s="757" t="s">
        <v>695</v>
      </c>
      <c r="E99" s="834">
        <v>0.3</v>
      </c>
      <c r="F99" s="821">
        <v>50</v>
      </c>
    </row>
    <row r="100" spans="1:6" s="817" customFormat="1" ht="24">
      <c r="A100" s="821">
        <v>40</v>
      </c>
      <c r="B100" s="3379"/>
      <c r="C100" s="821" t="s">
        <v>696</v>
      </c>
      <c r="D100" s="757" t="s">
        <v>697</v>
      </c>
      <c r="E100" s="834">
        <v>0.2</v>
      </c>
      <c r="F100" s="821">
        <v>30</v>
      </c>
    </row>
    <row r="101" spans="1:6" s="817" customFormat="1" ht="36">
      <c r="A101" s="821">
        <v>41</v>
      </c>
      <c r="B101" s="33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9" t="s">
        <v>708</v>
      </c>
      <c r="C105" s="821" t="s">
        <v>709</v>
      </c>
      <c r="D105" s="757" t="s">
        <v>710</v>
      </c>
      <c r="E105" s="834">
        <v>0.2</v>
      </c>
      <c r="F105" s="821">
        <v>30</v>
      </c>
    </row>
    <row r="106" spans="1:6" s="817" customFormat="1" ht="36">
      <c r="A106" s="821">
        <v>46</v>
      </c>
      <c r="B106" s="3379"/>
      <c r="C106" s="821" t="s">
        <v>711</v>
      </c>
      <c r="D106" s="757" t="s">
        <v>712</v>
      </c>
      <c r="E106" s="834">
        <v>0.2</v>
      </c>
      <c r="F106" s="821">
        <v>30</v>
      </c>
    </row>
    <row r="107" spans="1:6" s="817" customFormat="1" ht="36">
      <c r="A107" s="821">
        <v>47</v>
      </c>
      <c r="B107" s="3379" t="s">
        <v>713</v>
      </c>
      <c r="C107" s="821" t="s">
        <v>714</v>
      </c>
      <c r="D107" s="757" t="s">
        <v>715</v>
      </c>
      <c r="E107" s="834">
        <v>0.3</v>
      </c>
      <c r="F107" s="821">
        <v>50</v>
      </c>
    </row>
    <row r="108" spans="1:6" s="817" customFormat="1" ht="36">
      <c r="A108" s="821">
        <v>48</v>
      </c>
      <c r="B108" s="33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9" t="s">
        <v>724</v>
      </c>
      <c r="C111" s="821" t="s">
        <v>725</v>
      </c>
      <c r="D111" s="757" t="s">
        <v>726</v>
      </c>
      <c r="E111" s="834">
        <v>0.2</v>
      </c>
      <c r="F111" s="821">
        <v>30</v>
      </c>
    </row>
    <row r="112" spans="1:6" s="817" customFormat="1" ht="24">
      <c r="A112" s="821">
        <v>52</v>
      </c>
      <c r="B112" s="3379"/>
      <c r="C112" s="821" t="s">
        <v>727</v>
      </c>
      <c r="D112" s="757" t="s">
        <v>728</v>
      </c>
      <c r="E112" s="834">
        <v>0.2</v>
      </c>
      <c r="F112" s="821">
        <v>30</v>
      </c>
    </row>
    <row r="113" spans="1:6" s="817" customFormat="1" ht="24">
      <c r="A113" s="821">
        <v>53</v>
      </c>
      <c r="B113" s="33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9" t="s">
        <v>737</v>
      </c>
      <c r="C116" s="821" t="s">
        <v>738</v>
      </c>
      <c r="D116" s="757" t="s">
        <v>739</v>
      </c>
      <c r="E116" s="834">
        <v>0.2</v>
      </c>
      <c r="F116" s="821">
        <v>30</v>
      </c>
    </row>
    <row r="117" spans="1:6" ht="36">
      <c r="A117" s="821">
        <v>57</v>
      </c>
      <c r="B117" s="33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0.79930000000000001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5"/>
      <c r="G1" s="3025"/>
      <c r="H1" s="3025"/>
      <c r="I1" s="3025"/>
      <c r="J1" s="3025"/>
      <c r="K1" s="3025"/>
      <c r="L1" s="3025"/>
      <c r="M1" s="3025"/>
      <c r="N1" s="3025"/>
      <c r="O1" s="3025"/>
      <c r="P1" s="3025"/>
    </row>
    <row r="2" spans="1:16" ht="15.75">
      <c r="A2" s="2363" t="s">
        <v>2812</v>
      </c>
      <c r="B2" s="2830">
        <f ca="1">SUMIF(B6:B13,"&lt;&gt;#ref!",B6:B13)</f>
        <v>39984</v>
      </c>
      <c r="C2" s="2363" t="s">
        <v>2813</v>
      </c>
      <c r="D2" s="2363" t="s">
        <v>2814</v>
      </c>
      <c r="E2" s="2840">
        <f ca="1">SUMIF(E6:E13,"&lt;&gt;#ref!",E6:E13)</f>
        <v>30509.71999999999</v>
      </c>
      <c r="F2" s="3025"/>
      <c r="G2" s="3025"/>
      <c r="H2" s="3025"/>
      <c r="I2" s="3025"/>
      <c r="J2" s="3025"/>
      <c r="K2" s="3025"/>
      <c r="L2" s="3025"/>
      <c r="M2" s="3025"/>
      <c r="N2" s="3025"/>
      <c r="O2" s="3025"/>
      <c r="P2" s="3025"/>
    </row>
    <row r="3" spans="1:16" ht="15.75">
      <c r="A3" s="2363" t="s">
        <v>2815</v>
      </c>
      <c r="B3" s="2830">
        <f ca="1">ROUND(B2*10000/E2,0)</f>
        <v>13105</v>
      </c>
      <c r="C3" s="2363" t="s">
        <v>2821</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6" t="s">
        <v>2816</v>
      </c>
      <c r="B5" s="2838" t="s">
        <v>2817</v>
      </c>
      <c r="C5" s="2364"/>
      <c r="D5" s="3025"/>
      <c r="E5" s="2839" t="s">
        <v>2818</v>
      </c>
      <c r="F5" s="3025"/>
      <c r="G5" s="3025"/>
      <c r="H5" s="3025"/>
      <c r="I5" s="3025"/>
      <c r="J5" s="3025"/>
      <c r="K5" s="3025"/>
      <c r="L5" s="3025"/>
      <c r="M5" s="3025"/>
      <c r="N5" s="3025"/>
      <c r="O5" s="3025"/>
      <c r="P5" s="3025"/>
    </row>
    <row r="6" spans="1:16" ht="15.75">
      <c r="A6" s="2837" t="s">
        <v>2819</v>
      </c>
      <c r="B6" s="2830">
        <f ca="1">SUMIF(INDIRECT("'"&amp;A6&amp;"'"&amp;"!A:A"),"总价",INDIRECT("'"&amp;A6&amp;"'"&amp;"!B:B"))</f>
        <v>39984</v>
      </c>
      <c r="C6" s="2363" t="s">
        <v>2813</v>
      </c>
      <c r="D6" s="3025"/>
      <c r="E6" s="2840">
        <f ca="1">SUMIF(INDIRECT("'"&amp;A6&amp;"'"&amp;"!C:C"),"建筑面积",INDIRECT("'"&amp;A6&amp;"'"&amp;"!D:D"))</f>
        <v>30509.71999999999</v>
      </c>
      <c r="F6" s="3025"/>
      <c r="G6" s="3025"/>
      <c r="H6" s="3025"/>
      <c r="I6" s="3025"/>
      <c r="J6" s="3025"/>
      <c r="K6" s="3025"/>
      <c r="L6" s="3025"/>
      <c r="M6" s="3025"/>
      <c r="N6" s="3025"/>
      <c r="O6" s="3025"/>
      <c r="P6" s="3025"/>
    </row>
    <row r="7" spans="1:16" ht="15.75">
      <c r="A7" s="2837"/>
      <c r="B7" s="2830" t="e">
        <f ca="1">SUMIF(INDIRECT("'"&amp;A7&amp;"'"&amp;"!A:A"),"总价",INDIRECT("'"&amp;A7&amp;"'"&amp;"!B:B"))</f>
        <v>#REF!</v>
      </c>
      <c r="C7" s="2363" t="s">
        <v>2813</v>
      </c>
      <c r="D7" s="3025"/>
      <c r="E7" s="2840" t="e">
        <f t="shared" ref="E7:E13" ca="1" si="0">SUMIF(INDIRECT("'"&amp;A7&amp;"'"&amp;"!C:C"),"建筑面积",INDIRECT("'"&amp;A7&amp;"'"&amp;"!D:D"))</f>
        <v>#REF!</v>
      </c>
      <c r="F7" s="3025"/>
      <c r="G7" s="3025"/>
      <c r="H7" s="3025"/>
      <c r="I7" s="3025"/>
      <c r="J7" s="3025"/>
      <c r="K7" s="3025"/>
      <c r="L7" s="3025"/>
      <c r="M7" s="3025"/>
      <c r="N7" s="3025"/>
      <c r="O7" s="3025"/>
      <c r="P7" s="3025"/>
    </row>
    <row r="8" spans="1:16" ht="15.75">
      <c r="A8" s="2837"/>
      <c r="B8" s="2830" t="e">
        <f t="shared" ref="B8:B13" ca="1" si="1">SUMIF(INDIRECT("'"&amp;A8&amp;"'"&amp;"!A:A"),"总价",INDIRECT("'"&amp;A8&amp;"'"&amp;"!B:B"))</f>
        <v>#REF!</v>
      </c>
      <c r="C8" s="2363" t="s">
        <v>2813</v>
      </c>
      <c r="D8" s="3025"/>
      <c r="E8" s="2840" t="e">
        <f t="shared" ca="1" si="0"/>
        <v>#REF!</v>
      </c>
      <c r="F8" s="3025"/>
      <c r="G8" s="3025"/>
      <c r="H8" s="3025"/>
      <c r="I8" s="3025"/>
      <c r="J8" s="3025"/>
      <c r="K8" s="3025"/>
      <c r="L8" s="3025"/>
      <c r="M8" s="3025"/>
      <c r="N8" s="3025"/>
      <c r="O8" s="3025"/>
      <c r="P8" s="3025"/>
    </row>
    <row r="9" spans="1:16" ht="15.75">
      <c r="A9" s="2837"/>
      <c r="B9" s="2830" t="e">
        <f t="shared" ca="1" si="1"/>
        <v>#REF!</v>
      </c>
      <c r="C9" s="2363" t="s">
        <v>2813</v>
      </c>
      <c r="D9" s="3025"/>
      <c r="E9" s="2840" t="e">
        <f t="shared" ca="1" si="0"/>
        <v>#REF!</v>
      </c>
      <c r="F9" s="3025"/>
      <c r="G9" s="3025"/>
      <c r="H9" s="3025"/>
      <c r="I9" s="3025"/>
      <c r="J9" s="3025"/>
      <c r="K9" s="3025"/>
      <c r="L9" s="3025"/>
      <c r="M9" s="3025"/>
      <c r="N9" s="3025"/>
      <c r="O9" s="3025"/>
      <c r="P9" s="3025"/>
    </row>
    <row r="10" spans="1:16" ht="15.75">
      <c r="A10" s="2837"/>
      <c r="B10" s="2830" t="e">
        <f t="shared" ca="1" si="1"/>
        <v>#REF!</v>
      </c>
      <c r="C10" s="2363" t="s">
        <v>2813</v>
      </c>
      <c r="D10" s="3025"/>
      <c r="E10" s="2840" t="e">
        <f t="shared" ca="1" si="0"/>
        <v>#REF!</v>
      </c>
      <c r="F10" s="3025"/>
      <c r="G10" s="3025"/>
      <c r="H10" s="3025"/>
      <c r="I10" s="3025"/>
      <c r="J10" s="3025"/>
      <c r="K10" s="3025"/>
      <c r="L10" s="3025"/>
      <c r="M10" s="3025"/>
      <c r="N10" s="3025"/>
      <c r="O10" s="3025"/>
      <c r="P10" s="3025"/>
    </row>
    <row r="11" spans="1:16" ht="15.75">
      <c r="A11" s="2837"/>
      <c r="B11" s="2830" t="e">
        <f t="shared" ca="1" si="1"/>
        <v>#REF!</v>
      </c>
      <c r="C11" s="2363" t="s">
        <v>2813</v>
      </c>
      <c r="D11" s="3025"/>
      <c r="E11" s="2840" t="e">
        <f t="shared" ca="1" si="0"/>
        <v>#REF!</v>
      </c>
      <c r="F11" s="3025"/>
      <c r="G11" s="3025"/>
      <c r="H11" s="3025"/>
      <c r="I11" s="3025"/>
      <c r="J11" s="3025"/>
      <c r="K11" s="3025"/>
      <c r="L11" s="3025"/>
      <c r="M11" s="3025"/>
      <c r="N11" s="3025"/>
      <c r="O11" s="3025"/>
      <c r="P11" s="3025"/>
    </row>
    <row r="12" spans="1:16" ht="15.75">
      <c r="A12" s="2837"/>
      <c r="B12" s="2830" t="e">
        <f t="shared" ca="1" si="1"/>
        <v>#REF!</v>
      </c>
      <c r="C12" s="2363" t="s">
        <v>2813</v>
      </c>
      <c r="D12" s="3025"/>
      <c r="E12" s="2840" t="e">
        <f t="shared" ca="1" si="0"/>
        <v>#REF!</v>
      </c>
      <c r="F12" s="3025"/>
      <c r="G12" s="3025"/>
      <c r="H12" s="3025"/>
      <c r="I12" s="3025"/>
      <c r="J12" s="3025"/>
      <c r="K12" s="3025"/>
      <c r="L12" s="3025"/>
      <c r="M12" s="3025"/>
      <c r="N12" s="3025"/>
      <c r="O12" s="3025"/>
      <c r="P12" s="3025"/>
    </row>
    <row r="13" spans="1:16" ht="15.75">
      <c r="A13" s="2837"/>
      <c r="B13" s="2830" t="e">
        <f t="shared" ca="1" si="1"/>
        <v>#REF!</v>
      </c>
      <c r="C13" s="2363" t="s">
        <v>2813</v>
      </c>
      <c r="D13" s="3025"/>
      <c r="E13" s="2840"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5"/>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1">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c r="A6" s="2425" t="s">
        <v>3055</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1">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c r="A7" s="2425" t="s">
        <v>2870</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2868</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2867</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2866</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2864</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2862</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2865</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83">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2860</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83"/>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2859</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83"/>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2852</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90"/>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2850</v>
      </c>
      <c r="B17" s="2440">
        <v>439</v>
      </c>
      <c r="C17" s="2440">
        <v>327</v>
      </c>
      <c r="D17" s="2440">
        <f>C17</f>
        <v>327</v>
      </c>
      <c r="E17" s="2440">
        <v>627</v>
      </c>
      <c r="F17" s="2441">
        <v>283</v>
      </c>
      <c r="G17" s="3386">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2851</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83"/>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83"/>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90"/>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86">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83"/>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83"/>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4"/>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82">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83"/>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83"/>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4"/>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82">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83"/>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83"/>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4"/>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87">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88"/>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88"/>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89"/>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82">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83"/>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83"/>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84"/>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82">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83">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83">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4">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82">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83">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83">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4">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82">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83">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83">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4">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82">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83">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83">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4">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82">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83">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83">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4">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82">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83">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83">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4">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82">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83">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83">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4">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82">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83">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83">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84">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82">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83">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83">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84">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82">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83">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83">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84">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85D7E-9F9C-4058-897A-5CB65C4BCD64}">
  <sheetPr>
    <tabColor rgb="FF92D050"/>
  </sheetPr>
  <dimension ref="A1:AK83"/>
  <sheetViews>
    <sheetView view="pageBreakPreview" topLeftCell="A7" zoomScale="70" zoomScaleNormal="70" zoomScaleSheetLayoutView="70" workbookViewId="0">
      <selection activeCell="H39" sqref="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22.4</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54845</v>
      </c>
      <c r="C2" s="1573" t="s">
        <v>1481</v>
      </c>
      <c r="D2" s="1573"/>
      <c r="E2" s="1574"/>
      <c r="F2" s="1575"/>
      <c r="G2" s="2936"/>
      <c r="H2" s="2925"/>
      <c r="I2" s="2925"/>
      <c r="J2" s="2925"/>
      <c r="K2" s="2926"/>
      <c r="L2" s="2925"/>
      <c r="M2" s="2925"/>
    </row>
    <row r="3" spans="1:37" ht="18" customHeight="1" thickBot="1">
      <c r="A3" s="1576" t="s">
        <v>1482</v>
      </c>
      <c r="B3" s="1577">
        <f ca="1">IF(ISERROR(B2*10000/F43),0,ROUND(B2*10000/F43,0))</f>
        <v>21044</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4492</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4486</v>
      </c>
      <c r="D6" s="160" t="s">
        <v>2848</v>
      </c>
      <c r="E6" s="308" t="s">
        <v>1370</v>
      </c>
      <c r="F6" s="309">
        <f ca="1">INDIRECT("'数据-取费表'!u"&amp;$G$1)</f>
        <v>5.24</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3052" t="s">
        <v>1371</v>
      </c>
      <c r="F7" s="309">
        <f ca="1">IF(INDIRECT("'数据-取费表'!ah"&amp;$G$1)="",INDIRECT("'数据-取费表'!k"&amp;$G$1),INDIRECT("'数据-取费表'!ah"&amp;$G$1))</f>
        <v>26062.429999999989</v>
      </c>
      <c r="G7" s="1570"/>
      <c r="H7" s="310"/>
      <c r="I7" s="3300"/>
      <c r="J7" s="312"/>
      <c r="K7" s="313"/>
      <c r="L7" s="308" t="s">
        <v>1371</v>
      </c>
      <c r="M7" s="309">
        <f ca="1">F7</f>
        <v>26062.429999999989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6</v>
      </c>
      <c r="D10" s="1552" t="s">
        <v>2855</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18759</v>
      </c>
      <c r="D13" s="3044" t="s">
        <v>1380</v>
      </c>
      <c r="E13" s="3044"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13031</v>
      </c>
      <c r="D14" s="3048" t="s">
        <v>1383</v>
      </c>
      <c r="E14" s="3046"/>
      <c r="F14" s="325"/>
      <c r="G14" s="1570"/>
      <c r="H14" s="1113" t="s">
        <v>1003</v>
      </c>
      <c r="I14" s="308" t="s">
        <v>1384</v>
      </c>
      <c r="J14" s="24">
        <f ca="1">C29</f>
        <v>20390</v>
      </c>
      <c r="K14" s="3051"/>
      <c r="L14" s="916"/>
      <c r="M14" s="917"/>
    </row>
    <row r="15" spans="1:37" s="1583" customFormat="1" ht="18" customHeight="1" thickBot="1">
      <c r="A15" s="1113" t="s">
        <v>1004</v>
      </c>
      <c r="B15" s="308" t="s">
        <v>1385</v>
      </c>
      <c r="C15" s="24">
        <f ca="1">ROUND(C14*F15,0)</f>
        <v>391</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485</v>
      </c>
      <c r="K16" s="1247" t="s">
        <v>1390</v>
      </c>
      <c r="L16" s="3049"/>
      <c r="M16" s="1204"/>
    </row>
    <row r="17" spans="1:37" s="1583" customFormat="1" ht="18" customHeight="1">
      <c r="A17" s="1113" t="s">
        <v>1355</v>
      </c>
      <c r="B17" s="308" t="s">
        <v>1391</v>
      </c>
      <c r="C17" s="24">
        <f ca="1">ROUND(F17*(F43+INDIRECT("'数据-取费表'!S"&amp;$G$1))/10000,0)</f>
        <v>521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179</v>
      </c>
      <c r="K17" s="3048" t="s">
        <v>1395</v>
      </c>
      <c r="L17" s="3047"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195</v>
      </c>
      <c r="D18" s="308" t="s">
        <v>1386</v>
      </c>
      <c r="E18" s="308" t="s">
        <v>1387</v>
      </c>
      <c r="F18" s="328">
        <f>'数据-取费表'!B36</f>
        <v>1.4999999999999999E-2</v>
      </c>
      <c r="G18" s="1582"/>
      <c r="H18" s="1113" t="s">
        <v>1002</v>
      </c>
      <c r="I18" s="308" t="s">
        <v>1398</v>
      </c>
      <c r="J18" s="24">
        <f ca="1">ROUND(J6*M18/(1+'数据-取费表'!C42),2)</f>
        <v>0</v>
      </c>
      <c r="K18" s="304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14138</v>
      </c>
      <c r="D19" s="136" t="s">
        <v>1401</v>
      </c>
      <c r="E19" s="3054"/>
      <c r="F19" s="26"/>
      <c r="G19" s="1570"/>
      <c r="H19" s="1113" t="s">
        <v>1004</v>
      </c>
      <c r="I19" s="308" t="s">
        <v>1402</v>
      </c>
      <c r="J19" s="24">
        <f ca="1">IF(K19="按租金收入计税",ROUND(J6*M19/(1+'数据-取费表'!C42),2),ROUND(C29*M19*0.7,2))</f>
        <v>171.28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424</v>
      </c>
      <c r="D20" s="329" t="s">
        <v>1405</v>
      </c>
      <c r="E20" s="308" t="s">
        <v>1387</v>
      </c>
      <c r="F20" s="328">
        <f>'数据-取费表'!B37</f>
        <v>0.03</v>
      </c>
      <c r="G20" s="1582"/>
      <c r="H20" s="1113" t="s">
        <v>1354</v>
      </c>
      <c r="I20" s="160" t="s">
        <v>1406</v>
      </c>
      <c r="J20" s="25">
        <f ca="1">ROUND(M20*M21/10000,2)</f>
        <v>7.69</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4271.17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305.89999999999998</v>
      </c>
      <c r="K22" s="3047"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1050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3047" t="s">
        <v>1419</v>
      </c>
      <c r="L23" s="308" t="s">
        <v>1387</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-485</v>
      </c>
      <c r="K25" s="1255" t="s">
        <v>1429</v>
      </c>
      <c r="L25" s="1256"/>
      <c r="M25" s="1257"/>
    </row>
    <row r="26" spans="1:37">
      <c r="A26" s="1113" t="s">
        <v>1002</v>
      </c>
      <c r="B26" s="308" t="s">
        <v>1430</v>
      </c>
      <c r="C26" s="24">
        <f ca="1">ROUND((C19+C20)*F26,0)</f>
        <v>2912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20390</v>
      </c>
      <c r="D29" s="1252"/>
      <c r="E29" s="1250"/>
      <c r="F29" s="1253"/>
      <c r="G29" s="1582"/>
      <c r="H29" s="340" t="s">
        <v>1001</v>
      </c>
      <c r="I29" s="341" t="s">
        <v>1444</v>
      </c>
      <c r="J29" s="342">
        <f ca="1">ROUND(J26/(1+F40)^F41,0)</f>
        <v>0</v>
      </c>
      <c r="K29" s="343" t="s">
        <v>1445</v>
      </c>
      <c r="L29" s="344"/>
      <c r="M29" s="345">
        <f ca="1">INDIRECT("'数据-取费表'!k"&amp;$G$1)</f>
        <v>26062.429999999989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1193</v>
      </c>
      <c r="D30" s="1247" t="s">
        <v>1390</v>
      </c>
      <c r="E30" s="3049"/>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760</v>
      </c>
      <c r="D31" s="3048" t="s">
        <v>1395</v>
      </c>
      <c r="E31" s="3047"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239.25</v>
      </c>
      <c r="D32" s="3047"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512.69000000000005</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7.69</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4271.17</v>
      </c>
      <c r="G35" s="1570"/>
      <c r="H35" s="2927"/>
      <c r="I35" s="1584"/>
      <c r="J35" s="1585"/>
      <c r="K35" s="2931"/>
      <c r="L35" s="2930"/>
      <c r="M35" s="2930"/>
    </row>
    <row r="36" spans="1:18" ht="18" customHeight="1">
      <c r="A36" s="1262" t="s">
        <v>1007</v>
      </c>
      <c r="B36" s="308" t="s">
        <v>1414</v>
      </c>
      <c r="C36" s="24">
        <f ca="1">ROUND(C29*F36,1)</f>
        <v>305.89999999999998</v>
      </c>
      <c r="D36" s="3047"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37.5</v>
      </c>
      <c r="D37" s="3047" t="s">
        <v>1419</v>
      </c>
      <c r="E37" s="308" t="s">
        <v>1387</v>
      </c>
      <c r="F37" s="336">
        <f ca="1">INDIRECT("'数据-取费表'!Al"&amp;$G$1)</f>
        <v>2E-3</v>
      </c>
      <c r="G37" s="1570"/>
      <c r="H37" s="2930"/>
      <c r="I37" s="1584"/>
      <c r="J37" s="1585"/>
      <c r="K37" s="2772"/>
      <c r="L37" s="2930"/>
      <c r="M37" s="2930"/>
    </row>
    <row r="38" spans="1:18" ht="18" customHeight="1" thickBot="1">
      <c r="A38" s="1249" t="s">
        <v>1357</v>
      </c>
      <c r="B38" s="1250" t="s">
        <v>1404</v>
      </c>
      <c r="C38" s="1251">
        <f ca="1">ROUND(C5*F38,1)</f>
        <v>89.8</v>
      </c>
      <c r="D38" s="1252" t="s">
        <v>1424</v>
      </c>
      <c r="E38" s="1250" t="s">
        <v>1387</v>
      </c>
      <c r="F38" s="1246">
        <f ca="1">INDIRECT("'数据-取费表'!Am"&amp;$G$1)</f>
        <v>0.02</v>
      </c>
      <c r="G38" s="1570"/>
      <c r="H38" s="2930"/>
      <c r="I38" s="1584"/>
      <c r="J38" s="1585"/>
      <c r="K38" s="2934"/>
      <c r="L38" s="2930"/>
      <c r="M38" s="2930"/>
    </row>
    <row r="39" spans="1:18" ht="24.6" customHeight="1" thickTop="1">
      <c r="A39" s="1239" t="s">
        <v>999</v>
      </c>
      <c r="B39" s="1254" t="s">
        <v>1428</v>
      </c>
      <c r="C39" s="316">
        <f ca="1">C5-C30</f>
        <v>3299</v>
      </c>
      <c r="D39" s="1255" t="s">
        <v>1429</v>
      </c>
      <c r="E39" s="1256"/>
      <c r="F39" s="1257"/>
      <c r="G39" s="1570"/>
      <c r="H39" s="3067">
        <f ca="1">C39+收益法!C39</f>
        <v>4046</v>
      </c>
      <c r="I39" s="1584"/>
      <c r="J39" s="1585"/>
      <c r="K39" s="2934"/>
      <c r="L39" s="2930"/>
      <c r="M39" s="2930"/>
    </row>
    <row r="40" spans="1:18" ht="18" customHeight="1">
      <c r="A40" s="305" t="s">
        <v>1000</v>
      </c>
      <c r="B40" s="306" t="s">
        <v>1450</v>
      </c>
      <c r="C40" s="307">
        <f ca="1">ROUND(C39*(1-((1+F42)/(1+F40))^F41)/(F40-F42),0)</f>
        <v>54845</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21044</v>
      </c>
      <c r="D43" s="343" t="s">
        <v>1453</v>
      </c>
      <c r="E43" s="344" t="s">
        <v>1454</v>
      </c>
      <c r="F43" s="345">
        <f ca="1">INDIRECT("'数据-取费表'!k"&amp;$G$1)</f>
        <v>26062.429999999989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-81049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50</v>
      </c>
      <c r="M47" s="1566" t="str">
        <f>IF(ISNUMBER(FIND("住宅",C1)),"住宅","非住宅")</f>
        <v>非住宅</v>
      </c>
      <c r="O47" s="1604" t="s">
        <v>1008</v>
      </c>
      <c r="P47" s="1605" t="s">
        <v>1493</v>
      </c>
      <c r="Q47" s="1606">
        <f ca="1">C40+J29</f>
        <v>54845</v>
      </c>
      <c r="R47" s="1606" t="s">
        <v>1494</v>
      </c>
    </row>
    <row r="48" spans="1:18" s="1570" customFormat="1" ht="28.5" thickBot="1">
      <c r="A48" s="1270" t="s">
        <v>1103</v>
      </c>
      <c r="B48" s="306" t="s">
        <v>1366</v>
      </c>
      <c r="C48" s="3053">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v>2013</v>
      </c>
      <c r="K49" s="1609" t="s">
        <v>1500</v>
      </c>
      <c r="L49" s="1613"/>
      <c r="O49" s="1614" t="s">
        <v>1010</v>
      </c>
      <c r="P49" s="1605" t="s">
        <v>1501</v>
      </c>
      <c r="Q49" s="1606">
        <f ca="1">C29</f>
        <v>20390</v>
      </c>
      <c r="R49" s="1606" t="s">
        <v>1494</v>
      </c>
    </row>
    <row r="50" spans="1:18" s="1570" customFormat="1" ht="13.5" thickBot="1">
      <c r="A50" s="1107"/>
      <c r="B50" s="1110"/>
      <c r="C50" s="1278"/>
      <c r="D50" s="1084"/>
      <c r="E50" s="1187" t="s">
        <v>1371</v>
      </c>
      <c r="F50" s="1188">
        <f ca="1">F7</f>
        <v>26062.429999999989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31522</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54845</v>
      </c>
      <c r="R53" s="1606" t="s">
        <v>1015</v>
      </c>
    </row>
    <row r="54" spans="1:18" s="1570" customFormat="1" ht="13.5" thickBot="1">
      <c r="A54" s="1315"/>
      <c r="B54" s="1553" t="s">
        <v>1353</v>
      </c>
      <c r="C54" s="1090"/>
      <c r="D54" s="1552"/>
      <c r="E54" s="305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18759</v>
      </c>
      <c r="D56" s="1633"/>
      <c r="E56" s="1634"/>
      <c r="F56" s="1626"/>
      <c r="I56" s="1635" t="s">
        <v>1519</v>
      </c>
      <c r="J56" s="1636" t="s">
        <v>3070</v>
      </c>
      <c r="K56" s="1607" t="s">
        <v>1520</v>
      </c>
      <c r="L56" s="1610" t="str">
        <f ca="1">IF(L48&lt;J51,"——",L48-J53)</f>
        <v>——</v>
      </c>
      <c r="O56" s="1604" t="s">
        <v>1008</v>
      </c>
      <c r="P56" s="1605" t="s">
        <v>1493</v>
      </c>
      <c r="Q56" s="1606">
        <f ca="1">C40+J29</f>
        <v>54845</v>
      </c>
      <c r="R56" s="1606" t="s">
        <v>1494</v>
      </c>
    </row>
    <row r="57" spans="1:18" s="1570" customFormat="1" ht="24.75" thickBot="1">
      <c r="A57" s="1637"/>
      <c r="B57" s="1081" t="s">
        <v>1443</v>
      </c>
      <c r="C57" s="244">
        <f ca="1">C29</f>
        <v>20390</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2063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1720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1712.76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7.69</v>
      </c>
      <c r="D62" s="1096" t="s">
        <v>1407</v>
      </c>
      <c r="E62" s="1081" t="s">
        <v>1408</v>
      </c>
      <c r="F62" s="331">
        <f t="shared" si="0"/>
        <v>18</v>
      </c>
      <c r="I62" s="1648" t="s">
        <v>1535</v>
      </c>
      <c r="J62" s="1649" t="s">
        <v>1536</v>
      </c>
      <c r="K62" s="1649" t="s">
        <v>1537</v>
      </c>
      <c r="L62" s="1649" t="s">
        <v>1538</v>
      </c>
      <c r="M62" s="1650" t="s">
        <v>1539</v>
      </c>
      <c r="O62" s="1604" t="s">
        <v>1014</v>
      </c>
      <c r="P62" s="1605" t="s">
        <v>1514</v>
      </c>
      <c r="Q62" s="1606">
        <f ca="1">Q56+Q57</f>
        <v>54845</v>
      </c>
      <c r="R62" s="1606" t="s">
        <v>1015</v>
      </c>
    </row>
    <row r="63" spans="1:18" s="1570" customFormat="1" ht="13.5" thickBot="1">
      <c r="A63" s="332"/>
      <c r="B63" s="1087"/>
      <c r="C63" s="29"/>
      <c r="D63" s="1097"/>
      <c r="E63" s="1081" t="s">
        <v>1412</v>
      </c>
      <c r="F63" s="309">
        <f t="shared" ca="1" si="0"/>
        <v>4271.17</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305.89999999999998</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37.5</v>
      </c>
      <c r="D65" s="1095" t="s">
        <v>1419</v>
      </c>
      <c r="E65" s="1081" t="s">
        <v>1387</v>
      </c>
      <c r="F65" s="336">
        <f t="shared" ca="1" si="0"/>
        <v>2E-3</v>
      </c>
      <c r="I65" s="1648" t="s">
        <v>1544</v>
      </c>
      <c r="J65" s="1649">
        <v>40</v>
      </c>
      <c r="K65" s="1649">
        <v>30</v>
      </c>
      <c r="L65" s="1649">
        <v>50</v>
      </c>
      <c r="M65" s="1651">
        <v>0.02</v>
      </c>
      <c r="O65" s="1604" t="s">
        <v>1008</v>
      </c>
      <c r="P65" s="1605" t="s">
        <v>1493</v>
      </c>
      <c r="Q65" s="1606">
        <f ca="1">C40+J29</f>
        <v>54845</v>
      </c>
      <c r="R65" s="1606" t="s">
        <v>1494</v>
      </c>
    </row>
    <row r="66" spans="1:18" s="1570" customFormat="1" ht="16.5" thickBot="1">
      <c r="A66" s="1113" t="s">
        <v>1469</v>
      </c>
      <c r="B66" s="1081" t="s">
        <v>1404</v>
      </c>
      <c r="C66" s="24">
        <f ca="1">ROUND(C48*F66,1)</f>
        <v>0</v>
      </c>
      <c r="D66" s="1095" t="s">
        <v>1424</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-2063</v>
      </c>
      <c r="D67" s="1094" t="s">
        <v>1429</v>
      </c>
      <c r="E67" s="1099"/>
      <c r="F67" s="1100"/>
      <c r="O67" s="1614" t="s">
        <v>1010</v>
      </c>
      <c r="P67" s="1605" t="s">
        <v>1527</v>
      </c>
      <c r="Q67" s="1652">
        <f ca="1">L51</f>
        <v>31522</v>
      </c>
      <c r="R67" s="1606" t="s">
        <v>1547</v>
      </c>
    </row>
    <row r="68" spans="1:18" s="1570" customFormat="1" ht="16.5" thickBot="1">
      <c r="A68" s="1078" t="s">
        <v>1000</v>
      </c>
      <c r="B68" s="1079" t="s">
        <v>1450</v>
      </c>
      <c r="C68" s="307">
        <f ca="1">ROUND(C67*(1-((1+F70)/(1+F68))^F69)/(F68-F70),0)</f>
        <v>-26204</v>
      </c>
      <c r="D68" s="1096" t="s">
        <v>1434</v>
      </c>
      <c r="E68" s="1081" t="s">
        <v>1435</v>
      </c>
      <c r="F68" s="318">
        <f ca="1">F40</f>
        <v>5.5E-2</v>
      </c>
      <c r="O68" s="1614" t="s">
        <v>1011</v>
      </c>
      <c r="P68" s="1653" t="s">
        <v>1548</v>
      </c>
      <c r="Q68" s="1606">
        <f ca="1">ROUND(Q69-Q70*Q71,0)</f>
        <v>1704</v>
      </c>
      <c r="R68" s="1606" t="s">
        <v>1019</v>
      </c>
    </row>
    <row r="69" spans="1:18" s="1570" customFormat="1" ht="13.5" thickBot="1">
      <c r="A69" s="1082"/>
      <c r="B69" s="1083"/>
      <c r="C69" s="312"/>
      <c r="D69" s="1101" t="s">
        <v>1438</v>
      </c>
      <c r="E69" s="1081" t="s">
        <v>1439</v>
      </c>
      <c r="F69" s="339">
        <f ca="1">F41</f>
        <v>22.4</v>
      </c>
      <c r="O69" s="1614" t="s">
        <v>1016</v>
      </c>
      <c r="P69" s="1653" t="s">
        <v>1549</v>
      </c>
      <c r="Q69" s="1606">
        <f ca="1">C39</f>
        <v>3299</v>
      </c>
      <c r="R69" s="1606" t="s">
        <v>1494</v>
      </c>
    </row>
    <row r="70" spans="1:18" s="1570" customFormat="1" ht="13.5" thickBot="1">
      <c r="A70" s="1085"/>
      <c r="B70" s="1086"/>
      <c r="C70" s="316"/>
      <c r="D70" s="1097"/>
      <c r="E70" s="1081" t="s">
        <v>1442</v>
      </c>
      <c r="F70" s="1185"/>
      <c r="O70" s="1614" t="s">
        <v>1017</v>
      </c>
      <c r="P70" s="1653" t="s">
        <v>1550</v>
      </c>
      <c r="Q70" s="1606">
        <f ca="1">C13</f>
        <v>18759</v>
      </c>
      <c r="R70" s="1606" t="s">
        <v>1494</v>
      </c>
    </row>
    <row r="71" spans="1:18" s="1570" customFormat="1" ht="13.5" thickBot="1">
      <c r="A71" s="1102" t="s">
        <v>1001</v>
      </c>
      <c r="B71" s="1103" t="s">
        <v>1452</v>
      </c>
      <c r="C71" s="342">
        <f ca="1">ROUND(C68*10000/F71,0)</f>
        <v>-10054</v>
      </c>
      <c r="D71" s="1104" t="s">
        <v>1453</v>
      </c>
      <c r="E71" s="1105" t="s">
        <v>1454</v>
      </c>
      <c r="F71" s="345">
        <f ca="1">F43</f>
        <v>26062.429999999989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1595</v>
      </c>
      <c r="D75" s="1570"/>
      <c r="E75" s="1570"/>
      <c r="F75" s="1570"/>
      <c r="K75" s="1588"/>
      <c r="L75" s="1570"/>
      <c r="O75" s="1604" t="s">
        <v>1014</v>
      </c>
      <c r="P75" s="1605" t="s">
        <v>1514</v>
      </c>
      <c r="Q75" s="1606">
        <f ca="1">Q65+Q66</f>
        <v>54845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0.51700000000000002</v>
      </c>
    </row>
    <row r="80" spans="1:18">
      <c r="B80" s="346" t="s">
        <v>1476</v>
      </c>
      <c r="C80" s="280">
        <f ca="1">ROUND(C75/C39,3)</f>
        <v>0.48299999999999998</v>
      </c>
    </row>
    <row r="81" spans="2:3">
      <c r="B81" s="276" t="s">
        <v>1477</v>
      </c>
      <c r="C81" s="244"/>
    </row>
    <row r="82" spans="2:3">
      <c r="B82" s="279" t="s">
        <v>1478</v>
      </c>
      <c r="C82" s="281">
        <f ca="1">1-C83</f>
        <v>0.65799999999999992</v>
      </c>
    </row>
    <row r="83" spans="2:3">
      <c r="B83" s="279" t="s">
        <v>1479</v>
      </c>
      <c r="C83" s="280">
        <f ca="1">ROUND(C13/C40,3)</f>
        <v>0.34200000000000003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xr:uid="{4F44A99F-770A-4586-B17E-7BCE9E4A0856}">
      <formula1>"在建（套用方法）,土地（套用方法）,——"</formula1>
    </dataValidation>
    <dataValidation type="list" allowBlank="1" showInputMessage="1" showErrorMessage="1" sqref="M10 F10 F53" xr:uid="{5F3AADEC-CFD1-48FD-B89F-66F8A63EE77A}">
      <formula1>"押一,押二,押三,自定义"</formula1>
    </dataValidation>
    <dataValidation type="list" allowBlank="1" showInputMessage="1" showErrorMessage="1" sqref="L55" xr:uid="{328399B3-F0DF-404C-AFCF-DAE10F32CDD0}">
      <formula1>"比较法,基准地价,收益还原"</formula1>
    </dataValidation>
    <dataValidation type="list" allowBlank="1" showInputMessage="1" showErrorMessage="1" sqref="J56" xr:uid="{A321A648-FE5E-491C-8629-9B8CC157378D}">
      <formula1>判定</formula1>
    </dataValidation>
    <dataValidation type="list" allowBlank="1" showInputMessage="1" showErrorMessage="1" sqref="J48" xr:uid="{3F229620-6047-4C78-BE14-B9C488727174}">
      <formula1>"非生产用房,生产用房,受腐蚀的生产用房"</formula1>
    </dataValidation>
    <dataValidation type="list" allowBlank="1" showInputMessage="1" showErrorMessage="1" sqref="J47" xr:uid="{7600D725-3749-45D0-9803-7F1484922DC9}">
      <formula1>"钢,钢混,砖混"</formula1>
    </dataValidation>
    <dataValidation type="list" allowBlank="1" showInputMessage="1" showErrorMessage="1" sqref="C1" xr:uid="{421032E3-E6CE-49F7-BC7D-B16226DDB092}">
      <formula1>项目类型</formula1>
    </dataValidation>
    <dataValidation type="list" allowBlank="1" showInputMessage="1" showErrorMessage="1" sqref="D33 D61" xr:uid="{6A1527AF-F130-4B70-B361-4CF041FCE387}">
      <formula1>"按租金收入计税,按房产原值计税,按票据"</formula1>
    </dataValidation>
    <dataValidation type="list" allowBlank="1" showInputMessage="1" showErrorMessage="1" sqref="K19" xr:uid="{C8D23130-DC1B-4218-925F-506DC628325E}">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G10" sqref="G10"/>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7"/>
      <c r="G1" s="1676"/>
      <c r="H1" s="1676"/>
      <c r="I1" s="1676"/>
      <c r="J1" s="1676"/>
      <c r="K1" s="1676"/>
      <c r="L1" s="1676"/>
      <c r="M1" s="1676"/>
      <c r="N1" s="1676"/>
      <c r="O1" s="1676"/>
      <c r="P1" s="1676"/>
      <c r="Q1" s="1676"/>
      <c r="R1" s="1676"/>
      <c r="S1" s="1676"/>
    </row>
    <row r="2" spans="1:22" ht="15.75">
      <c r="A2" s="2058" t="s">
        <v>2146</v>
      </c>
      <c r="B2" s="2059">
        <f ca="1">SUMIF(B6:B13,"&lt;&gt;#ref!",B6:B13)</f>
        <v>67264</v>
      </c>
      <c r="C2" s="2060" t="s">
        <v>2338</v>
      </c>
      <c r="D2" s="2061" t="s">
        <v>2339</v>
      </c>
      <c r="E2" s="2835">
        <f>SUM(E6:E13)</f>
        <v>30509.71999999999</v>
      </c>
      <c r="F2" s="2937"/>
      <c r="G2" s="1676"/>
      <c r="H2" s="1676"/>
      <c r="I2" s="1676"/>
      <c r="J2" s="1676"/>
      <c r="K2" s="1676"/>
      <c r="L2" s="1676"/>
      <c r="M2" s="1676"/>
      <c r="N2" s="1676"/>
      <c r="O2" s="1676"/>
      <c r="P2" s="1676"/>
      <c r="Q2" s="1676"/>
      <c r="R2" s="1676"/>
      <c r="S2" s="1676"/>
    </row>
    <row r="3" spans="1:22" ht="15.75">
      <c r="A3" s="2058" t="s">
        <v>1360</v>
      </c>
      <c r="B3" s="2829">
        <f ca="1">ROUND(B2*10000/E2,0)</f>
        <v>22047</v>
      </c>
      <c r="C3" s="2060" t="s">
        <v>2346</v>
      </c>
      <c r="D3" s="2939"/>
      <c r="E3" s="2941"/>
      <c r="F3" s="2937"/>
      <c r="G3" s="1676"/>
      <c r="H3" s="1676"/>
      <c r="I3" s="1676"/>
      <c r="J3" s="1676"/>
      <c r="K3" s="1676"/>
      <c r="L3" s="1676"/>
      <c r="M3" s="1676"/>
      <c r="N3" s="1676"/>
      <c r="O3" s="1676"/>
      <c r="P3" s="1676"/>
      <c r="Q3" s="1676"/>
      <c r="R3" s="1676"/>
      <c r="S3" s="1676"/>
    </row>
    <row r="4" spans="1:22" ht="15.75">
      <c r="A4" s="2942"/>
      <c r="B4" s="2939"/>
      <c r="C4" s="2939"/>
      <c r="D4" s="2939"/>
      <c r="E4" s="2941"/>
      <c r="F4" s="2937"/>
      <c r="G4" s="1676"/>
      <c r="H4" s="1676"/>
      <c r="I4" s="1676"/>
      <c r="J4" s="1676"/>
      <c r="K4" s="1676"/>
      <c r="L4" s="1676"/>
      <c r="M4" s="1676"/>
      <c r="N4" s="1676"/>
      <c r="O4" s="1676"/>
      <c r="P4" s="1676"/>
      <c r="Q4" s="1676"/>
      <c r="R4" s="1676"/>
      <c r="S4" s="1676"/>
    </row>
    <row r="5" spans="1:22" ht="15">
      <c r="A5" s="2831" t="s">
        <v>2340</v>
      </c>
      <c r="B5" s="3391" t="s">
        <v>2341</v>
      </c>
      <c r="C5" s="3392"/>
      <c r="D5" s="2938"/>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12419</v>
      </c>
      <c r="C6" s="2060" t="s">
        <v>2338</v>
      </c>
      <c r="D6" s="2939"/>
      <c r="E6" s="2834">
        <f>IF(OR(A6=0,F6="否"),0,'数据-取费表'!K6+'数据-取费表'!S6)</f>
        <v>4447.29</v>
      </c>
      <c r="F6" s="2064" t="s">
        <v>2344</v>
      </c>
      <c r="G6" s="1676"/>
      <c r="H6" s="1676"/>
      <c r="I6" s="1676"/>
      <c r="J6" s="1676"/>
      <c r="K6" s="1676"/>
      <c r="L6" s="1676"/>
      <c r="M6" s="1676"/>
      <c r="N6" s="1676"/>
      <c r="O6" s="1676"/>
      <c r="P6" s="1676"/>
      <c r="Q6" s="1676"/>
      <c r="R6" s="1676"/>
      <c r="S6" s="1676"/>
    </row>
    <row r="7" spans="1:22">
      <c r="A7" s="2832" t="str">
        <f>'数据-取费表'!AN7</f>
        <v>收益法 (办公)</v>
      </c>
      <c r="B7" s="2830">
        <f ca="1">IF(F7="是",'数据-取费表'!AO7,0)</f>
        <v>54845</v>
      </c>
      <c r="C7" s="2060" t="s">
        <v>2338</v>
      </c>
      <c r="D7" s="2939"/>
      <c r="E7" s="2834">
        <f>IF(OR(A7=0,F7="否"),0,'数据-取费表'!K7+'数据-取费表'!S7)</f>
        <v>26062.429999999989</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39"/>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39"/>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39"/>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39"/>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39"/>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0"/>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9.5" thickBot="1">
      <c r="A4" s="1680"/>
      <c r="B4" s="3073" t="s">
        <v>1595</v>
      </c>
      <c r="C4" s="3073"/>
      <c r="D4" s="3073"/>
      <c r="E4" s="1680"/>
    </row>
    <row r="5" spans="1:5" ht="16.5" thickTop="1">
      <c r="A5" s="1678"/>
      <c r="B5" s="3071" t="s">
        <v>1587</v>
      </c>
      <c r="C5" s="1681" t="s">
        <v>1588</v>
      </c>
      <c r="D5" s="959">
        <f ca="1">结果表!H101</f>
        <v>78399</v>
      </c>
      <c r="E5" s="1678"/>
    </row>
    <row r="6" spans="1:5" ht="15.75">
      <c r="A6" s="1678"/>
      <c r="B6" s="3071"/>
      <c r="C6" s="1681" t="s">
        <v>1589</v>
      </c>
      <c r="D6" s="959" t="str">
        <f ca="1">NUMBERSTRING(INT(D5*10000),2)&amp;"元整"</f>
        <v>柒亿捌仟叁佰玖拾玖万元整</v>
      </c>
      <c r="E6" s="1678"/>
    </row>
    <row r="7" spans="1:5" ht="15.75">
      <c r="A7" s="1678"/>
      <c r="B7" s="3076"/>
      <c r="C7" s="1682" t="s">
        <v>1590</v>
      </c>
      <c r="D7" s="960">
        <f ca="1">结果表!H102</f>
        <v>25696</v>
      </c>
      <c r="E7" s="1678"/>
    </row>
    <row r="8" spans="1:5" ht="15.75">
      <c r="A8" s="1678"/>
      <c r="B8" s="3077" t="str">
        <f>结果表!E103</f>
        <v>2.估价师知悉的法定优先受偿款</v>
      </c>
      <c r="C8" s="1683" t="s">
        <v>1591</v>
      </c>
      <c r="D8" s="960">
        <f>结果表!H103</f>
        <v>0</v>
      </c>
      <c r="E8" s="1678"/>
    </row>
    <row r="9" spans="1:5" ht="15.75">
      <c r="A9" s="1678"/>
      <c r="B9" s="307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0" t="str">
        <f>结果表!E107</f>
        <v>3.房地产抵押价值</v>
      </c>
      <c r="C13" s="1686" t="s">
        <v>1588</v>
      </c>
      <c r="D13" s="962">
        <f ca="1">结果表!H107</f>
        <v>78399</v>
      </c>
      <c r="E13" s="1678"/>
    </row>
    <row r="14" spans="1:5" ht="15.75">
      <c r="A14" s="1678"/>
      <c r="B14" s="3071"/>
      <c r="C14" s="1681" t="s">
        <v>1589</v>
      </c>
      <c r="D14" s="959" t="str">
        <f ca="1">NUMBERSTRING(INT(D13*10000),2)&amp;"元整"</f>
        <v>柒亿捌仟叁佰玖拾玖万元整</v>
      </c>
      <c r="E14" s="1678"/>
    </row>
    <row r="15" spans="1:5" ht="15">
      <c r="A15" s="1678"/>
      <c r="B15" s="3076"/>
      <c r="C15" s="1682" t="s">
        <v>1599</v>
      </c>
      <c r="D15" s="968">
        <f ca="1">结果表!H108</f>
        <v>25696</v>
      </c>
      <c r="E15" s="1678"/>
    </row>
    <row r="16" spans="1:5" ht="15">
      <c r="A16" s="1678"/>
      <c r="B16" s="3077" t="str">
        <f>结果表!E109</f>
        <v>——</v>
      </c>
      <c r="C16" s="1686" t="s">
        <v>1600</v>
      </c>
      <c r="D16" s="1687" t="str">
        <f>结果表!H109</f>
        <v>——</v>
      </c>
      <c r="E16" s="1678"/>
    </row>
    <row r="17" spans="1:5" ht="15.75">
      <c r="A17" s="1678"/>
      <c r="B17" s="3078"/>
      <c r="C17" s="1681" t="s">
        <v>1601</v>
      </c>
      <c r="D17" s="959" t="e">
        <f>NUMBERSTRING(INT(D16*10000),2)&amp;"元整"</f>
        <v>#VALUE!</v>
      </c>
      <c r="E17" s="1678"/>
    </row>
    <row r="18" spans="1:5" ht="15">
      <c r="A18" s="1678"/>
      <c r="B18" s="3079"/>
      <c r="C18" s="1682" t="s">
        <v>1590</v>
      </c>
      <c r="D18" s="968" t="str">
        <f>结果表!H110</f>
        <v>——</v>
      </c>
      <c r="E18" s="1678"/>
    </row>
    <row r="19" spans="1:5" ht="15.75">
      <c r="A19" s="1678"/>
      <c r="B19" s="3070" t="str">
        <f>结果表!E111</f>
        <v>——</v>
      </c>
      <c r="C19" s="1686" t="s">
        <v>1588</v>
      </c>
      <c r="D19" s="960" t="str">
        <f>结果表!H111</f>
        <v>——</v>
      </c>
      <c r="E19" s="1678"/>
    </row>
    <row r="20" spans="1:5" ht="15.75">
      <c r="A20" s="1678"/>
      <c r="B20" s="3071"/>
      <c r="C20" s="1681" t="s">
        <v>1601</v>
      </c>
      <c r="D20" s="959" t="e">
        <f>NUMBERSTRING(INT(D19*10000),2)&amp;"元整"</f>
        <v>#VALUE!</v>
      </c>
      <c r="E20" s="1678"/>
    </row>
    <row r="21" spans="1:5" ht="15.75" thickBot="1">
      <c r="A21" s="1678"/>
      <c r="B21" s="307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8" zoomScale="90" zoomScaleNormal="70" zoomScaleSheetLayoutView="90" workbookViewId="0">
      <selection activeCell="G46" sqref="G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30509.71999999999</v>
      </c>
      <c r="E3" s="2142"/>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2464</v>
      </c>
      <c r="B4" s="362"/>
      <c r="C4" s="3341" t="s">
        <v>2465</v>
      </c>
      <c r="D4" s="3342"/>
      <c r="E4" s="3343" t="s">
        <v>2466</v>
      </c>
      <c r="F4" s="3344"/>
      <c r="G4" s="3341" t="s">
        <v>2467</v>
      </c>
      <c r="H4" s="3342"/>
      <c r="I4" s="3341" t="s">
        <v>2468</v>
      </c>
      <c r="J4" s="3342"/>
      <c r="K4" s="567" t="s">
        <v>2469</v>
      </c>
      <c r="L4" s="2945"/>
      <c r="M4" s="2946"/>
      <c r="N4" s="2946"/>
      <c r="O4" s="2946"/>
      <c r="P4" s="3399" t="s">
        <v>2470</v>
      </c>
      <c r="Q4" s="3400"/>
      <c r="R4" s="3394" t="s">
        <v>2466</v>
      </c>
      <c r="S4" s="3395"/>
      <c r="T4" s="3394" t="s">
        <v>2467</v>
      </c>
      <c r="U4" s="3395"/>
      <c r="V4" s="3403" t="s">
        <v>2468</v>
      </c>
      <c r="W4" s="3403"/>
      <c r="X4" s="2146"/>
      <c r="Y4" s="3394" t="s">
        <v>2470</v>
      </c>
      <c r="Z4" s="3395"/>
      <c r="AA4" s="3393" t="s">
        <v>2466</v>
      </c>
      <c r="AB4" s="3393" t="s">
        <v>2467</v>
      </c>
      <c r="AC4" s="3396" t="s">
        <v>2468</v>
      </c>
    </row>
    <row r="5" spans="1:29" ht="15">
      <c r="A5" s="364"/>
      <c r="B5" s="365"/>
      <c r="C5" s="3334" t="s">
        <v>2361</v>
      </c>
      <c r="D5" s="3335"/>
      <c r="E5" s="3332" t="s">
        <v>2362</v>
      </c>
      <c r="F5" s="3333"/>
      <c r="G5" s="3334" t="s">
        <v>2363</v>
      </c>
      <c r="H5" s="3335"/>
      <c r="I5" s="3334" t="s">
        <v>2364</v>
      </c>
      <c r="J5" s="3335"/>
      <c r="K5" s="567"/>
      <c r="L5" s="2945"/>
      <c r="M5" s="2946"/>
      <c r="N5" s="2946"/>
      <c r="O5" s="2946"/>
      <c r="P5" s="3401"/>
      <c r="Q5" s="3348"/>
      <c r="R5" s="3330"/>
      <c r="S5" s="3331"/>
      <c r="T5" s="3330"/>
      <c r="U5" s="3331"/>
      <c r="V5" s="3353"/>
      <c r="W5" s="3353"/>
      <c r="X5" s="1541"/>
      <c r="Y5" s="3330"/>
      <c r="Z5" s="3331"/>
      <c r="AA5" s="3324"/>
      <c r="AB5" s="3324"/>
      <c r="AC5" s="3397"/>
    </row>
    <row r="6" spans="1:29" ht="15.75" thickBot="1">
      <c r="A6" s="366"/>
      <c r="B6" s="367"/>
      <c r="C6" s="3336" t="s">
        <v>2365</v>
      </c>
      <c r="D6" s="3337"/>
      <c r="E6" s="3338" t="s">
        <v>2365</v>
      </c>
      <c r="F6" s="3339"/>
      <c r="G6" s="3336" t="s">
        <v>2365</v>
      </c>
      <c r="H6" s="3337"/>
      <c r="I6" s="3336" t="s">
        <v>2365</v>
      </c>
      <c r="J6" s="3337"/>
      <c r="K6" s="567" t="s">
        <v>2366</v>
      </c>
      <c r="L6" s="2945"/>
      <c r="M6" s="2946"/>
      <c r="N6" s="2946"/>
      <c r="O6" s="2946"/>
      <c r="P6" s="3402"/>
      <c r="Q6" s="3350"/>
      <c r="R6" s="3330"/>
      <c r="S6" s="3331"/>
      <c r="T6" s="3351"/>
      <c r="U6" s="3352"/>
      <c r="V6" s="3353"/>
      <c r="W6" s="3353"/>
      <c r="X6" s="1541"/>
      <c r="Y6" s="3351"/>
      <c r="Z6" s="3352"/>
      <c r="AA6" s="3325"/>
      <c r="AB6" s="3325"/>
      <c r="AC6" s="3398"/>
    </row>
    <row r="7" spans="1:29" s="113" customFormat="1" ht="15.75" thickBot="1">
      <c r="A7" s="368" t="s">
        <v>2367</v>
      </c>
      <c r="B7" s="369"/>
      <c r="C7" s="370">
        <f>'数据-取费表'!B2</f>
        <v>44120</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04" t="s">
        <v>2368</v>
      </c>
      <c r="Q7" s="3354"/>
      <c r="R7" s="710" t="s">
        <v>17</v>
      </c>
      <c r="S7" s="711">
        <f t="shared" ref="S7:S15" si="0">F7</f>
        <v>0</v>
      </c>
      <c r="T7" s="710" t="s">
        <v>17</v>
      </c>
      <c r="U7" s="711">
        <f t="shared" ref="U7:U15" si="1">H7</f>
        <v>0</v>
      </c>
      <c r="V7" s="710" t="s">
        <v>17</v>
      </c>
      <c r="W7" s="711">
        <f t="shared" ref="W7:W15" si="2">J7</f>
        <v>0</v>
      </c>
      <c r="X7" s="712"/>
      <c r="Y7" s="3326" t="s">
        <v>2368</v>
      </c>
      <c r="Z7" s="3327"/>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04" t="s">
        <v>2371</v>
      </c>
      <c r="Q8" s="3327"/>
      <c r="R8" s="710" t="s">
        <v>17</v>
      </c>
      <c r="S8" s="711">
        <f t="shared" si="0"/>
        <v>0</v>
      </c>
      <c r="T8" s="710" t="s">
        <v>17</v>
      </c>
      <c r="U8" s="711">
        <f t="shared" si="1"/>
        <v>0</v>
      </c>
      <c r="V8" s="710" t="s">
        <v>17</v>
      </c>
      <c r="W8" s="711">
        <f t="shared" si="2"/>
        <v>0</v>
      </c>
      <c r="X8" s="712"/>
      <c r="Y8" s="3326" t="s">
        <v>2371</v>
      </c>
      <c r="Z8" s="3327"/>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40" t="s">
        <v>2374</v>
      </c>
      <c r="Q9" s="1529" t="str">
        <f t="shared" ref="Q9:Q15" si="6">B9</f>
        <v>用途</v>
      </c>
      <c r="R9" s="710" t="s">
        <v>17</v>
      </c>
      <c r="S9" s="711">
        <f t="shared" si="0"/>
        <v>100</v>
      </c>
      <c r="T9" s="710" t="s">
        <v>17</v>
      </c>
      <c r="U9" s="711">
        <f t="shared" si="1"/>
        <v>100</v>
      </c>
      <c r="V9" s="710" t="s">
        <v>17</v>
      </c>
      <c r="W9" s="711">
        <f t="shared" si="2"/>
        <v>100</v>
      </c>
      <c r="X9" s="712"/>
      <c r="Y9" s="3240"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40"/>
      <c r="Q10" s="1529" t="str">
        <f t="shared" si="6"/>
        <v>土地使用年限（年）</v>
      </c>
      <c r="R10" s="710" t="s">
        <v>17</v>
      </c>
      <c r="S10" s="711">
        <f t="shared" si="0"/>
        <v>100</v>
      </c>
      <c r="T10" s="710" t="s">
        <v>17</v>
      </c>
      <c r="U10" s="711">
        <f t="shared" si="1"/>
        <v>100</v>
      </c>
      <c r="V10" s="710" t="s">
        <v>17</v>
      </c>
      <c r="W10" s="711">
        <f t="shared" si="2"/>
        <v>100</v>
      </c>
      <c r="X10" s="712"/>
      <c r="Y10" s="3240"/>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40"/>
      <c r="Q11" s="1529" t="str">
        <f t="shared" si="6"/>
        <v>容积率</v>
      </c>
      <c r="R11" s="710" t="s">
        <v>17</v>
      </c>
      <c r="S11" s="711" t="e">
        <f t="shared" si="0"/>
        <v>#N/A</v>
      </c>
      <c r="T11" s="710" t="s">
        <v>17</v>
      </c>
      <c r="U11" s="711" t="e">
        <f t="shared" si="1"/>
        <v>#N/A</v>
      </c>
      <c r="V11" s="710" t="s">
        <v>17</v>
      </c>
      <c r="W11" s="711" t="e">
        <f t="shared" si="2"/>
        <v>#N/A</v>
      </c>
      <c r="X11" s="712"/>
      <c r="Y11" s="3240"/>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7"/>
      <c r="M12" s="2948"/>
      <c r="N12" s="2948"/>
      <c r="O12" s="2948"/>
      <c r="P12" s="3340"/>
      <c r="Q12" s="1529">
        <f t="shared" si="6"/>
        <v>111</v>
      </c>
      <c r="R12" s="710" t="s">
        <v>17</v>
      </c>
      <c r="S12" s="711">
        <f t="shared" si="0"/>
        <v>100</v>
      </c>
      <c r="T12" s="710" t="s">
        <v>17</v>
      </c>
      <c r="U12" s="711">
        <f t="shared" si="1"/>
        <v>100</v>
      </c>
      <c r="V12" s="710" t="s">
        <v>17</v>
      </c>
      <c r="W12" s="711">
        <f t="shared" si="2"/>
        <v>100</v>
      </c>
      <c r="X12" s="712"/>
      <c r="Y12" s="324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2"/>
      <c r="M13" s="2946"/>
      <c r="N13" s="2946"/>
      <c r="O13" s="2946"/>
      <c r="P13" s="3340"/>
      <c r="Q13" s="1529">
        <f t="shared" si="6"/>
        <v>111</v>
      </c>
      <c r="R13" s="710" t="s">
        <v>17</v>
      </c>
      <c r="S13" s="711">
        <f t="shared" si="0"/>
        <v>100</v>
      </c>
      <c r="T13" s="710" t="s">
        <v>17</v>
      </c>
      <c r="U13" s="711">
        <f t="shared" si="1"/>
        <v>100</v>
      </c>
      <c r="V13" s="710" t="s">
        <v>17</v>
      </c>
      <c r="W13" s="711">
        <f t="shared" si="2"/>
        <v>100</v>
      </c>
      <c r="X13" s="712"/>
      <c r="Y13" s="324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2"/>
      <c r="M14" s="2946"/>
      <c r="N14" s="2946"/>
      <c r="O14" s="2946"/>
      <c r="P14" s="3340"/>
      <c r="Q14" s="1529">
        <f t="shared" si="6"/>
        <v>111</v>
      </c>
      <c r="R14" s="710" t="s">
        <v>17</v>
      </c>
      <c r="S14" s="711">
        <f t="shared" si="0"/>
        <v>100</v>
      </c>
      <c r="T14" s="710" t="s">
        <v>17</v>
      </c>
      <c r="U14" s="711">
        <f t="shared" si="1"/>
        <v>100</v>
      </c>
      <c r="V14" s="710" t="s">
        <v>17</v>
      </c>
      <c r="W14" s="711">
        <f t="shared" si="2"/>
        <v>100</v>
      </c>
      <c r="X14" s="712"/>
      <c r="Y14" s="3240"/>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67" t="s">
        <v>2379</v>
      </c>
      <c r="Q15" s="1538" t="str">
        <f t="shared" si="6"/>
        <v>办公集聚程度</v>
      </c>
      <c r="R15" s="714" t="s">
        <v>17</v>
      </c>
      <c r="S15" s="715">
        <f t="shared" si="0"/>
        <v>100</v>
      </c>
      <c r="T15" s="714" t="s">
        <v>17</v>
      </c>
      <c r="U15" s="715">
        <f t="shared" si="1"/>
        <v>100</v>
      </c>
      <c r="V15" s="714" t="s">
        <v>17</v>
      </c>
      <c r="W15" s="715">
        <f t="shared" si="2"/>
        <v>100</v>
      </c>
      <c r="X15" s="1541"/>
      <c r="Y15" s="3360"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2"/>
      <c r="M16" s="2946"/>
      <c r="N16" s="2946"/>
      <c r="O16" s="2946"/>
      <c r="P16" s="3368"/>
      <c r="Q16" s="1538"/>
      <c r="R16" s="714"/>
      <c r="S16" s="715"/>
      <c r="T16" s="714"/>
      <c r="U16" s="715"/>
      <c r="V16" s="714"/>
      <c r="W16" s="715"/>
      <c r="X16" s="1541"/>
      <c r="Y16" s="3361"/>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68"/>
      <c r="Q17" s="1538" t="str">
        <f>B17</f>
        <v>交通便捷度</v>
      </c>
      <c r="R17" s="714" t="s">
        <v>17</v>
      </c>
      <c r="S17" s="715">
        <f>F17</f>
        <v>100</v>
      </c>
      <c r="T17" s="714" t="s">
        <v>17</v>
      </c>
      <c r="U17" s="715">
        <f>H17</f>
        <v>100</v>
      </c>
      <c r="V17" s="714" t="s">
        <v>17</v>
      </c>
      <c r="W17" s="715">
        <f>J17</f>
        <v>100</v>
      </c>
      <c r="X17" s="1541"/>
      <c r="Y17" s="336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2"/>
      <c r="M18" s="2946"/>
      <c r="N18" s="2946"/>
      <c r="O18" s="2946"/>
      <c r="P18" s="3368"/>
      <c r="Q18" s="1538"/>
      <c r="R18" s="714"/>
      <c r="S18" s="715"/>
      <c r="T18" s="714"/>
      <c r="U18" s="715"/>
      <c r="V18" s="714"/>
      <c r="W18" s="715"/>
      <c r="X18" s="1541"/>
      <c r="Y18" s="3361"/>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68"/>
      <c r="Q19" s="1538" t="str">
        <f>B19</f>
        <v>公共配套设施</v>
      </c>
      <c r="R19" s="714" t="s">
        <v>17</v>
      </c>
      <c r="S19" s="715">
        <f>F19</f>
        <v>100</v>
      </c>
      <c r="T19" s="714" t="s">
        <v>17</v>
      </c>
      <c r="U19" s="715">
        <f>H19</f>
        <v>100</v>
      </c>
      <c r="V19" s="714" t="s">
        <v>17</v>
      </c>
      <c r="W19" s="715">
        <f>J19</f>
        <v>100</v>
      </c>
      <c r="X19" s="1541"/>
      <c r="Y19" s="336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2"/>
      <c r="M20" s="2946"/>
      <c r="N20" s="2946"/>
      <c r="O20" s="2946"/>
      <c r="P20" s="3368"/>
      <c r="Q20" s="1538"/>
      <c r="R20" s="714"/>
      <c r="S20" s="715"/>
      <c r="T20" s="714"/>
      <c r="U20" s="715"/>
      <c r="V20" s="714"/>
      <c r="W20" s="715"/>
      <c r="X20" s="1541"/>
      <c r="Y20" s="3361"/>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68"/>
      <c r="Q21" s="1538" t="str">
        <f>B21</f>
        <v>基础设施水平</v>
      </c>
      <c r="R21" s="714" t="s">
        <v>17</v>
      </c>
      <c r="S21" s="715">
        <f>F21</f>
        <v>100</v>
      </c>
      <c r="T21" s="714" t="s">
        <v>17</v>
      </c>
      <c r="U21" s="715">
        <f>H21</f>
        <v>100</v>
      </c>
      <c r="V21" s="714" t="s">
        <v>17</v>
      </c>
      <c r="W21" s="715">
        <f>J21</f>
        <v>100</v>
      </c>
      <c r="X21" s="1541"/>
      <c r="Y21" s="336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2"/>
      <c r="M22" s="2946"/>
      <c r="N22" s="2946"/>
      <c r="O22" s="2946"/>
      <c r="P22" s="3368"/>
      <c r="Q22" s="1538"/>
      <c r="R22" s="714"/>
      <c r="S22" s="715"/>
      <c r="T22" s="714"/>
      <c r="U22" s="715"/>
      <c r="V22" s="714"/>
      <c r="W22" s="715"/>
      <c r="X22" s="1541"/>
      <c r="Y22" s="3361"/>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68"/>
      <c r="Q23" s="1538" t="str">
        <f>B23</f>
        <v>环境质量</v>
      </c>
      <c r="R23" s="714" t="s">
        <v>17</v>
      </c>
      <c r="S23" s="715">
        <f>F23</f>
        <v>100</v>
      </c>
      <c r="T23" s="714" t="s">
        <v>17</v>
      </c>
      <c r="U23" s="715">
        <f>H23</f>
        <v>100</v>
      </c>
      <c r="V23" s="714" t="s">
        <v>17</v>
      </c>
      <c r="W23" s="715">
        <f>J23</f>
        <v>100</v>
      </c>
      <c r="X23" s="1541"/>
      <c r="Y23" s="336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2"/>
      <c r="M24" s="2946"/>
      <c r="N24" s="2946"/>
      <c r="O24" s="2946"/>
      <c r="P24" s="3368"/>
      <c r="Q24" s="1538"/>
      <c r="R24" s="714"/>
      <c r="S24" s="715"/>
      <c r="T24" s="714"/>
      <c r="U24" s="715"/>
      <c r="V24" s="714"/>
      <c r="W24" s="715"/>
      <c r="X24" s="1541"/>
      <c r="Y24" s="3361"/>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2"/>
      <c r="M25" s="2946"/>
      <c r="N25" s="2946"/>
      <c r="O25" s="2946"/>
      <c r="P25" s="3368"/>
      <c r="Q25" s="1538" t="str">
        <f>B25</f>
        <v>毗邻道路的类型与等级</v>
      </c>
      <c r="R25" s="714" t="s">
        <v>17</v>
      </c>
      <c r="S25" s="715">
        <f>F25</f>
        <v>100</v>
      </c>
      <c r="T25" s="714" t="s">
        <v>17</v>
      </c>
      <c r="U25" s="715">
        <f>H25</f>
        <v>100</v>
      </c>
      <c r="V25" s="714" t="s">
        <v>17</v>
      </c>
      <c r="W25" s="715">
        <f>J25</f>
        <v>100</v>
      </c>
      <c r="X25" s="1541"/>
      <c r="Y25" s="336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2"/>
      <c r="M26" s="2946"/>
      <c r="N26" s="2946"/>
      <c r="O26" s="2946"/>
      <c r="P26" s="3368"/>
      <c r="Q26" s="1538"/>
      <c r="R26" s="714"/>
      <c r="S26" s="715"/>
      <c r="T26" s="714"/>
      <c r="U26" s="715"/>
      <c r="V26" s="714"/>
      <c r="W26" s="715"/>
      <c r="X26" s="1541"/>
      <c r="Y26" s="3361"/>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68"/>
      <c r="Q27" s="1538" t="str">
        <f t="shared" ref="Q27:Q47" si="11">B27</f>
        <v>楼层</v>
      </c>
      <c r="R27" s="714" t="s">
        <v>17</v>
      </c>
      <c r="S27" s="715">
        <f>F27</f>
        <v>100</v>
      </c>
      <c r="T27" s="714" t="s">
        <v>17</v>
      </c>
      <c r="U27" s="715">
        <f>H27</f>
        <v>100</v>
      </c>
      <c r="V27" s="714" t="s">
        <v>17</v>
      </c>
      <c r="W27" s="715">
        <f>J27</f>
        <v>100</v>
      </c>
      <c r="X27" s="1541"/>
      <c r="Y27" s="3361"/>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7"/>
      <c r="M28" s="2948"/>
      <c r="N28" s="2948"/>
      <c r="O28" s="2948"/>
      <c r="P28" s="3368"/>
      <c r="Q28" s="1529" t="str">
        <f t="shared" si="11"/>
        <v>朝向</v>
      </c>
      <c r="R28" s="710" t="s">
        <v>17</v>
      </c>
      <c r="S28" s="711">
        <f>F28</f>
        <v>100</v>
      </c>
      <c r="T28" s="710" t="s">
        <v>17</v>
      </c>
      <c r="U28" s="711">
        <f>H28</f>
        <v>100</v>
      </c>
      <c r="V28" s="710" t="s">
        <v>17</v>
      </c>
      <c r="W28" s="711">
        <f>J28</f>
        <v>100</v>
      </c>
      <c r="X28" s="712"/>
      <c r="Y28" s="336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2"/>
      <c r="M29" s="2946"/>
      <c r="N29" s="2946"/>
      <c r="O29" s="2946"/>
      <c r="P29" s="3368"/>
      <c r="Q29" s="1538">
        <f t="shared" si="11"/>
        <v>111</v>
      </c>
      <c r="R29" s="714" t="s">
        <v>17</v>
      </c>
      <c r="S29" s="715">
        <f t="shared" ref="S29:S47" si="12">F29</f>
        <v>100</v>
      </c>
      <c r="T29" s="714" t="s">
        <v>17</v>
      </c>
      <c r="U29" s="715">
        <f t="shared" ref="U29:U47" si="13">H29</f>
        <v>100</v>
      </c>
      <c r="V29" s="714" t="s">
        <v>17</v>
      </c>
      <c r="W29" s="715">
        <f t="shared" ref="W29:W47" si="14">J29</f>
        <v>100</v>
      </c>
      <c r="X29" s="1541"/>
      <c r="Y29" s="336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2"/>
      <c r="M30" s="2946"/>
      <c r="N30" s="2946"/>
      <c r="O30" s="2946"/>
      <c r="P30" s="3368"/>
      <c r="Q30" s="1538">
        <f t="shared" si="11"/>
        <v>111</v>
      </c>
      <c r="R30" s="714" t="s">
        <v>17</v>
      </c>
      <c r="S30" s="715">
        <f t="shared" si="12"/>
        <v>100</v>
      </c>
      <c r="T30" s="714" t="s">
        <v>17</v>
      </c>
      <c r="U30" s="715">
        <f t="shared" si="13"/>
        <v>100</v>
      </c>
      <c r="V30" s="714" t="s">
        <v>17</v>
      </c>
      <c r="W30" s="715">
        <f t="shared" si="14"/>
        <v>100</v>
      </c>
      <c r="X30" s="1541"/>
      <c r="Y30" s="336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2"/>
      <c r="M31" s="2946"/>
      <c r="N31" s="2946"/>
      <c r="O31" s="2946"/>
      <c r="P31" s="3368"/>
      <c r="Q31" s="1538">
        <f t="shared" si="11"/>
        <v>111</v>
      </c>
      <c r="R31" s="714" t="s">
        <v>17</v>
      </c>
      <c r="S31" s="715">
        <f t="shared" si="12"/>
        <v>100</v>
      </c>
      <c r="T31" s="714" t="s">
        <v>17</v>
      </c>
      <c r="U31" s="715">
        <f t="shared" si="13"/>
        <v>100</v>
      </c>
      <c r="V31" s="714" t="s">
        <v>17</v>
      </c>
      <c r="W31" s="715">
        <f t="shared" si="14"/>
        <v>100</v>
      </c>
      <c r="X31" s="1541"/>
      <c r="Y31" s="336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2"/>
      <c r="M32" s="2946"/>
      <c r="N32" s="2946"/>
      <c r="O32" s="2946"/>
      <c r="P32" s="3368"/>
      <c r="Q32" s="1538">
        <f t="shared" si="11"/>
        <v>111</v>
      </c>
      <c r="R32" s="714" t="s">
        <v>17</v>
      </c>
      <c r="S32" s="715">
        <f t="shared" si="12"/>
        <v>100</v>
      </c>
      <c r="T32" s="714" t="s">
        <v>17</v>
      </c>
      <c r="U32" s="715">
        <f t="shared" si="13"/>
        <v>100</v>
      </c>
      <c r="V32" s="714" t="s">
        <v>17</v>
      </c>
      <c r="W32" s="715">
        <f t="shared" si="14"/>
        <v>100</v>
      </c>
      <c r="X32" s="1541"/>
      <c r="Y32" s="3361"/>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2"/>
      <c r="M33" s="2946"/>
      <c r="N33" s="2946"/>
      <c r="O33" s="2946"/>
      <c r="P33" s="3362" t="s">
        <v>2384</v>
      </c>
      <c r="Q33" s="1538" t="str">
        <f t="shared" si="11"/>
        <v>建筑类型</v>
      </c>
      <c r="R33" s="714" t="s">
        <v>17</v>
      </c>
      <c r="S33" s="715">
        <f t="shared" si="12"/>
        <v>100</v>
      </c>
      <c r="T33" s="714" t="s">
        <v>17</v>
      </c>
      <c r="U33" s="715">
        <f t="shared" si="13"/>
        <v>100</v>
      </c>
      <c r="V33" s="714" t="s">
        <v>17</v>
      </c>
      <c r="W33" s="715">
        <f t="shared" si="14"/>
        <v>100</v>
      </c>
      <c r="X33" s="1541"/>
      <c r="Y33" s="3365"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63"/>
      <c r="Q34" s="716" t="str">
        <f t="shared" si="11"/>
        <v>项目建筑规模</v>
      </c>
      <c r="R34" s="717" t="s">
        <v>17</v>
      </c>
      <c r="S34" s="718" t="e">
        <f t="shared" si="12"/>
        <v>#N/A</v>
      </c>
      <c r="T34" s="717" t="s">
        <v>17</v>
      </c>
      <c r="U34" s="718" t="e">
        <f t="shared" si="13"/>
        <v>#N/A</v>
      </c>
      <c r="V34" s="717" t="s">
        <v>17</v>
      </c>
      <c r="W34" s="718" t="e">
        <f t="shared" si="14"/>
        <v>#N/A</v>
      </c>
      <c r="X34" s="719"/>
      <c r="Y34" s="3365"/>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63"/>
      <c r="Q35" s="1538" t="str">
        <f t="shared" si="11"/>
        <v>建筑结构</v>
      </c>
      <c r="R35" s="714" t="s">
        <v>17</v>
      </c>
      <c r="S35" s="715">
        <f t="shared" si="12"/>
        <v>100</v>
      </c>
      <c r="T35" s="714" t="s">
        <v>17</v>
      </c>
      <c r="U35" s="715">
        <f t="shared" si="13"/>
        <v>100</v>
      </c>
      <c r="V35" s="714" t="s">
        <v>17</v>
      </c>
      <c r="W35" s="715">
        <f t="shared" si="14"/>
        <v>100</v>
      </c>
      <c r="X35" s="1541"/>
      <c r="Y35" s="3365"/>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63"/>
      <c r="Q36" s="1538" t="str">
        <f t="shared" si="11"/>
        <v>公共部分装修</v>
      </c>
      <c r="R36" s="714" t="s">
        <v>17</v>
      </c>
      <c r="S36" s="715">
        <f t="shared" si="12"/>
        <v>100</v>
      </c>
      <c r="T36" s="714" t="s">
        <v>17</v>
      </c>
      <c r="U36" s="715">
        <f t="shared" si="13"/>
        <v>100</v>
      </c>
      <c r="V36" s="714" t="s">
        <v>17</v>
      </c>
      <c r="W36" s="715">
        <f t="shared" si="14"/>
        <v>100</v>
      </c>
      <c r="X36" s="1541"/>
      <c r="Y36" s="3365"/>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63"/>
      <c r="Q37" s="1538" t="str">
        <f t="shared" si="11"/>
        <v>成新度</v>
      </c>
      <c r="R37" s="714" t="s">
        <v>17</v>
      </c>
      <c r="S37" s="715" t="e">
        <f t="shared" si="12"/>
        <v>#N/A</v>
      </c>
      <c r="T37" s="714" t="s">
        <v>17</v>
      </c>
      <c r="U37" s="715" t="e">
        <f t="shared" si="13"/>
        <v>#N/A</v>
      </c>
      <c r="V37" s="714" t="s">
        <v>17</v>
      </c>
      <c r="W37" s="715" t="e">
        <f t="shared" si="14"/>
        <v>#N/A</v>
      </c>
      <c r="X37" s="1541"/>
      <c r="Y37" s="3365"/>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63"/>
      <c r="Q38" s="1529" t="str">
        <f t="shared" si="11"/>
        <v>写字楼等级</v>
      </c>
      <c r="R38" s="710" t="s">
        <v>17</v>
      </c>
      <c r="S38" s="711">
        <f t="shared" si="12"/>
        <v>100</v>
      </c>
      <c r="T38" s="710" t="s">
        <v>17</v>
      </c>
      <c r="U38" s="711">
        <f t="shared" si="13"/>
        <v>100</v>
      </c>
      <c r="V38" s="710" t="s">
        <v>17</v>
      </c>
      <c r="W38" s="711">
        <f t="shared" si="14"/>
        <v>100</v>
      </c>
      <c r="X38" s="712"/>
      <c r="Y38" s="3365"/>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63" t="s">
        <v>2384</v>
      </c>
      <c r="Q39" s="1538" t="str">
        <f t="shared" si="11"/>
        <v>物业管理</v>
      </c>
      <c r="R39" s="714" t="s">
        <v>17</v>
      </c>
      <c r="S39" s="715">
        <f t="shared" si="12"/>
        <v>100</v>
      </c>
      <c r="T39" s="714" t="s">
        <v>17</v>
      </c>
      <c r="U39" s="715">
        <f t="shared" si="13"/>
        <v>100</v>
      </c>
      <c r="V39" s="714" t="s">
        <v>17</v>
      </c>
      <c r="W39" s="715">
        <f t="shared" si="14"/>
        <v>100</v>
      </c>
      <c r="X39" s="1541"/>
      <c r="Y39" s="3365"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63"/>
      <c r="Q40" s="1538" t="str">
        <f t="shared" si="11"/>
        <v>市政基础设施</v>
      </c>
      <c r="R40" s="714" t="s">
        <v>17</v>
      </c>
      <c r="S40" s="715">
        <f t="shared" si="12"/>
        <v>100</v>
      </c>
      <c r="T40" s="714" t="s">
        <v>17</v>
      </c>
      <c r="U40" s="715">
        <f t="shared" si="13"/>
        <v>100</v>
      </c>
      <c r="V40" s="714" t="s">
        <v>17</v>
      </c>
      <c r="W40" s="715">
        <f t="shared" si="14"/>
        <v>100</v>
      </c>
      <c r="X40" s="1541"/>
      <c r="Y40" s="3365"/>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63"/>
      <c r="Q41" s="1538" t="str">
        <f t="shared" si="11"/>
        <v>层高</v>
      </c>
      <c r="R41" s="714" t="s">
        <v>17</v>
      </c>
      <c r="S41" s="715">
        <f t="shared" si="12"/>
        <v>100</v>
      </c>
      <c r="T41" s="714" t="s">
        <v>17</v>
      </c>
      <c r="U41" s="715">
        <f t="shared" si="13"/>
        <v>100</v>
      </c>
      <c r="V41" s="714" t="s">
        <v>17</v>
      </c>
      <c r="W41" s="715">
        <f t="shared" si="14"/>
        <v>100</v>
      </c>
      <c r="X41" s="1541"/>
      <c r="Y41" s="3365"/>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63"/>
      <c r="Q42" s="716" t="str">
        <f t="shared" si="11"/>
        <v>单套建筑面积</v>
      </c>
      <c r="R42" s="717" t="s">
        <v>17</v>
      </c>
      <c r="S42" s="718">
        <f t="shared" si="12"/>
        <v>100</v>
      </c>
      <c r="T42" s="717" t="s">
        <v>17</v>
      </c>
      <c r="U42" s="718">
        <f t="shared" si="13"/>
        <v>100</v>
      </c>
      <c r="V42" s="717" t="s">
        <v>17</v>
      </c>
      <c r="W42" s="718">
        <f t="shared" si="14"/>
        <v>100</v>
      </c>
      <c r="X42" s="719"/>
      <c r="Y42" s="3365"/>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63"/>
      <c r="Q43" s="1538" t="str">
        <f t="shared" si="11"/>
        <v>内部装修</v>
      </c>
      <c r="R43" s="714" t="s">
        <v>17</v>
      </c>
      <c r="S43" s="715">
        <f t="shared" si="12"/>
        <v>100</v>
      </c>
      <c r="T43" s="714" t="s">
        <v>17</v>
      </c>
      <c r="U43" s="715">
        <f t="shared" si="13"/>
        <v>100</v>
      </c>
      <c r="V43" s="714" t="s">
        <v>17</v>
      </c>
      <c r="W43" s="715">
        <f t="shared" si="14"/>
        <v>100</v>
      </c>
      <c r="X43" s="1541"/>
      <c r="Y43" s="3365"/>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2"/>
      <c r="M44" s="2946"/>
      <c r="N44" s="2946"/>
      <c r="O44" s="2946"/>
      <c r="P44" s="3363"/>
      <c r="Q44" s="1538" t="str">
        <f t="shared" si="11"/>
        <v>内部装修维护情况</v>
      </c>
      <c r="R44" s="714" t="s">
        <v>17</v>
      </c>
      <c r="S44" s="715">
        <f t="shared" si="12"/>
        <v>100</v>
      </c>
      <c r="T44" s="714" t="s">
        <v>17</v>
      </c>
      <c r="U44" s="715">
        <f t="shared" si="13"/>
        <v>100</v>
      </c>
      <c r="V44" s="714" t="s">
        <v>17</v>
      </c>
      <c r="W44" s="715">
        <f t="shared" si="14"/>
        <v>100</v>
      </c>
      <c r="X44" s="1541"/>
      <c r="Y44" s="336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63"/>
      <c r="Q45" s="1529">
        <f t="shared" si="11"/>
        <v>111</v>
      </c>
      <c r="R45" s="710" t="s">
        <v>17</v>
      </c>
      <c r="S45" s="711">
        <f t="shared" si="12"/>
        <v>100</v>
      </c>
      <c r="T45" s="710" t="s">
        <v>17</v>
      </c>
      <c r="U45" s="711">
        <f t="shared" si="13"/>
        <v>100</v>
      </c>
      <c r="V45" s="710" t="s">
        <v>17</v>
      </c>
      <c r="W45" s="711">
        <f t="shared" si="14"/>
        <v>100</v>
      </c>
      <c r="X45" s="712"/>
      <c r="Y45" s="336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63"/>
      <c r="Q46" s="1538">
        <f t="shared" si="11"/>
        <v>111</v>
      </c>
      <c r="R46" s="714" t="s">
        <v>17</v>
      </c>
      <c r="S46" s="715">
        <f t="shared" si="12"/>
        <v>100</v>
      </c>
      <c r="T46" s="714" t="s">
        <v>17</v>
      </c>
      <c r="U46" s="715">
        <f t="shared" si="13"/>
        <v>100</v>
      </c>
      <c r="V46" s="714" t="s">
        <v>17</v>
      </c>
      <c r="W46" s="715">
        <f t="shared" si="14"/>
        <v>100</v>
      </c>
      <c r="X46" s="1541"/>
      <c r="Y46" s="336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64"/>
      <c r="Q47" s="1538">
        <f t="shared" si="11"/>
        <v>111</v>
      </c>
      <c r="R47" s="714" t="s">
        <v>17</v>
      </c>
      <c r="S47" s="715">
        <f t="shared" si="12"/>
        <v>100</v>
      </c>
      <c r="T47" s="714" t="s">
        <v>17</v>
      </c>
      <c r="U47" s="715">
        <f t="shared" si="13"/>
        <v>100</v>
      </c>
      <c r="V47" s="714" t="s">
        <v>17</v>
      </c>
      <c r="W47" s="715">
        <f t="shared" si="14"/>
        <v>100</v>
      </c>
      <c r="X47" s="1541"/>
      <c r="Y47" s="3366"/>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4"/>
      <c r="M48" s="2946"/>
      <c r="N48" s="2946"/>
      <c r="O48" s="2946"/>
      <c r="P48" s="3340" t="str">
        <f>A48</f>
        <v>成交单价（元/平方米）</v>
      </c>
      <c r="Q48" s="3358"/>
      <c r="R48" s="3359">
        <f>E48</f>
        <v>0</v>
      </c>
      <c r="S48" s="3359"/>
      <c r="T48" s="3359">
        <f>G48</f>
        <v>0</v>
      </c>
      <c r="U48" s="3359"/>
      <c r="V48" s="3359">
        <f>I48</f>
        <v>0</v>
      </c>
      <c r="W48" s="3359"/>
      <c r="X48" s="405"/>
      <c r="Y48" s="721"/>
      <c r="Z48" s="405"/>
      <c r="AA48" s="405"/>
      <c r="AB48" s="405"/>
      <c r="AC48" s="586"/>
    </row>
    <row r="49" spans="1:29" ht="15.75" thickBot="1">
      <c r="A49" s="445" t="s">
        <v>2488</v>
      </c>
      <c r="B49" s="446"/>
      <c r="C49" s="1322" t="e">
        <f>R50</f>
        <v>#DIV/0!</v>
      </c>
      <c r="D49" s="2540" t="s">
        <v>2878</v>
      </c>
      <c r="E49" s="1323" t="e">
        <f>R49</f>
        <v>#DIV/0!</v>
      </c>
      <c r="F49" s="2541"/>
      <c r="G49" s="1322" t="e">
        <f>T49</f>
        <v>#DIV/0!</v>
      </c>
      <c r="H49" s="2541"/>
      <c r="I49" s="1323" t="e">
        <f>V49</f>
        <v>#DIV/0!</v>
      </c>
      <c r="J49" s="2541"/>
      <c r="K49" s="2543">
        <f>F49+H49+J49</f>
        <v>0</v>
      </c>
      <c r="L49" s="2954"/>
      <c r="M49" s="2946"/>
      <c r="N49" s="2946"/>
      <c r="O49" s="2946"/>
      <c r="P49" s="3340"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4"/>
      <c r="M50" s="2946"/>
      <c r="N50" s="2946"/>
      <c r="O50" s="2946"/>
      <c r="P50" s="3405" t="str">
        <f>A50</f>
        <v>估价对象XX用房的比较价值（楼面单价，元/平方米）</v>
      </c>
      <c r="Q50" s="3406"/>
      <c r="R50" s="3407" t="e">
        <f>IF(F1="售价",ROUND(IF(D49="简单平均",AVERAGE(R49:V49),R49*F49+T49*H49+V49*J49),0),ROUND(IF(D49="简单平均",AVERAGE(R49:V49),R49*F49+T49*H49+V49*J49),1))</f>
        <v>#DIV/0!</v>
      </c>
      <c r="S50" s="3407"/>
      <c r="T50" s="3407"/>
      <c r="U50" s="3407"/>
      <c r="V50" s="3407"/>
      <c r="W50" s="3407"/>
      <c r="X50" s="2134"/>
      <c r="Y50" s="2134"/>
      <c r="Z50" s="2134"/>
      <c r="AA50" s="2134"/>
      <c r="AB50" s="2134"/>
      <c r="AC50" s="2135"/>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2493</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2367</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0"/>
      <c r="Q61" s="2969"/>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2"/>
      <c r="O62" s="2982"/>
      <c r="P62" s="2991"/>
      <c r="Q62" s="2969"/>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2378</v>
      </c>
      <c r="B77" s="485" t="s">
        <v>2516</v>
      </c>
      <c r="C77" s="530" t="s">
        <v>2416</v>
      </c>
      <c r="D77" s="530" t="s">
        <v>2417</v>
      </c>
      <c r="E77" s="530" t="s">
        <v>2418</v>
      </c>
      <c r="F77" s="530" t="s">
        <v>2419</v>
      </c>
      <c r="G77" s="530" t="s">
        <v>2420</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2421</v>
      </c>
      <c r="C79" s="535" t="s">
        <v>2416</v>
      </c>
      <c r="D79" s="535" t="s">
        <v>2417</v>
      </c>
      <c r="E79" s="535" t="s">
        <v>2418</v>
      </c>
      <c r="F79" s="535" t="s">
        <v>2419</v>
      </c>
      <c r="G79" s="535" t="s">
        <v>2420</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2422</v>
      </c>
      <c r="C81" s="535" t="s">
        <v>2416</v>
      </c>
      <c r="D81" s="535" t="s">
        <v>2417</v>
      </c>
      <c r="E81" s="535" t="s">
        <v>2418</v>
      </c>
      <c r="F81" s="535" t="s">
        <v>2419</v>
      </c>
      <c r="G81" s="535" t="s">
        <v>2420</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2508</v>
      </c>
      <c r="C83" s="616" t="s">
        <v>2494</v>
      </c>
      <c r="D83" s="616" t="s">
        <v>2495</v>
      </c>
      <c r="E83" s="616" t="s">
        <v>2496</v>
      </c>
      <c r="F83" s="616" t="s">
        <v>2497</v>
      </c>
      <c r="G83" s="616" t="s">
        <v>2498</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2517</v>
      </c>
      <c r="C85" s="535" t="s">
        <v>2416</v>
      </c>
      <c r="D85" s="535" t="s">
        <v>2417</v>
      </c>
      <c r="E85" s="535" t="s">
        <v>2418</v>
      </c>
      <c r="F85" s="535" t="s">
        <v>2419</v>
      </c>
      <c r="G85" s="535" t="s">
        <v>2420</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2518</v>
      </c>
      <c r="C87" s="511"/>
      <c r="D87" s="511"/>
      <c r="E87" s="511"/>
      <c r="F87" s="511"/>
      <c r="G87" s="511"/>
      <c r="H87" s="511"/>
      <c r="I87" s="511"/>
      <c r="J87" s="511"/>
      <c r="K87" s="511"/>
      <c r="L87" s="537"/>
      <c r="M87" s="538"/>
      <c r="N87" s="2982"/>
      <c r="O87" s="2982"/>
      <c r="P87" s="2992"/>
      <c r="Q87" s="2969"/>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2"/>
      <c r="O89" s="2982"/>
      <c r="P89" s="2992"/>
      <c r="Q89" s="2969"/>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6"/>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2382</v>
      </c>
      <c r="B101" s="485" t="s">
        <v>2431</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2433</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2435</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2519</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2436</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2437</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2520</v>
      </c>
      <c r="C119" s="540"/>
      <c r="D119" s="540"/>
      <c r="E119" s="540"/>
      <c r="F119" s="540"/>
      <c r="G119" s="540"/>
      <c r="H119" s="540"/>
      <c r="I119" s="540"/>
      <c r="J119" s="540"/>
      <c r="K119" s="540"/>
      <c r="L119" s="2156"/>
      <c r="M119" s="2157"/>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2503</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2439</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6"/>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CF918-D165-4DCB-A263-FFD0D65D9444}">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22.4</v>
      </c>
      <c r="G1" s="1564">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54845</v>
      </c>
      <c r="C2" s="1573" t="s">
        <v>1481</v>
      </c>
      <c r="D2" s="1573"/>
      <c r="E2" s="1574"/>
      <c r="F2" s="1575"/>
      <c r="G2" s="2936"/>
      <c r="H2" s="2925"/>
      <c r="I2" s="2925"/>
      <c r="J2" s="2925"/>
      <c r="K2" s="2926"/>
      <c r="L2" s="2925"/>
      <c r="M2" s="2925"/>
    </row>
    <row r="3" spans="1:37" ht="18" customHeight="1" thickBot="1">
      <c r="A3" s="1576" t="s">
        <v>1482</v>
      </c>
      <c r="B3" s="1577">
        <f ca="1">IF(ISERROR(B2*10000/F43),0,ROUND(B2*10000/F43,0))</f>
        <v>21044</v>
      </c>
      <c r="C3" s="1573" t="s">
        <v>1483</v>
      </c>
      <c r="D3" s="1573"/>
      <c r="E3" s="1574"/>
      <c r="F3" s="1575"/>
      <c r="G3" s="2936"/>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4492</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4486</v>
      </c>
      <c r="D6" s="160" t="s">
        <v>2848</v>
      </c>
      <c r="E6" s="308" t="s">
        <v>1370</v>
      </c>
      <c r="F6" s="309">
        <f ca="1">INDIRECT("'数据-取费表'!u"&amp;$G$1)</f>
        <v>5.24</v>
      </c>
      <c r="G6" s="1570"/>
      <c r="H6" s="1201" t="s">
        <v>1003</v>
      </c>
      <c r="I6" s="3299" t="s">
        <v>1368</v>
      </c>
      <c r="J6" s="307">
        <f ca="1">ROUND(M6*M8*M7*(1-M9)/10000,0)</f>
        <v>0</v>
      </c>
      <c r="K6" s="160" t="s">
        <v>2847</v>
      </c>
      <c r="L6" s="308" t="s">
        <v>1370</v>
      </c>
      <c r="M6" s="309">
        <f ca="1">INDIRECT("'数据-取费表'!z"&amp;$G$1)</f>
        <v>0</v>
      </c>
    </row>
    <row r="7" spans="1:37" ht="18" customHeight="1">
      <c r="A7" s="1205"/>
      <c r="B7" s="3300"/>
      <c r="C7" s="1207"/>
      <c r="D7" s="313"/>
      <c r="E7" s="3052" t="s">
        <v>1371</v>
      </c>
      <c r="F7" s="309">
        <f ca="1">IF(INDIRECT("'数据-取费表'!ah"&amp;$G$1)="",INDIRECT("'数据-取费表'!k"&amp;$G$1),INDIRECT("'数据-取费表'!ah"&amp;$G$1))</f>
        <v>26062.429999999989</v>
      </c>
      <c r="G7" s="1570"/>
      <c r="H7" s="310"/>
      <c r="I7" s="3300"/>
      <c r="J7" s="312"/>
      <c r="K7" s="313"/>
      <c r="L7" s="308" t="s">
        <v>1371</v>
      </c>
      <c r="M7" s="309">
        <f ca="1">F7</f>
        <v>26062.429999999989</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6</v>
      </c>
      <c r="D10" s="1552" t="s">
        <v>2855</v>
      </c>
      <c r="E10" s="319" t="s">
        <v>1375</v>
      </c>
      <c r="F10" s="1276" t="s">
        <v>3165</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18759</v>
      </c>
      <c r="D13" s="3044" t="s">
        <v>1380</v>
      </c>
      <c r="E13" s="3044" t="s">
        <v>1381</v>
      </c>
      <c r="F13" s="1242">
        <f ca="1">INDIRECT("'数据-取费表'!y"&amp;$G$1)</f>
        <v>0.92</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13031</v>
      </c>
      <c r="D14" s="3048" t="s">
        <v>1383</v>
      </c>
      <c r="E14" s="3046"/>
      <c r="F14" s="325"/>
      <c r="G14" s="1570"/>
      <c r="H14" s="1113" t="s">
        <v>1003</v>
      </c>
      <c r="I14" s="308" t="s">
        <v>1384</v>
      </c>
      <c r="J14" s="24">
        <f ca="1">C29</f>
        <v>20390</v>
      </c>
      <c r="K14" s="3051"/>
      <c r="L14" s="916"/>
      <c r="M14" s="917"/>
    </row>
    <row r="15" spans="1:37" s="1583" customFormat="1" ht="18" customHeight="1" thickBot="1">
      <c r="A15" s="1113" t="s">
        <v>1004</v>
      </c>
      <c r="B15" s="308" t="s">
        <v>1385</v>
      </c>
      <c r="C15" s="24">
        <f ca="1">ROUND(C14*F15,0)</f>
        <v>391</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485</v>
      </c>
      <c r="K16" s="1247" t="s">
        <v>1390</v>
      </c>
      <c r="L16" s="3049"/>
      <c r="M16" s="1204"/>
    </row>
    <row r="17" spans="1:37" s="1583" customFormat="1" ht="18" customHeight="1">
      <c r="A17" s="1113" t="s">
        <v>1355</v>
      </c>
      <c r="B17" s="308" t="s">
        <v>1391</v>
      </c>
      <c r="C17" s="24">
        <f ca="1">ROUND(F17*(F43+INDIRECT("'数据-取费表'!S"&amp;$G$1))/10000,0)</f>
        <v>521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179</v>
      </c>
      <c r="K17" s="3048" t="s">
        <v>1395</v>
      </c>
      <c r="L17" s="3047"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195</v>
      </c>
      <c r="D18" s="308" t="s">
        <v>1386</v>
      </c>
      <c r="E18" s="308" t="s">
        <v>1387</v>
      </c>
      <c r="F18" s="328">
        <f>'数据-取费表'!B36</f>
        <v>1.4999999999999999E-2</v>
      </c>
      <c r="G18" s="1582"/>
      <c r="H18" s="1113" t="s">
        <v>1002</v>
      </c>
      <c r="I18" s="308" t="s">
        <v>1398</v>
      </c>
      <c r="J18" s="24">
        <f ca="1">ROUND(J6*M18/(1+'数据-取费表'!C42),2)</f>
        <v>0</v>
      </c>
      <c r="K18" s="304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14138</v>
      </c>
      <c r="D19" s="136" t="s">
        <v>1401</v>
      </c>
      <c r="E19" s="3054"/>
      <c r="F19" s="26"/>
      <c r="G19" s="1570"/>
      <c r="H19" s="1113" t="s">
        <v>1004</v>
      </c>
      <c r="I19" s="308" t="s">
        <v>1402</v>
      </c>
      <c r="J19" s="24">
        <f ca="1">IF(K19="按租金收入计税",ROUND(J6*M19/(1+'数据-取费表'!C42),2),ROUND(C29*M19*0.7,2))</f>
        <v>171.28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424</v>
      </c>
      <c r="D20" s="329" t="s">
        <v>1405</v>
      </c>
      <c r="E20" s="308" t="s">
        <v>1387</v>
      </c>
      <c r="F20" s="328">
        <f>'数据-取费表'!B37</f>
        <v>0.03</v>
      </c>
      <c r="G20" s="1582"/>
      <c r="H20" s="1113" t="s">
        <v>1354</v>
      </c>
      <c r="I20" s="160" t="s">
        <v>1406</v>
      </c>
      <c r="J20" s="25">
        <f ca="1">ROUND(M20*M21/10000,2)</f>
        <v>7.69</v>
      </c>
      <c r="K20" s="330" t="s">
        <v>1407</v>
      </c>
      <c r="L20" s="308" t="s">
        <v>1408</v>
      </c>
      <c r="M20" s="331">
        <f>'数据-取费表'!B52</f>
        <v>18</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4271.17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4"/>
      <c r="F22" s="26"/>
      <c r="G22" s="1570"/>
      <c r="H22" s="1113" t="s">
        <v>1007</v>
      </c>
      <c r="I22" s="308" t="s">
        <v>1414</v>
      </c>
      <c r="J22" s="24">
        <f ca="1">ROUND(J14*M22,1)</f>
        <v>305.89999999999998</v>
      </c>
      <c r="K22" s="3047"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1050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3047" t="s">
        <v>1419</v>
      </c>
      <c r="L23" s="308" t="s">
        <v>1387</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4"/>
      <c r="F25" s="26"/>
      <c r="G25" s="1570"/>
      <c r="H25" s="1239" t="s">
        <v>999</v>
      </c>
      <c r="I25" s="1254" t="s">
        <v>1428</v>
      </c>
      <c r="J25" s="316">
        <f ca="1">J5-J16</f>
        <v>-485</v>
      </c>
      <c r="K25" s="1255" t="s">
        <v>1429</v>
      </c>
      <c r="L25" s="1256"/>
      <c r="M25" s="1257"/>
    </row>
    <row r="26" spans="1:37">
      <c r="A26" s="1113" t="s">
        <v>1002</v>
      </c>
      <c r="B26" s="308" t="s">
        <v>1430</v>
      </c>
      <c r="C26" s="24">
        <f ca="1">ROUND((C19+C20)*F26,0)</f>
        <v>2912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6.0000000000000001E-3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20390</v>
      </c>
      <c r="D29" s="1252"/>
      <c r="E29" s="1250"/>
      <c r="F29" s="1253"/>
      <c r="G29" s="1582"/>
      <c r="H29" s="340" t="s">
        <v>1001</v>
      </c>
      <c r="I29" s="341" t="s">
        <v>1444</v>
      </c>
      <c r="J29" s="342">
        <f ca="1">ROUND(J26/(1+F40)^F41,0)</f>
        <v>0</v>
      </c>
      <c r="K29" s="343" t="s">
        <v>1445</v>
      </c>
      <c r="L29" s="344"/>
      <c r="M29" s="345">
        <f ca="1">INDIRECT("'数据-取费表'!k"&amp;$G$1)</f>
        <v>26062.429999999989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1193</v>
      </c>
      <c r="D30" s="1247" t="s">
        <v>1390</v>
      </c>
      <c r="E30" s="3049"/>
      <c r="F30" s="1204"/>
      <c r="G30" s="1570"/>
      <c r="H30" s="2927"/>
      <c r="I30" s="1584"/>
      <c r="J30" s="1585"/>
      <c r="K30" s="2703"/>
      <c r="L30" s="2928"/>
      <c r="M30" s="2929"/>
    </row>
    <row r="31" spans="1:37" ht="18" customHeight="1">
      <c r="A31" s="1113" t="s">
        <v>1003</v>
      </c>
      <c r="B31" s="308" t="s">
        <v>1394</v>
      </c>
      <c r="C31" s="2536">
        <f ca="1">ROUND(IF(AND(项目基本情况!B11="自然人",项目基本情况!B10="北京市"),C6*F31/(1+'数据-取费表'!C42),C32+C33+C34),0)</f>
        <v>760</v>
      </c>
      <c r="D31" s="3048" t="s">
        <v>1395</v>
      </c>
      <c r="E31" s="3047" t="s">
        <v>1446</v>
      </c>
      <c r="F31" s="2535" t="str">
        <f>IF(项目基本情况!B11="企业","——",IF('数据-取费表'!B10="住宅",IF(F6*F7*F8/12/(1+'数据-取费表'!F30)&gt;100000,4%,2.5%),IF(F6*F7*F8/12/(1+'数据-取费表'!F30)&gt;100000,12%,7%)))</f>
        <v>——</v>
      </c>
      <c r="G31" s="1570"/>
      <c r="H31" s="3040" t="s">
        <v>3054</v>
      </c>
      <c r="I31" s="1584"/>
      <c r="J31" s="1585"/>
      <c r="K31" s="2703"/>
      <c r="L31" s="2928"/>
      <c r="M31" s="2929"/>
    </row>
    <row r="32" spans="1:37" ht="18" customHeight="1">
      <c r="A32" s="1113" t="s">
        <v>1002</v>
      </c>
      <c r="B32" s="308" t="s">
        <v>1398</v>
      </c>
      <c r="C32" s="24">
        <f ca="1">IF(项目基本情况!B11="自然人","——",ROUND(C6*F32/(1+'数据-取费表'!C42),2))</f>
        <v>239.25</v>
      </c>
      <c r="D32" s="3047" t="s">
        <v>1399</v>
      </c>
      <c r="E32" s="308" t="s">
        <v>1387</v>
      </c>
      <c r="F32" s="337">
        <f>'数据-取费表'!B41</f>
        <v>5.6000000000000001E-2</v>
      </c>
      <c r="G32" s="1570"/>
      <c r="H32" s="2927"/>
      <c r="I32" s="1584"/>
      <c r="J32" s="1585"/>
      <c r="K32" s="2703"/>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512.69000000000005</v>
      </c>
      <c r="D33" s="1556" t="s">
        <v>3166</v>
      </c>
      <c r="E33" s="308" t="s">
        <v>1387</v>
      </c>
      <c r="F33" s="328">
        <f>IF(D33="按票据","——",IF(D33="按租金收入计税",'数据-取费表'!B51,'数据-取费表'!B50))</f>
        <v>0.12</v>
      </c>
      <c r="G33" s="1570"/>
      <c r="H33" s="2930"/>
      <c r="I33" s="1584"/>
      <c r="J33" s="1585"/>
      <c r="K33" s="2931"/>
      <c r="L33" s="2930"/>
      <c r="M33" s="2930"/>
    </row>
    <row r="34" spans="1:18" ht="18" customHeight="1">
      <c r="A34" s="1201" t="s">
        <v>1354</v>
      </c>
      <c r="B34" s="160" t="s">
        <v>1406</v>
      </c>
      <c r="C34" s="25">
        <f ca="1">IF(项目基本情况!B11="自然人","——",ROUND(F34*F35/10000,2))</f>
        <v>7.69</v>
      </c>
      <c r="D34" s="330" t="s">
        <v>1407</v>
      </c>
      <c r="E34" s="308" t="s">
        <v>1408</v>
      </c>
      <c r="F34" s="331">
        <f>'数据-取费表'!B52</f>
        <v>18</v>
      </c>
      <c r="G34" s="1570"/>
      <c r="H34" s="2927"/>
      <c r="I34" s="1584"/>
      <c r="J34" s="1585"/>
      <c r="K34" s="2932"/>
      <c r="L34" s="2933"/>
      <c r="M34" s="2933"/>
    </row>
    <row r="35" spans="1:18" ht="18" customHeight="1">
      <c r="A35" s="1263"/>
      <c r="B35" s="1261"/>
      <c r="C35" s="29"/>
      <c r="D35" s="333"/>
      <c r="E35" s="308" t="s">
        <v>1412</v>
      </c>
      <c r="F35" s="309">
        <f ca="1">INDIRECT("'数据-取费表'!r"&amp;$G$1)</f>
        <v>4271.17</v>
      </c>
      <c r="G35" s="1570"/>
      <c r="H35" s="2927"/>
      <c r="I35" s="1584"/>
      <c r="J35" s="1585"/>
      <c r="K35" s="2931"/>
      <c r="L35" s="2930"/>
      <c r="M35" s="2930"/>
    </row>
    <row r="36" spans="1:18" ht="18" customHeight="1">
      <c r="A36" s="1262" t="s">
        <v>1007</v>
      </c>
      <c r="B36" s="308" t="s">
        <v>1414</v>
      </c>
      <c r="C36" s="24">
        <f ca="1">ROUND(C29*F36,1)</f>
        <v>305.89999999999998</v>
      </c>
      <c r="D36" s="3047" t="s">
        <v>1447</v>
      </c>
      <c r="E36" s="308" t="s">
        <v>1387</v>
      </c>
      <c r="F36" s="334">
        <f ca="1">INDIRECT("'数据-取费表'!Ak"&amp;$G$1)</f>
        <v>1.4999999999999999E-2</v>
      </c>
      <c r="G36" s="1570"/>
      <c r="H36" s="2930"/>
      <c r="I36" s="1584"/>
      <c r="J36" s="1585"/>
      <c r="K36" s="2772"/>
      <c r="L36" s="2930"/>
      <c r="M36" s="2930"/>
    </row>
    <row r="37" spans="1:18" ht="18" customHeight="1">
      <c r="A37" s="1113" t="s">
        <v>1043</v>
      </c>
      <c r="B37" s="308" t="s">
        <v>1418</v>
      </c>
      <c r="C37" s="24">
        <f ca="1">ROUND(C13*F37,1)</f>
        <v>37.5</v>
      </c>
      <c r="D37" s="3047" t="s">
        <v>1419</v>
      </c>
      <c r="E37" s="308" t="s">
        <v>1387</v>
      </c>
      <c r="F37" s="336">
        <f ca="1">INDIRECT("'数据-取费表'!Al"&amp;$G$1)</f>
        <v>2E-3</v>
      </c>
      <c r="G37" s="1570"/>
      <c r="H37" s="2930"/>
      <c r="I37" s="1584"/>
      <c r="J37" s="1585"/>
      <c r="K37" s="2772"/>
      <c r="L37" s="2930"/>
      <c r="M37" s="2930"/>
    </row>
    <row r="38" spans="1:18" ht="18" customHeight="1" thickBot="1">
      <c r="A38" s="1249" t="s">
        <v>1357</v>
      </c>
      <c r="B38" s="1250" t="s">
        <v>1404</v>
      </c>
      <c r="C38" s="1251">
        <f ca="1">ROUND(C5*F38,1)</f>
        <v>89.8</v>
      </c>
      <c r="D38" s="1252" t="s">
        <v>1424</v>
      </c>
      <c r="E38" s="1250" t="s">
        <v>1387</v>
      </c>
      <c r="F38" s="1246">
        <f ca="1">INDIRECT("'数据-取费表'!Am"&amp;$G$1)</f>
        <v>0.02</v>
      </c>
      <c r="G38" s="1570"/>
      <c r="H38" s="2930"/>
      <c r="I38" s="1584"/>
      <c r="J38" s="1585"/>
      <c r="K38" s="2934"/>
      <c r="L38" s="2930"/>
      <c r="M38" s="2930"/>
    </row>
    <row r="39" spans="1:18" ht="24.6" customHeight="1" thickTop="1">
      <c r="A39" s="1239" t="s">
        <v>999</v>
      </c>
      <c r="B39" s="1254" t="s">
        <v>1428</v>
      </c>
      <c r="C39" s="316">
        <f ca="1">C5-C30</f>
        <v>3299</v>
      </c>
      <c r="D39" s="1255" t="s">
        <v>1429</v>
      </c>
      <c r="E39" s="1256"/>
      <c r="F39" s="1257"/>
      <c r="G39" s="1570"/>
      <c r="H39" s="2930"/>
      <c r="I39" s="1584"/>
      <c r="J39" s="1585"/>
      <c r="K39" s="2934"/>
      <c r="L39" s="2930"/>
      <c r="M39" s="2930"/>
    </row>
    <row r="40" spans="1:18" ht="18" customHeight="1">
      <c r="A40" s="305" t="s">
        <v>1000</v>
      </c>
      <c r="B40" s="306" t="s">
        <v>1450</v>
      </c>
      <c r="C40" s="307">
        <f ca="1">ROUND(C39*(1-((1+F42)/(1+F40))^F41)/(F40-F42),0)</f>
        <v>54845</v>
      </c>
      <c r="D40" s="330" t="s">
        <v>1434</v>
      </c>
      <c r="E40" s="308" t="s">
        <v>1435</v>
      </c>
      <c r="F40" s="318">
        <f ca="1">INDIRECT("'数据-取费表'!I"&amp;$G$1)</f>
        <v>5.5E-2</v>
      </c>
      <c r="G40" s="1570"/>
      <c r="H40" s="1647"/>
      <c r="I40" s="1584"/>
      <c r="J40" s="1585"/>
      <c r="K40" s="2934"/>
      <c r="L40" s="1647"/>
      <c r="M40" s="1647"/>
    </row>
    <row r="41" spans="1:18" ht="18" customHeight="1">
      <c r="A41" s="310"/>
      <c r="B41" s="311"/>
      <c r="C41" s="312"/>
      <c r="D41" s="338" t="s">
        <v>1451</v>
      </c>
      <c r="E41" s="308" t="s">
        <v>1439</v>
      </c>
      <c r="F41" s="339">
        <f ca="1">IF(INDIRECT("'数据-取费表'!af"&amp;$G$1)=0,INDIRECT("'数据-取费表'!ae"&amp;$G$1),INDIRECT("'数据-取费表'!af"&amp;$G$1))</f>
        <v>22.4</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21044</v>
      </c>
      <c r="D43" s="343" t="s">
        <v>1453</v>
      </c>
      <c r="E43" s="344" t="s">
        <v>1454</v>
      </c>
      <c r="F43" s="345">
        <f ca="1">INDIRECT("'数据-取费表'!k"&amp;$G$1)</f>
        <v>26062.429999999989</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5" t="s">
        <v>1484</v>
      </c>
      <c r="P45" s="1647"/>
      <c r="Q45" s="1647"/>
      <c r="R45" s="1647"/>
    </row>
    <row r="46" spans="1:18" s="1570" customFormat="1" ht="13.5" thickBot="1">
      <c r="A46" s="1590" t="s">
        <v>1485</v>
      </c>
      <c r="C46" s="1591">
        <f ca="1">C68-C40</f>
        <v>-81049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3167</v>
      </c>
      <c r="K47" s="1602" t="s">
        <v>1492</v>
      </c>
      <c r="L47" s="1603">
        <f ca="1">INDIRECT("'数据-取费表'!d"&amp;$G$1)</f>
        <v>50</v>
      </c>
      <c r="M47" s="1566" t="str">
        <f>IF(ISNUMBER(FIND("住宅",C1)),"住宅","非住宅")</f>
        <v>非住宅</v>
      </c>
      <c r="O47" s="1604" t="s">
        <v>1008</v>
      </c>
      <c r="P47" s="1605" t="s">
        <v>1493</v>
      </c>
      <c r="Q47" s="1606">
        <f ca="1">C40+J29</f>
        <v>54845</v>
      </c>
      <c r="R47" s="1606" t="s">
        <v>1494</v>
      </c>
    </row>
    <row r="48" spans="1:18" s="1570" customFormat="1" ht="28.5" thickBot="1">
      <c r="A48" s="1270" t="s">
        <v>1103</v>
      </c>
      <c r="B48" s="306" t="s">
        <v>1366</v>
      </c>
      <c r="C48" s="3053">
        <f ca="1">C49+C53+C55</f>
        <v>0</v>
      </c>
      <c r="D48" s="1272"/>
      <c r="E48" s="1273"/>
      <c r="F48" s="1093"/>
      <c r="G48" s="731"/>
      <c r="H48" s="732"/>
      <c r="I48" s="1607" t="s">
        <v>1495</v>
      </c>
      <c r="J48" s="1608" t="s">
        <v>3168</v>
      </c>
      <c r="K48" s="1609" t="s">
        <v>1496</v>
      </c>
      <c r="L48" s="1610">
        <f ca="1">INDIRECT("'数据-取费表'!f"&amp;$G$1)</f>
        <v>22.4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v>2013</v>
      </c>
      <c r="K49" s="1609" t="s">
        <v>1500</v>
      </c>
      <c r="L49" s="1613"/>
      <c r="O49" s="1614" t="s">
        <v>1010</v>
      </c>
      <c r="P49" s="1605" t="s">
        <v>1501</v>
      </c>
      <c r="Q49" s="1606">
        <f ca="1">C29</f>
        <v>20390</v>
      </c>
      <c r="R49" s="1606" t="s">
        <v>1494</v>
      </c>
    </row>
    <row r="50" spans="1:18" s="1570" customFormat="1" ht="13.5" thickBot="1">
      <c r="A50" s="1107"/>
      <c r="B50" s="1110"/>
      <c r="C50" s="1278"/>
      <c r="D50" s="1084"/>
      <c r="E50" s="1187" t="s">
        <v>1371</v>
      </c>
      <c r="F50" s="1188">
        <f ca="1">F7</f>
        <v>26062.429999999989</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53</v>
      </c>
      <c r="K51" s="1620" t="s">
        <v>1506</v>
      </c>
      <c r="L51" s="1621">
        <f ca="1">ROUND(-PV(INDIRECT("'数据-取费表'!h"&amp;$G$1),J51,(C39-C13*C76),0),0)</f>
        <v>31522</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22.4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22.4</v>
      </c>
      <c r="K53" s="3297" t="s">
        <v>1513</v>
      </c>
      <c r="L53" s="3298"/>
      <c r="O53" s="1604" t="s">
        <v>1014</v>
      </c>
      <c r="P53" s="1605" t="s">
        <v>1514</v>
      </c>
      <c r="Q53" s="1606">
        <f ca="1">Q47+Q48</f>
        <v>54845</v>
      </c>
      <c r="R53" s="1606" t="s">
        <v>1015</v>
      </c>
    </row>
    <row r="54" spans="1:18" s="1570" customFormat="1" ht="13.5" thickBot="1">
      <c r="A54" s="1315"/>
      <c r="B54" s="1553" t="s">
        <v>1353</v>
      </c>
      <c r="C54" s="1090"/>
      <c r="D54" s="1552"/>
      <c r="E54" s="305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18759</v>
      </c>
      <c r="D56" s="1633"/>
      <c r="E56" s="1634"/>
      <c r="F56" s="1626"/>
      <c r="I56" s="1635" t="s">
        <v>1519</v>
      </c>
      <c r="J56" s="1636" t="s">
        <v>3070</v>
      </c>
      <c r="K56" s="1607" t="s">
        <v>1520</v>
      </c>
      <c r="L56" s="1610" t="str">
        <f ca="1">IF(L48&lt;J51,"——",L48-J53)</f>
        <v>——</v>
      </c>
      <c r="O56" s="1604" t="s">
        <v>1008</v>
      </c>
      <c r="P56" s="1605" t="s">
        <v>1493</v>
      </c>
      <c r="Q56" s="1606">
        <f ca="1">C40+J29</f>
        <v>54845</v>
      </c>
      <c r="R56" s="1606" t="s">
        <v>1494</v>
      </c>
    </row>
    <row r="57" spans="1:18" s="1570" customFormat="1" ht="24.75" thickBot="1">
      <c r="A57" s="1637"/>
      <c r="B57" s="1081" t="s">
        <v>1443</v>
      </c>
      <c r="C57" s="244">
        <f ca="1">C29</f>
        <v>20390</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2063</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1720</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1712.76</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7.69</v>
      </c>
      <c r="D62" s="1096" t="s">
        <v>1407</v>
      </c>
      <c r="E62" s="1081" t="s">
        <v>1408</v>
      </c>
      <c r="F62" s="331">
        <f t="shared" si="0"/>
        <v>18</v>
      </c>
      <c r="I62" s="1648" t="s">
        <v>1535</v>
      </c>
      <c r="J62" s="1649" t="s">
        <v>1536</v>
      </c>
      <c r="K62" s="1649" t="s">
        <v>1537</v>
      </c>
      <c r="L62" s="1649" t="s">
        <v>1538</v>
      </c>
      <c r="M62" s="1650" t="s">
        <v>1539</v>
      </c>
      <c r="O62" s="1604" t="s">
        <v>1014</v>
      </c>
      <c r="P62" s="1605" t="s">
        <v>1514</v>
      </c>
      <c r="Q62" s="1606">
        <f ca="1">Q56+Q57</f>
        <v>54845</v>
      </c>
      <c r="R62" s="1606" t="s">
        <v>1015</v>
      </c>
    </row>
    <row r="63" spans="1:18" s="1570" customFormat="1" ht="13.5" thickBot="1">
      <c r="A63" s="332"/>
      <c r="B63" s="1087"/>
      <c r="C63" s="29"/>
      <c r="D63" s="1097"/>
      <c r="E63" s="1081" t="s">
        <v>1412</v>
      </c>
      <c r="F63" s="309">
        <f t="shared" ca="1" si="0"/>
        <v>4271.17</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305.89999999999998</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37.5</v>
      </c>
      <c r="D65" s="1095" t="s">
        <v>1419</v>
      </c>
      <c r="E65" s="1081" t="s">
        <v>1387</v>
      </c>
      <c r="F65" s="336">
        <f t="shared" ca="1" si="0"/>
        <v>2E-3</v>
      </c>
      <c r="I65" s="1648" t="s">
        <v>1544</v>
      </c>
      <c r="J65" s="1649">
        <v>40</v>
      </c>
      <c r="K65" s="1649">
        <v>30</v>
      </c>
      <c r="L65" s="1649">
        <v>50</v>
      </c>
      <c r="M65" s="1651">
        <v>0.02</v>
      </c>
      <c r="O65" s="1604" t="s">
        <v>1008</v>
      </c>
      <c r="P65" s="1605" t="s">
        <v>1493</v>
      </c>
      <c r="Q65" s="1606">
        <f ca="1">C40+J29</f>
        <v>54845</v>
      </c>
      <c r="R65" s="1606" t="s">
        <v>1494</v>
      </c>
    </row>
    <row r="66" spans="1:18" s="1570" customFormat="1" ht="16.5" thickBot="1">
      <c r="A66" s="1113" t="s">
        <v>1469</v>
      </c>
      <c r="B66" s="1081" t="s">
        <v>1404</v>
      </c>
      <c r="C66" s="24">
        <f ca="1">ROUND(C48*F66,1)</f>
        <v>0</v>
      </c>
      <c r="D66" s="1095" t="s">
        <v>1424</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-2063</v>
      </c>
      <c r="D67" s="1094" t="s">
        <v>1429</v>
      </c>
      <c r="E67" s="1099"/>
      <c r="F67" s="1100"/>
      <c r="O67" s="1614" t="s">
        <v>1010</v>
      </c>
      <c r="P67" s="1605" t="s">
        <v>1527</v>
      </c>
      <c r="Q67" s="1652">
        <f ca="1">L51</f>
        <v>31522</v>
      </c>
      <c r="R67" s="1606" t="s">
        <v>1547</v>
      </c>
    </row>
    <row r="68" spans="1:18" s="1570" customFormat="1" ht="16.5" thickBot="1">
      <c r="A68" s="1078" t="s">
        <v>1000</v>
      </c>
      <c r="B68" s="1079" t="s">
        <v>1450</v>
      </c>
      <c r="C68" s="307">
        <f ca="1">ROUND(C67*(1-((1+F70)/(1+F68))^F69)/(F68-F70),0)</f>
        <v>-26204</v>
      </c>
      <c r="D68" s="1096" t="s">
        <v>1434</v>
      </c>
      <c r="E68" s="1081" t="s">
        <v>1435</v>
      </c>
      <c r="F68" s="318">
        <f ca="1">F40</f>
        <v>5.5E-2</v>
      </c>
      <c r="O68" s="1614" t="s">
        <v>1011</v>
      </c>
      <c r="P68" s="1653" t="s">
        <v>1548</v>
      </c>
      <c r="Q68" s="1606">
        <f ca="1">ROUND(Q69-Q70*Q71,0)</f>
        <v>1704</v>
      </c>
      <c r="R68" s="1606" t="s">
        <v>1019</v>
      </c>
    </row>
    <row r="69" spans="1:18" s="1570" customFormat="1" ht="13.5" thickBot="1">
      <c r="A69" s="1082"/>
      <c r="B69" s="1083"/>
      <c r="C69" s="312"/>
      <c r="D69" s="1101" t="s">
        <v>1438</v>
      </c>
      <c r="E69" s="1081" t="s">
        <v>1439</v>
      </c>
      <c r="F69" s="339">
        <f ca="1">F41</f>
        <v>22.4</v>
      </c>
      <c r="O69" s="1614" t="s">
        <v>1016</v>
      </c>
      <c r="P69" s="1653" t="s">
        <v>1549</v>
      </c>
      <c r="Q69" s="1606">
        <f ca="1">C39</f>
        <v>3299</v>
      </c>
      <c r="R69" s="1606" t="s">
        <v>1494</v>
      </c>
    </row>
    <row r="70" spans="1:18" s="1570" customFormat="1" ht="13.5" thickBot="1">
      <c r="A70" s="1085"/>
      <c r="B70" s="1086"/>
      <c r="C70" s="316"/>
      <c r="D70" s="1097"/>
      <c r="E70" s="1081" t="s">
        <v>1442</v>
      </c>
      <c r="F70" s="1185"/>
      <c r="O70" s="1614" t="s">
        <v>1017</v>
      </c>
      <c r="P70" s="1653" t="s">
        <v>1550</v>
      </c>
      <c r="Q70" s="1606">
        <f ca="1">C13</f>
        <v>18759</v>
      </c>
      <c r="R70" s="1606" t="s">
        <v>1494</v>
      </c>
    </row>
    <row r="71" spans="1:18" s="1570" customFormat="1" ht="13.5" thickBot="1">
      <c r="A71" s="1102" t="s">
        <v>1001</v>
      </c>
      <c r="B71" s="1103" t="s">
        <v>1452</v>
      </c>
      <c r="C71" s="342">
        <f ca="1">ROUND(C68*10000/F71,0)</f>
        <v>-10054</v>
      </c>
      <c r="D71" s="1104" t="s">
        <v>1453</v>
      </c>
      <c r="E71" s="1105" t="s">
        <v>1454</v>
      </c>
      <c r="F71" s="345">
        <f ca="1">F43</f>
        <v>26062.429999999989</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1595</v>
      </c>
      <c r="D75" s="1570"/>
      <c r="E75" s="1570"/>
      <c r="F75" s="1570"/>
      <c r="K75" s="1588"/>
      <c r="L75" s="1570"/>
      <c r="O75" s="1604" t="s">
        <v>1014</v>
      </c>
      <c r="P75" s="1605" t="s">
        <v>1514</v>
      </c>
      <c r="Q75" s="1606">
        <f ca="1">Q65+Q66</f>
        <v>54845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0.51700000000000002</v>
      </c>
    </row>
    <row r="80" spans="1:18">
      <c r="B80" s="346" t="s">
        <v>1476</v>
      </c>
      <c r="C80" s="280">
        <f ca="1">ROUND(C75/C39,3)</f>
        <v>0.48299999999999998</v>
      </c>
    </row>
    <row r="81" spans="2:3">
      <c r="B81" s="276" t="s">
        <v>1477</v>
      </c>
      <c r="C81" s="244"/>
    </row>
    <row r="82" spans="2:3">
      <c r="B82" s="279" t="s">
        <v>1478</v>
      </c>
      <c r="C82" s="281">
        <f ca="1">1-C83</f>
        <v>0.65799999999999992</v>
      </c>
    </row>
    <row r="83" spans="2:3">
      <c r="B83" s="279" t="s">
        <v>1479</v>
      </c>
      <c r="C83" s="280">
        <f ca="1">ROUND(C13/C40,3)</f>
        <v>0.34200000000000003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xr:uid="{FF04720C-B916-49C4-AA29-D38F3ED1D0C4}">
      <formula1>"按租金收入计税,按房产原值计税"</formula1>
    </dataValidation>
    <dataValidation type="list" allowBlank="1" showInputMessage="1" showErrorMessage="1" sqref="D33 D61" xr:uid="{31E78B28-D14C-4FB5-B622-D93A597A8043}">
      <formula1>"按租金收入计税,按房产原值计税,按票据"</formula1>
    </dataValidation>
    <dataValidation type="list" allowBlank="1" showInputMessage="1" showErrorMessage="1" sqref="C1" xr:uid="{A0B96C5D-2684-4C4A-88EB-989C077B606D}">
      <formula1>项目类型</formula1>
    </dataValidation>
    <dataValidation type="list" allowBlank="1" showInputMessage="1" showErrorMessage="1" sqref="J47" xr:uid="{68E89A7D-09F4-4900-90AC-01E1920D07BC}">
      <formula1>"钢,钢混,砖混"</formula1>
    </dataValidation>
    <dataValidation type="list" allowBlank="1" showInputMessage="1" showErrorMessage="1" sqref="J48" xr:uid="{14AE9E71-B38B-4DA5-97AB-B2565A091A6B}">
      <formula1>"非生产用房,生产用房,受腐蚀的生产用房"</formula1>
    </dataValidation>
    <dataValidation type="list" allowBlank="1" showInputMessage="1" showErrorMessage="1" sqref="J56" xr:uid="{259B3761-D939-4161-B6E8-C67518119FC1}">
      <formula1>判定</formula1>
    </dataValidation>
    <dataValidation type="list" allowBlank="1" showInputMessage="1" showErrorMessage="1" sqref="L55" xr:uid="{1650A3FB-9DA3-42B8-9204-F5362265E1C8}">
      <formula1>"比较法,基准地价,收益还原"</formula1>
    </dataValidation>
    <dataValidation type="list" allowBlank="1" showInputMessage="1" showErrorMessage="1" sqref="M10 F10 F53" xr:uid="{115519DD-E738-4072-8B18-1A574921FAC3}">
      <formula1>"押一,押二,押三,自定义"</formula1>
    </dataValidation>
    <dataValidation type="list" allowBlank="1" showInputMessage="1" showErrorMessage="1" sqref="D1" xr:uid="{7B382239-E28B-4415-BCBB-1CA2965588ED}">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P531" sqref="P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1" t="s">
        <v>2823</v>
      </c>
      <c r="D1" s="3412"/>
      <c r="E1" s="3412"/>
      <c r="F1" s="3412"/>
      <c r="G1" s="3412"/>
      <c r="H1" s="3412"/>
      <c r="I1" s="3412"/>
      <c r="J1" s="3412"/>
      <c r="K1" s="3412"/>
      <c r="L1" s="3412"/>
      <c r="M1" s="3412"/>
      <c r="N1" s="3412"/>
      <c r="O1" s="3412"/>
      <c r="P1" s="3412"/>
      <c r="Q1" s="3412"/>
      <c r="R1" s="3412"/>
      <c r="S1" s="3413"/>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08" t="s">
        <v>33</v>
      </c>
      <c r="D22" s="3409"/>
      <c r="E22" s="3409"/>
      <c r="F22" s="3409"/>
      <c r="G22" s="3409"/>
      <c r="H22" s="3409"/>
      <c r="I22" s="3409"/>
      <c r="J22" s="3409"/>
      <c r="K22" s="3409"/>
      <c r="L22" s="3409"/>
      <c r="M22" s="3409"/>
      <c r="N22" s="3409"/>
      <c r="O22" s="3409"/>
      <c r="P22" s="3409"/>
      <c r="Q22" s="3410"/>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54374</v>
      </c>
      <c r="C2" s="2" t="s">
        <v>133</v>
      </c>
      <c r="D2" s="205"/>
      <c r="E2" s="205"/>
      <c r="F2" s="205"/>
      <c r="G2" s="205"/>
    </row>
    <row r="3" spans="1:7" s="206" customFormat="1" ht="18" customHeight="1" thickBot="1">
      <c r="A3" s="209" t="s">
        <v>85</v>
      </c>
      <c r="B3" s="210">
        <f ca="1">ROUND(B2*10000/'数据-汇总表'!E3,0)</f>
        <v>17822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610</v>
      </c>
      <c r="D10" s="954">
        <f>'数据-汇总表'!E6</f>
        <v>30509.71999999999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610</v>
      </c>
      <c r="D19" s="958">
        <f>'数据-汇总表'!E3</f>
        <v>30509.71999999999</v>
      </c>
      <c r="E19" s="217">
        <f>'数据-取费表'!B31</f>
        <v>200</v>
      </c>
      <c r="F19" s="237"/>
      <c r="G19" s="1" t="s">
        <v>1042</v>
      </c>
    </row>
    <row r="20" spans="1:7" s="220" customFormat="1" ht="13.5" customHeight="1">
      <c r="A20" s="885" t="s">
        <v>1025</v>
      </c>
      <c r="B20" s="216" t="s">
        <v>104</v>
      </c>
      <c r="C20" s="238">
        <f>ROUND((C5+C19)*F20,0)</f>
        <v>637</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3216</v>
      </c>
      <c r="D22" s="241">
        <f ca="1">C26</f>
        <v>2.2000000000000001E-3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91</v>
      </c>
      <c r="D24" s="244"/>
      <c r="E24" s="244"/>
      <c r="F24" s="245"/>
      <c r="G24" s="246" t="s">
        <v>109</v>
      </c>
    </row>
    <row r="25" spans="1:7" s="220" customFormat="1" ht="24">
      <c r="A25" s="888" t="s">
        <v>793</v>
      </c>
      <c r="B25" s="221" t="s">
        <v>1026</v>
      </c>
      <c r="C25" s="1265">
        <f ca="1">ROUND(IF('数据-取费表'!B22&lt;=1,C20*F22*'数据-取费表'!B23/2,C20*(POWER((1+F22),'数据-取费表'!B23/2)-1)),0)</f>
        <v>46</v>
      </c>
      <c r="D25" s="244"/>
      <c r="E25" s="247"/>
      <c r="F25" s="245"/>
      <c r="G25" s="248" t="s">
        <v>110</v>
      </c>
    </row>
    <row r="26" spans="1:7" s="220" customFormat="1">
      <c r="A26" s="888" t="s">
        <v>795</v>
      </c>
      <c r="B26" s="221" t="s">
        <v>1028</v>
      </c>
      <c r="C26" s="244">
        <f ca="1">ROUND(IF('数据-取费表'!B22&lt;=1,F21*F22*'数据-取费表'!B23/2,F21*(POWER((1+F22),'数据-取费表'!B23/2)-1)),4)</f>
        <v>2.2000000000000001E-3</v>
      </c>
      <c r="D26" s="244"/>
      <c r="E26" s="247"/>
      <c r="F26" s="245"/>
      <c r="G26" s="249"/>
    </row>
    <row r="27" spans="1:7" s="220" customFormat="1" ht="24.75">
      <c r="A27" s="885" t="s">
        <v>787</v>
      </c>
      <c r="B27" s="250" t="s">
        <v>112</v>
      </c>
      <c r="C27" s="251">
        <f>C28</f>
        <v>4371</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4371</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32411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16552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15255</v>
      </c>
      <c r="D34" s="223"/>
      <c r="E34" s="226"/>
      <c r="F34" s="263">
        <f>IF('数据-取费表'!B24=0,1,'数据-取费表'!N16)</f>
        <v>1</v>
      </c>
      <c r="G34" s="225" t="s">
        <v>116</v>
      </c>
    </row>
    <row r="35" spans="1:7" ht="13.5" customHeight="1">
      <c r="A35" s="888" t="s">
        <v>796</v>
      </c>
      <c r="B35" s="221" t="s">
        <v>60</v>
      </c>
      <c r="C35" s="226">
        <f>ROUND(C34*F35,0)</f>
        <v>458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610</v>
      </c>
      <c r="D37" s="223">
        <f>'数据-汇总表'!E3</f>
        <v>30509.71999999999</v>
      </c>
      <c r="E37" s="255">
        <f>'数据-取费表'!B35</f>
        <v>200</v>
      </c>
      <c r="F37" s="265"/>
      <c r="G37" s="267" t="s">
        <v>119</v>
      </c>
    </row>
    <row r="38" spans="1:7" ht="13.5" customHeight="1">
      <c r="A38" s="888" t="s">
        <v>799</v>
      </c>
      <c r="B38" s="221" t="s">
        <v>63</v>
      </c>
      <c r="C38" s="226">
        <f>ROUND(C34*F38,0)</f>
        <v>229</v>
      </c>
      <c r="D38" s="226"/>
      <c r="E38" s="226"/>
      <c r="F38" s="265">
        <f>'数据-取费表'!B36</f>
        <v>1.4999999999999999E-2</v>
      </c>
      <c r="G38" s="225" t="s">
        <v>117</v>
      </c>
    </row>
    <row r="39" spans="1:7" s="220" customFormat="1" ht="13.5" customHeight="1">
      <c r="A39" s="885" t="s">
        <v>783</v>
      </c>
      <c r="B39" s="216" t="s">
        <v>104</v>
      </c>
      <c r="C39" s="238">
        <f>ROUND(C33*F20,0)</f>
        <v>497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1229</v>
      </c>
      <c r="D41" s="241">
        <f ca="1">C44</f>
        <v>2.2000000000000001E-3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1193</v>
      </c>
      <c r="D42" s="244"/>
      <c r="E42" s="244"/>
      <c r="F42" s="245"/>
      <c r="G42" s="3268" t="s">
        <v>121</v>
      </c>
    </row>
    <row r="43" spans="1:7" ht="13.5" customHeight="1">
      <c r="A43" s="888" t="s">
        <v>792</v>
      </c>
      <c r="B43" s="221" t="s">
        <v>1032</v>
      </c>
      <c r="C43" s="244">
        <f ca="1">ROUND(IF('数据-取费表'!B22&lt;=1,C39*F22*'数据-取费表'!B21/2,C39*(POWER((1+F22),'数据-取费表'!B21/2)-1)),0)</f>
        <v>36</v>
      </c>
      <c r="D43" s="244"/>
      <c r="E43" s="244"/>
      <c r="F43" s="245"/>
      <c r="G43" s="3269"/>
    </row>
    <row r="44" spans="1:7" ht="13.5" customHeight="1">
      <c r="A44" s="888" t="s">
        <v>793</v>
      </c>
      <c r="B44" s="221" t="s">
        <v>1034</v>
      </c>
      <c r="C44" s="244">
        <f ca="1">ROUND(IF('数据-取费表'!B22&lt;=1,C40*F22*'数据-取费表'!B21/2,C40*(POWER((1+F22),'数据-取费表'!B21/2)-1)),4)</f>
        <v>2.2000000000000001E-3</v>
      </c>
      <c r="D44" s="244"/>
      <c r="E44" s="244"/>
      <c r="F44" s="245"/>
      <c r="G44" s="3270"/>
    </row>
    <row r="45" spans="1:7" s="220" customFormat="1" ht="13.5" customHeight="1">
      <c r="A45" s="885" t="s">
        <v>786</v>
      </c>
      <c r="B45" s="250" t="s">
        <v>112</v>
      </c>
      <c r="C45" s="251">
        <f>C46</f>
        <v>3410</v>
      </c>
      <c r="D45" s="241">
        <f>C47</f>
        <v>6.0000000000000001E-3</v>
      </c>
      <c r="E45" s="242" t="s">
        <v>129</v>
      </c>
      <c r="F45" s="252"/>
      <c r="G45" s="253" t="s">
        <v>1040</v>
      </c>
    </row>
    <row r="46" spans="1:7" s="220" customFormat="1" ht="13.5" customHeight="1">
      <c r="A46" s="888" t="s">
        <v>794</v>
      </c>
      <c r="B46" s="254" t="s">
        <v>1033</v>
      </c>
      <c r="C46" s="255">
        <f>ROUND((C33+C39)*F27,0)</f>
        <v>3410</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23873</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21963</v>
      </c>
      <c r="D51" s="238"/>
      <c r="E51" s="238"/>
      <c r="F51" s="270"/>
      <c r="G51" s="240" t="s">
        <v>64</v>
      </c>
    </row>
    <row r="52" spans="1:7" s="214" customFormat="1" ht="16.5" thickBot="1">
      <c r="A52" s="271" t="s">
        <v>65</v>
      </c>
      <c r="B52" s="272"/>
      <c r="C52" s="273">
        <f ca="1">C31+C51</f>
        <v>54374</v>
      </c>
      <c r="D52" s="272"/>
      <c r="E52" s="272"/>
      <c r="F52" s="272"/>
      <c r="G52" s="274"/>
    </row>
    <row r="55" spans="1:7" ht="15">
      <c r="B55" s="276" t="s">
        <v>66</v>
      </c>
      <c r="C55" s="277"/>
    </row>
    <row r="56" spans="1:7">
      <c r="B56" s="279" t="s">
        <v>67</v>
      </c>
      <c r="C56" s="280">
        <f ca="1">ROUND(C51/C52,3)</f>
        <v>0.40400000000000003</v>
      </c>
    </row>
    <row r="57" spans="1:7">
      <c r="B57" s="279" t="s">
        <v>68</v>
      </c>
      <c r="C57" s="281">
        <f ca="1">1-C56</f>
        <v>0.59599999999999997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4" t="s">
        <v>156</v>
      </c>
      <c r="B1" s="3414"/>
      <c r="C1" s="3414"/>
      <c r="D1" s="3414"/>
      <c r="E1" s="3414"/>
      <c r="F1" s="34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5" t="s">
        <v>169</v>
      </c>
      <c r="B2" s="3415"/>
      <c r="C2" s="3415"/>
      <c r="D2" s="3415"/>
      <c r="E2" s="3415"/>
      <c r="F2" s="34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4" t="s">
        <v>839</v>
      </c>
      <c r="B1" s="341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44120</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建筑物价值</v>
      </c>
      <c r="G2" s="3081"/>
      <c r="H2" s="3081" t="str">
        <f>IF(项目基本情况!B9="房地产市场价值","房地产市场价值","房地产价值")</f>
        <v>房地产价值</v>
      </c>
      <c r="I2" s="3081"/>
    </row>
    <row r="3" spans="1:9" ht="15">
      <c r="A3" s="3082"/>
      <c r="B3" s="3082"/>
      <c r="C3" s="3082"/>
      <c r="D3" s="963" t="s">
        <v>1603</v>
      </c>
      <c r="E3" s="963" t="s">
        <v>1609</v>
      </c>
      <c r="F3" s="963" t="s">
        <v>1603</v>
      </c>
      <c r="G3" s="963" t="s">
        <v>1604</v>
      </c>
      <c r="H3" s="963" t="s">
        <v>1603</v>
      </c>
      <c r="I3" s="963" t="s">
        <v>1604</v>
      </c>
    </row>
    <row r="4" spans="1:9" ht="30">
      <c r="A4" s="1692" t="str">
        <f>项目基本情况!S2</f>
        <v>北京市丰台区芳群园三区4号楼(中乐六星酒店)房地产</v>
      </c>
      <c r="B4" s="963">
        <f>项目基本情况!C17</f>
        <v>30509.71999999999</v>
      </c>
      <c r="C4" s="963">
        <f>项目基本情况!C18</f>
        <v>5000</v>
      </c>
      <c r="D4" s="963">
        <f ca="1">结果表!D118</f>
        <v>58329</v>
      </c>
      <c r="E4" s="963">
        <f ca="1">结果表!E118</f>
        <v>19118</v>
      </c>
      <c r="F4" s="963">
        <f ca="1">结果表!F118</f>
        <v>20070</v>
      </c>
      <c r="G4" s="963">
        <f ca="1">结果表!G118</f>
        <v>6578</v>
      </c>
      <c r="H4" s="963">
        <f ca="1">结果表!H118</f>
        <v>78399</v>
      </c>
      <c r="I4" s="963">
        <f ca="1">结果表!I118</f>
        <v>25696</v>
      </c>
    </row>
    <row r="5" spans="1:9" ht="30" customHeight="1">
      <c r="A5" s="3082" t="s">
        <v>1605</v>
      </c>
      <c r="B5" s="3082"/>
      <c r="C5" s="3082"/>
      <c r="D5" s="3083" t="str">
        <f ca="1">结果表!D119</f>
        <v>伍亿捌仟叁佰贰拾玖万元整</v>
      </c>
      <c r="E5" s="3083"/>
      <c r="F5" s="3083" t="str">
        <f ca="1">结果表!F119</f>
        <v>贰亿零柒拾万元整</v>
      </c>
      <c r="G5" s="3083"/>
      <c r="H5" s="3083" t="str">
        <f ca="1">结果表!H119</f>
        <v>柒亿捌仟叁佰玖拾玖万元整</v>
      </c>
      <c r="I5" s="3083"/>
    </row>
    <row r="6" spans="1:9" ht="15.75">
      <c r="A6" s="3084" t="str">
        <f>结果表!A120</f>
        <v>估价师知悉的法定优先受偿款</v>
      </c>
      <c r="B6" s="3084"/>
      <c r="C6" s="3084"/>
      <c r="D6" s="3084">
        <f>结果表!D120</f>
        <v>0</v>
      </c>
      <c r="E6" s="3084"/>
      <c r="F6" s="3084"/>
      <c r="G6" s="3084"/>
      <c r="H6" s="3084"/>
      <c r="I6" s="3084"/>
    </row>
    <row r="7" spans="1:9" ht="15">
      <c r="A7" s="3082" t="s">
        <v>1605</v>
      </c>
      <c r="B7" s="3082"/>
      <c r="C7" s="3082"/>
      <c r="D7" s="3085" t="str">
        <f>结果表!D121</f>
        <v>零元整</v>
      </c>
      <c r="E7" s="3086"/>
      <c r="F7" s="3086"/>
      <c r="G7" s="3086"/>
      <c r="H7" s="3086"/>
      <c r="I7" s="3087"/>
    </row>
    <row r="8" spans="1:9" ht="15.75">
      <c r="A8" s="3084" t="str">
        <f>结果表!A122</f>
        <v>房地产抵押价值</v>
      </c>
      <c r="B8" s="3084"/>
      <c r="C8" s="3084"/>
      <c r="D8" s="3084">
        <f ca="1">结果表!D122</f>
        <v>78399</v>
      </c>
      <c r="E8" s="3084"/>
      <c r="F8" s="3084"/>
      <c r="G8" s="3084"/>
      <c r="H8" s="3084"/>
      <c r="I8" s="3084"/>
    </row>
    <row r="9" spans="1:9" ht="15">
      <c r="A9" s="3082" t="s">
        <v>1605</v>
      </c>
      <c r="B9" s="3082"/>
      <c r="C9" s="3082"/>
      <c r="D9" s="3083" t="str">
        <f ca="1">结果表!D123</f>
        <v>柒亿捌仟叁佰玖拾玖万元整</v>
      </c>
      <c r="E9" s="3083"/>
      <c r="F9" s="3083"/>
      <c r="G9" s="3083"/>
      <c r="H9" s="3083"/>
      <c r="I9" s="3083"/>
    </row>
    <row r="10" spans="1:9" ht="15.75">
      <c r="A10" s="3084" t="str">
        <f>结果表!A124</f>
        <v/>
      </c>
      <c r="B10" s="3084"/>
      <c r="C10" s="3084"/>
      <c r="D10" s="3084" t="str">
        <f>结果表!D124</f>
        <v>——</v>
      </c>
      <c r="E10" s="3084"/>
      <c r="F10" s="3084"/>
      <c r="G10" s="3084"/>
      <c r="H10" s="3084"/>
      <c r="I10" s="3084"/>
    </row>
    <row r="11" spans="1:9" ht="15">
      <c r="A11" s="3082" t="s">
        <v>1605</v>
      </c>
      <c r="B11" s="3082"/>
      <c r="C11" s="3082"/>
      <c r="D11" s="3083" t="e">
        <f>结果表!D125</f>
        <v>#VALUE!</v>
      </c>
      <c r="E11" s="3083"/>
      <c r="F11" s="3083"/>
      <c r="G11" s="3083"/>
      <c r="H11" s="3083"/>
      <c r="I11" s="3083"/>
    </row>
    <row r="12" spans="1:9" ht="15.75">
      <c r="A12" s="3084" t="str">
        <f>结果表!A126</f>
        <v/>
      </c>
      <c r="B12" s="3084"/>
      <c r="C12" s="3084"/>
      <c r="D12" s="3084" t="str">
        <f>结果表!D126</f>
        <v>——</v>
      </c>
      <c r="E12" s="3084"/>
      <c r="F12" s="3084"/>
      <c r="G12" s="3084"/>
      <c r="H12" s="3084"/>
      <c r="I12" s="3084"/>
    </row>
    <row r="13" spans="1:9" ht="15.75" thickBot="1">
      <c r="A13" s="3088" t="s">
        <v>1605</v>
      </c>
      <c r="B13" s="3088"/>
      <c r="C13" s="3088"/>
      <c r="D13" s="3089" t="e">
        <f>结果表!D127</f>
        <v>#VALUE!</v>
      </c>
      <c r="E13" s="3089"/>
      <c r="F13" s="3089"/>
      <c r="G13" s="3089"/>
      <c r="H13" s="3089"/>
      <c r="I13" s="3089"/>
    </row>
    <row r="14" spans="1:9" ht="15" thickTop="1">
      <c r="A14" s="3090" t="s">
        <v>1610</v>
      </c>
      <c r="B14" s="3090"/>
      <c r="C14" s="3090"/>
      <c r="D14" s="3090"/>
      <c r="E14" s="3090"/>
      <c r="F14" s="3090"/>
      <c r="G14" s="3090"/>
      <c r="H14" s="3090"/>
      <c r="I14" s="309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1" t="s">
        <v>1627</v>
      </c>
      <c r="B1" s="3091"/>
      <c r="C1" s="3091"/>
      <c r="D1" s="3091"/>
    </row>
    <row r="2" spans="1:4" ht="18">
      <c r="A2" s="3092" t="s">
        <v>1611</v>
      </c>
      <c r="B2" s="3092"/>
      <c r="C2" s="3092"/>
      <c r="D2" s="3092"/>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092" t="s">
        <v>1617</v>
      </c>
      <c r="B6" s="3092"/>
      <c r="C6" s="3092"/>
      <c r="D6" s="3092"/>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3" t="s">
        <v>1620</v>
      </c>
      <c r="B11" s="3094"/>
      <c r="C11" s="3094"/>
      <c r="D11" s="3094"/>
    </row>
    <row r="12" spans="1:4" ht="15.75">
      <c r="A12" s="30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4" t="str">
        <f>IF(项目基本情况!B8="抵押","4.本次评估估价师所知悉的法定优先受偿款情况说明如下：","——")</f>
        <v>4.本次评估估价师所知悉的法定优先受偿款情况说明如下：</v>
      </c>
      <c r="B14" s="3095"/>
      <c r="C14" s="3095"/>
      <c r="D14" s="3095"/>
    </row>
    <row r="15" spans="1:4" ht="42" customHeight="1">
      <c r="A15" s="30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4"/>
      <c r="C15" s="3094"/>
      <c r="D15" s="3094"/>
    </row>
    <row r="16" spans="1:4" ht="30" customHeight="1">
      <c r="A16" s="3097" t="s">
        <v>1621</v>
      </c>
      <c r="B16" s="3097"/>
      <c r="C16" s="3097"/>
      <c r="D16" s="3097"/>
    </row>
    <row r="17" spans="1:4" ht="144" customHeight="1">
      <c r="A17" s="3097" t="s">
        <v>1622</v>
      </c>
      <c r="B17" s="3097"/>
      <c r="C17" s="3097"/>
      <c r="D17" s="3097"/>
    </row>
    <row r="18" spans="1:4" ht="15.75" customHeight="1">
      <c r="A18" s="3094" t="str">
        <f>IF(项目基本情况!B8="抵押",结果表!K120,"——")</f>
        <v>故，本次评估不存在估价师知悉的法定优先受偿款</v>
      </c>
      <c r="B18" s="3094"/>
      <c r="C18" s="3094"/>
      <c r="D18" s="3094"/>
    </row>
    <row r="19" spans="1:4" ht="46.5" customHeight="1">
      <c r="A19" s="30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4"/>
      <c r="C19" s="3094"/>
      <c r="D19" s="3094"/>
    </row>
    <row r="20" spans="1:4" ht="57.75" customHeight="1">
      <c r="A20" s="30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4"/>
      <c r="C20" s="3094"/>
      <c r="D20" s="3094"/>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8"/>
      <c r="C21" s="3098"/>
      <c r="D21" s="3098"/>
    </row>
    <row r="22" spans="1:4" ht="18.75" customHeight="1">
      <c r="A22" s="3099" t="s">
        <v>1623</v>
      </c>
      <c r="B22" s="3099"/>
      <c r="C22" s="3099"/>
      <c r="D22" s="3099"/>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6">
        <v>42551</v>
      </c>
      <c r="D31" s="30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5" t="s">
        <v>1634</v>
      </c>
      <c r="B15" s="3100" t="s">
        <v>136</v>
      </c>
      <c r="C15" s="3101"/>
    </row>
    <row r="16" spans="1:7" ht="13.5">
      <c r="A16" s="3106"/>
      <c r="B16" s="3100" t="s">
        <v>69</v>
      </c>
      <c r="C16" s="3101"/>
    </row>
    <row r="17" spans="1:3" ht="13.5">
      <c r="A17" s="3106"/>
      <c r="B17" s="3103" t="s">
        <v>1635</v>
      </c>
      <c r="C17" s="1719" t="s">
        <v>1634</v>
      </c>
    </row>
    <row r="18" spans="1:3" ht="13.5">
      <c r="A18" s="3106"/>
      <c r="B18" s="3103"/>
      <c r="C18" s="1719" t="s">
        <v>1636</v>
      </c>
    </row>
    <row r="19" spans="1:3" ht="13.5">
      <c r="A19" s="3106"/>
      <c r="B19" s="3103"/>
      <c r="C19" s="1719" t="s">
        <v>1637</v>
      </c>
    </row>
    <row r="20" spans="1:3" ht="13.5">
      <c r="A20" s="3107"/>
      <c r="B20" s="3102" t="s">
        <v>1638</v>
      </c>
      <c r="C20" s="3101"/>
    </row>
    <row r="21" spans="1:3" ht="13.5">
      <c r="A21" s="1720" t="s">
        <v>1639</v>
      </c>
      <c r="B21" s="1721"/>
      <c r="C21" s="1722"/>
    </row>
    <row r="22" spans="1:3" ht="13.5">
      <c r="A22" s="3104" t="s">
        <v>1640</v>
      </c>
      <c r="B22" s="3102" t="s">
        <v>1641</v>
      </c>
      <c r="C22" s="3101"/>
    </row>
    <row r="23" spans="1:3" ht="13.5">
      <c r="A23" s="3104"/>
      <c r="B23" s="3102" t="s">
        <v>1642</v>
      </c>
      <c r="C23" s="3101"/>
    </row>
    <row r="24" spans="1:3" ht="13.5">
      <c r="A24" s="3104"/>
      <c r="B24" s="3102" t="s">
        <v>1643</v>
      </c>
      <c r="C24" s="3101"/>
    </row>
    <row r="25" spans="1:3" ht="13.5">
      <c r="A25" s="3104"/>
      <c r="B25" s="3103" t="s">
        <v>1644</v>
      </c>
      <c r="C25" s="1719" t="s">
        <v>1645</v>
      </c>
    </row>
    <row r="26" spans="1:3" ht="13.5">
      <c r="A26" s="3104"/>
      <c r="B26" s="3103"/>
      <c r="C26" s="1719" t="s">
        <v>1646</v>
      </c>
    </row>
    <row r="27" spans="1:3" ht="13.5">
      <c r="A27" s="3104"/>
      <c r="B27" s="3103"/>
      <c r="C27" s="1719" t="s">
        <v>1647</v>
      </c>
    </row>
    <row r="28" spans="1:3" ht="13.5">
      <c r="A28" s="3104"/>
      <c r="B28" s="3103"/>
      <c r="C28" s="1719" t="s">
        <v>1648</v>
      </c>
    </row>
    <row r="29" spans="1:3" ht="13.5">
      <c r="A29" s="3104"/>
      <c r="B29" s="3103"/>
      <c r="C29" s="1719" t="s">
        <v>1649</v>
      </c>
    </row>
    <row r="30" spans="1:3" ht="13.5">
      <c r="A30" s="3104"/>
      <c r="B30" s="3103"/>
      <c r="C30" s="1719" t="s">
        <v>1650</v>
      </c>
    </row>
    <row r="31" spans="1:3" ht="13.5">
      <c r="A31" s="3104"/>
      <c r="B31" s="3103"/>
      <c r="C31" s="1719" t="s">
        <v>1651</v>
      </c>
    </row>
    <row r="32" spans="1:3" ht="13.5">
      <c r="A32" s="3104"/>
      <c r="B32" s="3103"/>
      <c r="C32" s="1719" t="s">
        <v>1652</v>
      </c>
    </row>
    <row r="33" spans="1:3" ht="13.5">
      <c r="A33" s="3104"/>
      <c r="B33" s="310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2879</v>
      </c>
      <c r="B2" s="2564">
        <f ca="1">TODAY()</f>
        <v>44125</v>
      </c>
      <c r="C2" s="2565" t="s">
        <v>2880</v>
      </c>
      <c r="D2" s="2565"/>
      <c r="E2" s="2565"/>
      <c r="F2" s="2561"/>
      <c r="G2" s="2561"/>
      <c r="H2" s="2561"/>
    </row>
    <row r="3" spans="1:8" ht="24" customHeight="1">
      <c r="A3" s="2566" t="s">
        <v>2881</v>
      </c>
      <c r="B3" s="2567" t="s">
        <v>2882</v>
      </c>
      <c r="C3" s="2567" t="s">
        <v>2883</v>
      </c>
      <c r="D3" s="2568" t="s">
        <v>2884</v>
      </c>
      <c r="E3" s="2569" t="s">
        <v>2885</v>
      </c>
      <c r="F3" s="1474" t="s">
        <v>2886</v>
      </c>
      <c r="G3" s="2567" t="s">
        <v>2883</v>
      </c>
      <c r="H3" s="2568" t="s">
        <v>2887</v>
      </c>
    </row>
    <row r="4" spans="1:8" ht="24" customHeight="1">
      <c r="A4" s="1474" t="s">
        <v>2888</v>
      </c>
      <c r="B4" s="1474">
        <f ca="1">IF(C4&lt;B2,"已过期",1119970066)</f>
        <v>1119970066</v>
      </c>
      <c r="C4" s="2570">
        <v>44876</v>
      </c>
      <c r="D4" s="2571" t="str">
        <f ca="1">A4&amp;"（注册号："&amp;B4&amp;"）"</f>
        <v>梁津（注册号：1119970066）</v>
      </c>
      <c r="E4" s="2572" t="s">
        <v>2888</v>
      </c>
      <c r="F4" s="1474">
        <f ca="1">IF(G4&lt;B2,"已过期",96010014)</f>
        <v>96010014</v>
      </c>
      <c r="G4" s="2573">
        <v>47118</v>
      </c>
      <c r="H4" s="2574" t="str">
        <f ca="1">E4&amp;"（注册号："&amp;F4&amp;"）"</f>
        <v>梁津（注册号：96010014）</v>
      </c>
    </row>
    <row r="5" spans="1:8" ht="24" customHeight="1">
      <c r="A5" s="1474" t="s">
        <v>2889</v>
      </c>
      <c r="B5" s="1474">
        <f ca="1">IF(C5&lt;B2,"已过期",1119970111)</f>
        <v>1119970111</v>
      </c>
      <c r="C5" s="2570">
        <v>44876</v>
      </c>
      <c r="D5" s="2571" t="str">
        <f t="shared" ref="D5:D15" ca="1" si="0">A5&amp;"（注册号："&amp;B5&amp;"）"</f>
        <v>叶凌（注册号：1119970111）</v>
      </c>
      <c r="E5" s="2572" t="s">
        <v>2889</v>
      </c>
      <c r="F5" s="1474">
        <f ca="1">IF(G5&lt;B2,"已过期",94010078)</f>
        <v>94010078</v>
      </c>
      <c r="G5" s="2573">
        <v>46387</v>
      </c>
      <c r="H5" s="2574" t="str">
        <f t="shared" ref="H5:H16" ca="1" si="1">E5&amp;"（注册号："&amp;F5&amp;"）"</f>
        <v>叶凌（注册号：94010078）</v>
      </c>
    </row>
    <row r="6" spans="1:8" ht="24" customHeight="1">
      <c r="A6" s="1474" t="s">
        <v>2890</v>
      </c>
      <c r="B6" s="1474">
        <f ca="1">IF(C6&lt;B2,"已过期",1120050019)</f>
        <v>1120050019</v>
      </c>
      <c r="C6" s="2570">
        <v>44395</v>
      </c>
      <c r="D6" s="2571" t="str">
        <f t="shared" ca="1" si="0"/>
        <v>王鹏（注册号：1120050019）</v>
      </c>
      <c r="E6" s="2572" t="s">
        <v>2890</v>
      </c>
      <c r="F6" s="1474">
        <f ca="1">IF(G6&lt;B2,"已过期",2002110030)</f>
        <v>2002110030</v>
      </c>
      <c r="G6" s="2573">
        <v>46387</v>
      </c>
      <c r="H6" s="2574" t="str">
        <f t="shared" ca="1" si="1"/>
        <v>王鹏（注册号：2002110030）</v>
      </c>
    </row>
    <row r="7" spans="1:8" ht="24" customHeight="1">
      <c r="A7" s="1474" t="s">
        <v>2891</v>
      </c>
      <c r="B7" s="1474">
        <f ca="1">IF(C7&lt;B2,"已过期",1120000080)</f>
        <v>1120000080</v>
      </c>
      <c r="C7" s="2570">
        <v>44876</v>
      </c>
      <c r="D7" s="2571" t="str">
        <f t="shared" ca="1" si="0"/>
        <v>欧红伟（注册号：1120000080）</v>
      </c>
      <c r="E7" s="2572" t="s">
        <v>2891</v>
      </c>
      <c r="F7" s="1474">
        <f ca="1">IF(G7&lt;B2,"已过期",2000110082)</f>
        <v>2000110082</v>
      </c>
      <c r="G7" s="2573">
        <v>46387</v>
      </c>
      <c r="H7" s="2574" t="str">
        <f t="shared" ca="1" si="1"/>
        <v>欧红伟（注册号：2000110082）</v>
      </c>
    </row>
    <row r="8" spans="1:8" ht="24" customHeight="1">
      <c r="A8" s="1474" t="s">
        <v>2892</v>
      </c>
      <c r="B8" s="1474">
        <f ca="1">IF(C8&lt;B2,"已过期",1419970001)</f>
        <v>1419970001</v>
      </c>
      <c r="C8" s="2570">
        <v>44899</v>
      </c>
      <c r="D8" s="2571" t="str">
        <f t="shared" ca="1" si="0"/>
        <v>吴薇（注册号：1419970001）</v>
      </c>
      <c r="E8" s="2572" t="s">
        <v>2892</v>
      </c>
      <c r="F8" s="1474">
        <f ca="1">IF(G8&lt;B2,"已过期",2002110125)</f>
        <v>2002110125</v>
      </c>
      <c r="G8" s="2573">
        <v>47118</v>
      </c>
      <c r="H8" s="2574" t="str">
        <f t="shared" ca="1" si="1"/>
        <v>吴薇（注册号：2002110125）</v>
      </c>
    </row>
    <row r="9" spans="1:8" ht="24" customHeight="1">
      <c r="A9" s="1474" t="s">
        <v>2893</v>
      </c>
      <c r="B9" s="1474">
        <f ca="1">IF(C9&lt;B2,"已过期",1120060040)</f>
        <v>1120060040</v>
      </c>
      <c r="C9" s="2575">
        <v>44554</v>
      </c>
      <c r="D9" s="2571" t="str">
        <f t="shared" ca="1" si="0"/>
        <v>陈颖（注册号：1120060040）</v>
      </c>
      <c r="E9" s="2572" t="s">
        <v>2893</v>
      </c>
      <c r="F9" s="1474">
        <f ca="1">IF(G9&lt;B2,"已过期",2004110096)</f>
        <v>2004110096</v>
      </c>
      <c r="G9" s="2573">
        <v>47118</v>
      </c>
      <c r="H9" s="2574" t="str">
        <f t="shared" ca="1" si="1"/>
        <v>陈颖（注册号：2004110096）</v>
      </c>
    </row>
    <row r="10" spans="1:8" ht="24" customHeight="1">
      <c r="A10" s="1474" t="s">
        <v>2894</v>
      </c>
      <c r="B10" s="1474">
        <f ca="1">IF(C10&lt;B2,"已过期",1120100036)</f>
        <v>1120100036</v>
      </c>
      <c r="C10" s="2575">
        <v>44675</v>
      </c>
      <c r="D10" s="2571" t="str">
        <f t="shared" ca="1" si="0"/>
        <v>崔锴（注册号：1120100036）</v>
      </c>
      <c r="E10" s="2572" t="s">
        <v>2894</v>
      </c>
      <c r="F10" s="1474">
        <f ca="1">IF(G10&lt;B2,"已过期",2010110070)</f>
        <v>2010110070</v>
      </c>
      <c r="G10" s="2573">
        <v>47907</v>
      </c>
      <c r="H10" s="2574" t="str">
        <f t="shared" ca="1" si="1"/>
        <v>崔锴（注册号：2010110070）</v>
      </c>
    </row>
    <row r="11" spans="1:8" ht="24" customHeight="1">
      <c r="A11" s="1474" t="s">
        <v>2895</v>
      </c>
      <c r="B11" s="1474">
        <f ca="1">IF(C11&lt;B2,"已过期",1120070131)</f>
        <v>1120070131</v>
      </c>
      <c r="C11" s="2570">
        <v>44849</v>
      </c>
      <c r="D11" s="2571" t="str">
        <f t="shared" ca="1" si="0"/>
        <v>郑燚（注册号：1120070131）</v>
      </c>
      <c r="E11" s="2572" t="s">
        <v>2895</v>
      </c>
      <c r="F11" s="1474">
        <f ca="1">IF(G11&lt;B2,"已过期",2014110011)</f>
        <v>2014110011</v>
      </c>
      <c r="G11" s="2573">
        <v>49302</v>
      </c>
      <c r="H11" s="2574" t="str">
        <f t="shared" ca="1" si="1"/>
        <v>郑燚（注册号：2014110011）</v>
      </c>
    </row>
    <row r="12" spans="1:8" ht="24" customHeight="1">
      <c r="A12" s="1474" t="s">
        <v>2896</v>
      </c>
      <c r="B12" s="1474">
        <f ca="1">IF(C12&lt;B2,"已过期",1120040230)</f>
        <v>1120040230</v>
      </c>
      <c r="C12" s="2575">
        <v>44864</v>
      </c>
      <c r="D12" s="2571" t="str">
        <f t="shared" ca="1" si="0"/>
        <v>苏海（注册号：1120040230）</v>
      </c>
      <c r="E12" s="2572" t="s">
        <v>2896</v>
      </c>
      <c r="F12" s="1474">
        <f ca="1">IF(G12&lt;B2,"已过期",98030020)</f>
        <v>98030020</v>
      </c>
      <c r="G12" s="2573">
        <v>47118</v>
      </c>
      <c r="H12" s="2574" t="str">
        <f t="shared" ca="1" si="1"/>
        <v>苏海（注册号：98030020）</v>
      </c>
    </row>
    <row r="13" spans="1:8" ht="24" customHeight="1">
      <c r="A13" s="1474" t="s">
        <v>2897</v>
      </c>
      <c r="B13" s="1474">
        <f ca="1">IF(C13&lt;B2,"已过期",1120020033)</f>
        <v>1120020033</v>
      </c>
      <c r="C13" s="2570">
        <v>44339</v>
      </c>
      <c r="D13" s="2571" t="str">
        <f t="shared" ca="1" si="0"/>
        <v>刘敬东（注册号：1120020033）</v>
      </c>
      <c r="E13" s="2572" t="s">
        <v>2897</v>
      </c>
      <c r="F13" s="1474">
        <f ca="1">IF(G13&lt;B2,"已过期",2000110137)</f>
        <v>2000110137</v>
      </c>
      <c r="G13" s="2573">
        <v>46387</v>
      </c>
      <c r="H13" s="2574" t="str">
        <f t="shared" ca="1" si="1"/>
        <v>刘敬东（注册号：2000110137）</v>
      </c>
    </row>
    <row r="14" spans="1:8" ht="24" customHeight="1">
      <c r="A14" s="1474" t="s">
        <v>2898</v>
      </c>
      <c r="B14" s="1474">
        <f ca="1">IF(C14&lt;B2,"已过期",1119980106)</f>
        <v>1119980106</v>
      </c>
      <c r="C14" s="2575">
        <v>44969</v>
      </c>
      <c r="D14" s="2571" t="str">
        <f t="shared" ca="1" si="0"/>
        <v>刘俊财（注册号：1119980106）</v>
      </c>
      <c r="E14" s="2572" t="s">
        <v>2898</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2899</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8" t="s">
        <v>2900</v>
      </c>
      <c r="B17" s="3108"/>
      <c r="C17" s="3108"/>
      <c r="D17" s="3108"/>
      <c r="E17" s="3108"/>
      <c r="F17" s="3108"/>
      <c r="G17" s="3108"/>
      <c r="H17" s="3108"/>
    </row>
    <row r="18" spans="1:8" ht="24" customHeight="1">
      <c r="A18" s="3109" t="s">
        <v>2901</v>
      </c>
      <c r="B18" s="3109"/>
      <c r="C18" s="3109"/>
      <c r="D18" s="2568"/>
      <c r="E18" s="3110" t="s">
        <v>2902</v>
      </c>
      <c r="F18" s="3109"/>
      <c r="G18" s="3109"/>
    </row>
    <row r="19" spans="1:8" s="2579" customFormat="1" ht="24" customHeight="1">
      <c r="A19" s="2578" t="s">
        <v>2903</v>
      </c>
      <c r="B19" s="2567" t="s">
        <v>2904</v>
      </c>
      <c r="C19" s="2567" t="s">
        <v>2883</v>
      </c>
      <c r="D19" s="2568"/>
      <c r="E19" s="2572" t="s">
        <v>2903</v>
      </c>
      <c r="F19" s="2567" t="s">
        <v>2904</v>
      </c>
      <c r="G19" s="2567" t="s">
        <v>2883</v>
      </c>
    </row>
    <row r="20" spans="1:8" s="2579" customFormat="1" ht="24" customHeight="1">
      <c r="A20" s="2580" t="s">
        <v>2905</v>
      </c>
      <c r="B20" s="2580" t="s">
        <v>2906</v>
      </c>
      <c r="C20" s="2573">
        <v>44820</v>
      </c>
      <c r="D20" s="2581"/>
      <c r="E20" s="2582" t="s">
        <v>2907</v>
      </c>
      <c r="F20" s="2580" t="s">
        <v>2908</v>
      </c>
      <c r="G20" s="2583">
        <v>44377</v>
      </c>
    </row>
    <row r="21" spans="1:8" s="2579" customFormat="1" ht="24" customHeight="1">
      <c r="A21" s="2580"/>
      <c r="B21" s="2580"/>
      <c r="C21" s="2584"/>
      <c r="D21" s="2585"/>
      <c r="E21" s="2582" t="s">
        <v>2909</v>
      </c>
      <c r="F21" s="2586" t="s">
        <v>2910</v>
      </c>
      <c r="G21" s="2587">
        <v>44012</v>
      </c>
    </row>
    <row r="22" spans="1:8" ht="24" customHeight="1">
      <c r="C22" s="2588"/>
      <c r="D22" s="2588"/>
      <c r="E22" s="2589"/>
      <c r="F22" s="2590"/>
      <c r="G22" s="259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 (办公)</vt:lpstr>
      <vt:lpstr>收益法（汇总）</vt:lpstr>
      <vt:lpstr>比较法-办公</vt:lpstr>
      <vt:lpstr>收益法 (办公) (2)</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(办公) (2)'!Print_Area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2020-10-21T03:38:53Z</dcterms:modified>
</cp:coreProperties>
</file>