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1" r:id="rId6"/>
    <sheet name="售价" sheetId="10" r:id="rId7"/>
  </sheets>
  <externalReferences>
    <externalReference r:id="rId8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<sst xmlns="http://schemas.openxmlformats.org/spreadsheetml/2006/main" count="222" uniqueCount="116">
  <si>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</si>
  <si>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</si>
  <si>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</si>
  <si>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</si>
  <si>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</si>
  <si>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</si>
  <si>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</si>
  <si>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</si>
  <si>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</si>
  <si>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</si>
  <si>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</si>
  <si>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</si>
  <si>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</si>
  <si>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</si>
  <si>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</si>
  <si>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</si>
  <si>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</si>
  <si>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</si>
  <si>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</si>
  <si>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</si>
  <si>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</si>
  <si>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</si>
  <si>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</si>
  <si>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</si>
  <si>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</si>
  <si>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</si>
  <si>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</si>
  <si>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</si>
  <si>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</si>
  <si>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</si>
  <si>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</si>
  <si>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</si>
  <si>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</si>
  <si>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</si>
  <si>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</si>
  <si>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</si>
  <si>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</si>
  <si>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</si>
  <si>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</si>
  <si>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</si>
  <si>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</si>
  <si>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</si>
  <si>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</si>
  <si>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</si>
  <si>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</si>
  <si>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</si>
  <si>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</si>
  <si>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</si>
  <si>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</si>
  <si>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</si>
  <si>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</si>
  <si>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</si>
  <si>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</si>
  <si>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</si>
  <si>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</si>
  <si>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</si>
  <si>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</si>
  <si>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</si>
  <si>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</si>
  <si>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</si>
  <si>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</si>
  <si>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</si>
  <si>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</si>
  <si>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</si>
  <si>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</si>
  <si>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</si>
  <si>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</si>
  <si>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</si>
  <si>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</si>
  <si>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</si>
  <si>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</si>
  <si>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</si>
  <si>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</si>
  <si>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</si>
  <si>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</si>
  <si>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</si>
  <si>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</si>
  <si>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</si>
  <si>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</si>
  <si>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</si>
  <si>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</si>
  <si>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</si>
  <si>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</si>
  <si>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</si>
  <si>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</si>
  <si>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</si>
  <si>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</si>
  <si>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</si>
  <si>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</si>
  <si>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</si>
  <si>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</si>
  <si>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</si>
  <si>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</si>
  <si>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</si>
  <si>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</si>
  <si>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</si>
  <si>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</si>
  <si>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</si>
  <si>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</si>
  <si>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</si>
  <si>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</si>
  <si>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</si>
  <si>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</si>
  <si>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</si>
  <si>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</si>
  <si>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</si>
  <si>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</si>
  <si>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</si>
  <si>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</si>
  <si>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</si>
  <si>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</si>
  <si>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</si>
  <si>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绿地环球文化金融城-中区-150平</t>
    <phoneticPr fontId="46" type="noConversion"/>
  </si>
  <si>
    <r>
      <rPr>
        <sz val="16"/>
        <color theme="1"/>
        <rFont val="宋体"/>
        <family val="3"/>
        <charset val="134"/>
      </rPr>
      <t>中关村科技园石景山园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-255</t>
    </r>
    <r>
      <rPr>
        <sz val="16"/>
        <color theme="1"/>
        <rFont val="宋体"/>
        <family val="3"/>
        <charset val="134"/>
      </rPr>
      <t>平</t>
    </r>
    <phoneticPr fontId="46" type="noConversion"/>
  </si>
  <si>
    <r>
      <rPr>
        <sz val="16"/>
        <color theme="1"/>
        <rFont val="宋体"/>
        <family val="3"/>
        <charset val="134"/>
      </rPr>
      <t>金融街长安中心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-2600</t>
    </r>
    <r>
      <rPr>
        <sz val="16"/>
        <color theme="1"/>
        <rFont val="宋体"/>
        <family val="3"/>
        <charset val="134"/>
      </rPr>
      <t>平</t>
    </r>
    <phoneticPr fontId="46" type="noConversion"/>
  </si>
  <si>
    <t>9层、中区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</si>
</sst>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646934</xdr:colOff>
      <xdr:row>34</xdr:row>
      <xdr:rowOff>104055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408838</xdr:colOff>
      <xdr:row>35</xdr:row>
      <xdr:rowOff>37367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4</xdr:col>
      <xdr:colOff>28229</xdr:colOff>
      <xdr:row>65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9</xdr:col>
      <xdr:colOff>161476</xdr:colOff>
      <xdr:row>55</xdr:row>
      <xdr:rowOff>161498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3200" y="61722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69</xdr:row>
      <xdr:rowOff>142875</xdr:rowOff>
    </xdr:from>
    <xdr:to>
      <xdr:col>18</xdr:col>
      <xdr:colOff>46868</xdr:colOff>
      <xdr:row>103</xdr:row>
      <xdr:rowOff>132623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34125" y="11972925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69</xdr:row>
      <xdr:rowOff>152400</xdr:rowOff>
    </xdr:from>
    <xdr:to>
      <xdr:col>9</xdr:col>
      <xdr:colOff>189709</xdr:colOff>
      <xdr:row>103</xdr:row>
      <xdr:rowOff>142148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" y="11982450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104775</xdr:rowOff>
    </xdr:from>
    <xdr:to>
      <xdr:col>21</xdr:col>
      <xdr:colOff>275205</xdr:colOff>
      <xdr:row>68</xdr:row>
      <xdr:rowOff>94544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15100" y="61055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4</xdr:col>
      <xdr:colOff>199657</xdr:colOff>
      <xdr:row>137</xdr:row>
      <xdr:rowOff>94574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73700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71" t="s">
        <v>0</v>
      </c>
      <c r="B2" s="172"/>
      <c r="C2" s="172"/>
      <c r="D2" s="172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178">
        <f>ROUND((C7*D7+C8*D8+C9*D9)/3,0)</f>
        <v>16150</v>
      </c>
      <c r="F7" s="180">
        <v>0.7</v>
      </c>
      <c r="G7" s="182" t="str">
        <f>IF(OR(H7&gt;0.75,H7&lt;0.6),"租售比异常，注意权重计取","")</f>
        <v>租售比异常，注意权重计取</v>
      </c>
      <c r="H7" s="185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178"/>
      <c r="F8" s="180"/>
      <c r="G8" s="183"/>
      <c r="H8" s="186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179"/>
      <c r="F9" s="181"/>
      <c r="G9" s="184"/>
      <c r="H9" s="187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73" t="s">
        <v>26</v>
      </c>
      <c r="B13" s="174"/>
      <c r="C13" s="174"/>
      <c r="D13" s="174"/>
      <c r="E13" s="174"/>
      <c r="F13" s="175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97" t="s">
        <v>34</v>
      </c>
      <c r="H20" s="198"/>
      <c r="I20" s="198"/>
      <c r="J20" s="199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200"/>
      <c r="H21" s="201"/>
      <c r="I21" s="201"/>
      <c r="J21" s="202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200" t="s">
        <v>37</v>
      </c>
      <c r="R21" s="201"/>
      <c r="S21" s="201"/>
      <c r="T21" s="202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200"/>
      <c r="H22" s="201"/>
      <c r="I22" s="201"/>
      <c r="J22" s="202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200"/>
      <c r="R22" s="201"/>
      <c r="S22" s="201"/>
      <c r="T22" s="202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200"/>
      <c r="H23" s="201"/>
      <c r="I23" s="201"/>
      <c r="J23" s="202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200"/>
      <c r="R23" s="201"/>
      <c r="S23" s="201"/>
      <c r="T23" s="202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200"/>
      <c r="H24" s="201"/>
      <c r="I24" s="201"/>
      <c r="J24" s="202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200"/>
      <c r="R24" s="201"/>
      <c r="S24" s="201"/>
      <c r="T24" s="202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200"/>
      <c r="H25" s="201"/>
      <c r="I25" s="201"/>
      <c r="J25" s="202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200"/>
      <c r="R25" s="201"/>
      <c r="S25" s="201"/>
      <c r="T25" s="202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200"/>
      <c r="H26" s="201"/>
      <c r="I26" s="201"/>
      <c r="J26" s="202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200"/>
      <c r="R26" s="201"/>
      <c r="S26" s="201"/>
      <c r="T26" s="202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200"/>
      <c r="H27" s="201"/>
      <c r="I27" s="201"/>
      <c r="J27" s="202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200"/>
      <c r="R27" s="201"/>
      <c r="S27" s="201"/>
      <c r="T27" s="202"/>
    </row>
    <row r="28" spans="1:21" ht="15">
      <c r="A28" s="118"/>
      <c r="B28" s="119"/>
      <c r="C28" s="176"/>
      <c r="D28" s="177"/>
      <c r="E28" s="120"/>
      <c r="F28" s="121"/>
      <c r="G28" s="203"/>
      <c r="H28" s="204"/>
      <c r="I28" s="204"/>
      <c r="J28" s="205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203"/>
      <c r="R28" s="204"/>
      <c r="S28" s="204"/>
      <c r="T28" s="205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88" t="s">
        <v>41</v>
      </c>
      <c r="H31" s="189"/>
      <c r="I31" s="189"/>
      <c r="J31" s="190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97" t="s">
        <v>42</v>
      </c>
      <c r="R31" s="198"/>
      <c r="S31" s="198"/>
      <c r="T31" s="199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91"/>
      <c r="H32" s="192"/>
      <c r="I32" s="192"/>
      <c r="J32" s="193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200"/>
      <c r="R32" s="201"/>
      <c r="S32" s="201"/>
      <c r="T32" s="202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91"/>
      <c r="H33" s="192"/>
      <c r="I33" s="192"/>
      <c r="J33" s="193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200"/>
      <c r="R33" s="201"/>
      <c r="S33" s="201"/>
      <c r="T33" s="202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91"/>
      <c r="H34" s="192"/>
      <c r="I34" s="192"/>
      <c r="J34" s="193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200"/>
      <c r="R34" s="201"/>
      <c r="S34" s="201"/>
      <c r="T34" s="202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91"/>
      <c r="H35" s="192"/>
      <c r="I35" s="192"/>
      <c r="J35" s="193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200"/>
      <c r="R35" s="201"/>
      <c r="S35" s="201"/>
      <c r="T35" s="202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91"/>
      <c r="H36" s="192"/>
      <c r="I36" s="192"/>
      <c r="J36" s="193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200"/>
      <c r="R36" s="201"/>
      <c r="S36" s="201"/>
      <c r="T36" s="202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91"/>
      <c r="H37" s="192"/>
      <c r="I37" s="192"/>
      <c r="J37" s="193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200"/>
      <c r="R37" s="201"/>
      <c r="S37" s="201"/>
      <c r="T37" s="202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94"/>
      <c r="H38" s="195"/>
      <c r="I38" s="195"/>
      <c r="J38" s="196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203"/>
      <c r="R38" s="204"/>
      <c r="S38" s="204"/>
      <c r="T38" s="205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G7:G9"/>
    <mergeCell ref="H7:H9"/>
    <mergeCell ref="G31:J38"/>
    <mergeCell ref="G20:J28"/>
    <mergeCell ref="Q31:T38"/>
    <mergeCell ref="Q21:T28"/>
    <mergeCell ref="A2:D2"/>
    <mergeCell ref="A13:F13"/>
    <mergeCell ref="C28:D28"/>
    <mergeCell ref="E7:E9"/>
    <mergeCell ref="F7:F9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J7" sqref="J7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115</v>
      </c>
    </row>
    <row r="2" spans="1:14" s="28" customFormat="1" ht="23.25">
      <c r="A2" s="171" t="s">
        <v>0</v>
      </c>
      <c r="B2" s="172"/>
      <c r="C2" s="172"/>
      <c r="D2" s="172"/>
      <c r="E2" s="34">
        <f>ROUND(IF(F4=0,E7*F7+E12*F12,IF(F7=0,E4*F4+E12*F12,E4*F4+E7*F7)),0)</f>
        <v>23618</v>
      </c>
      <c r="F2" s="35">
        <f>ROUND(IF(F4=0,E7/E12-1,IF(F7=0,E4/E12-1,E4/E7)),3)</f>
        <v>0.30499999999999999</v>
      </c>
      <c r="G2" s="36" t="s">
        <v>1</v>
      </c>
      <c r="I2" s="144" t="s">
        <v>74</v>
      </c>
      <c r="J2" s="144">
        <v>59.3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140.05000000000001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4.3115328582115996E-2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112</v>
      </c>
      <c r="C7" s="43">
        <v>23000</v>
      </c>
      <c r="D7" s="43">
        <v>1.03</v>
      </c>
      <c r="E7" s="178">
        <f>ROUND((C7*D7+C8*D8+C9*D9)/3,0)</f>
        <v>25397</v>
      </c>
      <c r="F7" s="210">
        <v>0.7</v>
      </c>
      <c r="G7" s="212" t="str">
        <f>IF(OR(H7&gt;0.75,H7&lt;0.6),"租售比异常，注意权重计取","")</f>
        <v>租售比异常，注意权重计取</v>
      </c>
      <c r="H7" s="185">
        <f>E7/10000/A12</f>
        <v>0.84656666666666658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113</v>
      </c>
      <c r="C8" s="43">
        <v>26700</v>
      </c>
      <c r="D8" s="43">
        <f>D7</f>
        <v>1.03</v>
      </c>
      <c r="E8" s="178"/>
      <c r="F8" s="210"/>
      <c r="G8" s="213"/>
      <c r="H8" s="186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43" t="s">
        <v>114</v>
      </c>
      <c r="C9" s="43">
        <v>25000</v>
      </c>
      <c r="D9" s="43">
        <v>1</v>
      </c>
      <c r="E9" s="179"/>
      <c r="F9" s="211"/>
      <c r="G9" s="214"/>
      <c r="H9" s="187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37.54</v>
      </c>
      <c r="D12" s="63">
        <v>4.4999999999999998E-2</v>
      </c>
      <c r="E12" s="44">
        <f>ROUND(A12*365*B12/D12,0)</f>
        <v>19467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6" t="s">
        <v>52</v>
      </c>
      <c r="B13" s="207"/>
      <c r="C13" s="207"/>
      <c r="D13" s="207"/>
      <c r="E13" s="207"/>
      <c r="F13" s="208"/>
      <c r="H13" s="33">
        <f>H12+2</f>
        <v>14</v>
      </c>
      <c r="I13" s="168" t="s">
        <v>111</v>
      </c>
      <c r="J13" s="150">
        <v>59661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37.54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17" t="s">
        <v>59</v>
      </c>
      <c r="I20" s="217"/>
      <c r="J20" s="217"/>
      <c r="K20" s="217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17"/>
      <c r="I21" s="217"/>
      <c r="J21" s="217"/>
      <c r="K21" s="217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15" t="s">
        <v>61</v>
      </c>
      <c r="T21" s="216"/>
      <c r="U21" s="216"/>
      <c r="V21" s="216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17"/>
      <c r="I22" s="217"/>
      <c r="J22" s="217"/>
      <c r="K22" s="217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15"/>
      <c r="T22" s="216"/>
      <c r="U22" s="216"/>
      <c r="V22" s="216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17"/>
      <c r="I23" s="217"/>
      <c r="J23" s="217"/>
      <c r="K23" s="217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15"/>
      <c r="T23" s="216"/>
      <c r="U23" s="216"/>
      <c r="V23" s="216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17"/>
      <c r="I24" s="217"/>
      <c r="J24" s="217"/>
      <c r="K24" s="217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15"/>
      <c r="T24" s="216"/>
      <c r="U24" s="216"/>
      <c r="V24" s="216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17"/>
      <c r="I25" s="217"/>
      <c r="J25" s="217"/>
      <c r="K25" s="217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15"/>
      <c r="T25" s="216"/>
      <c r="U25" s="216"/>
      <c r="V25" s="216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17"/>
      <c r="I26" s="217"/>
      <c r="J26" s="217"/>
      <c r="K26" s="217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15"/>
      <c r="T26" s="216"/>
      <c r="U26" s="216"/>
      <c r="V26" s="216"/>
    </row>
    <row r="27" spans="1:22">
      <c r="A27" s="2"/>
      <c r="B27" s="76"/>
      <c r="C27" s="77"/>
      <c r="D27" s="78"/>
      <c r="E27" s="79"/>
      <c r="F27" s="209"/>
      <c r="G27" s="209"/>
      <c r="H27" s="217"/>
      <c r="I27" s="217"/>
      <c r="J27" s="217"/>
      <c r="K27" s="217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15"/>
      <c r="T27" s="216"/>
      <c r="U27" s="216"/>
      <c r="V27" s="216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15" t="s">
        <v>64</v>
      </c>
      <c r="I30" s="216"/>
      <c r="J30" s="216"/>
      <c r="K30" s="216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15" t="s">
        <v>65</v>
      </c>
      <c r="T30" s="216"/>
      <c r="U30" s="216"/>
      <c r="V30" s="216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15"/>
      <c r="I31" s="216"/>
      <c r="J31" s="216"/>
      <c r="K31" s="216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15"/>
      <c r="T31" s="216"/>
      <c r="U31" s="216"/>
      <c r="V31" s="216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15"/>
      <c r="I32" s="216"/>
      <c r="J32" s="216"/>
      <c r="K32" s="216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15"/>
      <c r="T32" s="216"/>
      <c r="U32" s="216"/>
      <c r="V32" s="216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15"/>
      <c r="I33" s="216"/>
      <c r="J33" s="216"/>
      <c r="K33" s="216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15"/>
      <c r="T33" s="216"/>
      <c r="U33" s="216"/>
      <c r="V33" s="216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15"/>
      <c r="I34" s="216"/>
      <c r="J34" s="216"/>
      <c r="K34" s="216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15"/>
      <c r="T34" s="216"/>
      <c r="U34" s="216"/>
      <c r="V34" s="216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15"/>
      <c r="I35" s="216"/>
      <c r="J35" s="216"/>
      <c r="K35" s="216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15"/>
      <c r="T35" s="216"/>
      <c r="U35" s="216"/>
      <c r="V35" s="216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15"/>
      <c r="I36" s="216"/>
      <c r="J36" s="216"/>
      <c r="K36" s="216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15"/>
      <c r="T36" s="216"/>
      <c r="U36" s="216"/>
      <c r="V36" s="216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H7:H9"/>
    <mergeCell ref="H30:K36"/>
    <mergeCell ref="S30:V36"/>
    <mergeCell ref="S21:V27"/>
    <mergeCell ref="H20:K27"/>
    <mergeCell ref="A2:D2"/>
    <mergeCell ref="A13:F13"/>
    <mergeCell ref="F27:G27"/>
    <mergeCell ref="E7:E9"/>
    <mergeCell ref="F7:F9"/>
    <mergeCell ref="G7:G9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G6" sqref="G6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59.3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139.36000000000001</v>
      </c>
      <c r="C5" s="152">
        <f>E14</f>
        <v>23500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139.36000000000001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59.3</v>
      </c>
      <c r="C14" s="165"/>
      <c r="D14" s="165">
        <f>ROUND(E14*B14/10000,2)</f>
        <v>139.36000000000001</v>
      </c>
      <c r="E14" s="165">
        <v>23500</v>
      </c>
      <c r="F14" s="165" t="e">
        <f>ROUND(D14*10000/C14,0)</f>
        <v>#DIV/0!</v>
      </c>
      <c r="G14" s="165">
        <f>D14</f>
        <v>139.36000000000001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107" sqref="A107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2025-10-29T08:39:43Z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