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不动产收益法 (地下车库)"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71" r:id="rId42"/>
    <sheet name="Sheet1" sheetId="68" r:id="rId43"/>
    <sheet name="Sheet3" sheetId="70" r:id="rId44"/>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13" i="3" l="1"/>
  <c r="M13" i="3"/>
  <c r="G9" i="71"/>
  <c r="H9" i="71"/>
  <c r="G8" i="71"/>
  <c r="H8" i="71"/>
  <c r="H10" i="71"/>
  <c r="C9" i="71"/>
  <c r="E9" i="71"/>
  <c r="C8" i="71"/>
  <c r="E8" i="71"/>
  <c r="C2" i="71"/>
  <c r="E2" i="71"/>
  <c r="E3" i="71"/>
  <c r="C4" i="71"/>
  <c r="E4" i="71"/>
  <c r="C5" i="71"/>
  <c r="E5" i="71"/>
  <c r="C6" i="71"/>
  <c r="E6" i="71"/>
  <c r="C7" i="71"/>
  <c r="E7" i="71"/>
  <c r="E10" i="71"/>
  <c r="B10" i="71"/>
  <c r="I13" i="3"/>
  <c r="AL13" i="3"/>
  <c r="G2" i="71"/>
  <c r="H2" i="71"/>
  <c r="H3" i="71"/>
  <c r="G4" i="71"/>
  <c r="H4" i="71"/>
  <c r="G5" i="71"/>
  <c r="H5" i="71"/>
  <c r="G6" i="71"/>
  <c r="H6" i="71"/>
  <c r="G7" i="71"/>
  <c r="H7" i="71"/>
  <c r="G10" i="71"/>
  <c r="AL5" i="3"/>
  <c r="I5" i="3"/>
  <c r="I4" i="6"/>
  <c r="C13" i="39"/>
  <c r="F13" i="39"/>
  <c r="AA13" i="39"/>
  <c r="BQ13" i="3"/>
  <c r="BL13" i="3"/>
  <c r="BD13" i="3"/>
  <c r="BB13" i="3"/>
  <c r="BC13" i="3"/>
  <c r="BA13" i="3"/>
  <c r="AZ13" i="3"/>
  <c r="AZ5" i="3"/>
  <c r="AC13" i="3"/>
  <c r="H13" i="3"/>
  <c r="G13" i="3"/>
  <c r="G5" i="3"/>
  <c r="B3" i="3"/>
  <c r="AY6" i="3"/>
  <c r="D3" i="6"/>
  <c r="C22" i="4"/>
  <c r="C40" i="39"/>
  <c r="F40" i="39"/>
  <c r="AA40" i="39"/>
  <c r="H13" i="39"/>
  <c r="AB13" i="39"/>
  <c r="H40" i="39"/>
  <c r="AB40" i="39"/>
  <c r="J13" i="39"/>
  <c r="AC13" i="39"/>
  <c r="J40" i="39"/>
  <c r="AC40" i="39"/>
  <c r="C10" i="71"/>
  <c r="U6" i="1"/>
  <c r="F6" i="15"/>
  <c r="F8" i="15"/>
  <c r="F19" i="6"/>
  <c r="G19" i="6"/>
  <c r="E19" i="6"/>
  <c r="K6" i="1"/>
  <c r="F7" i="15"/>
  <c r="F9" i="15"/>
  <c r="C6" i="15"/>
  <c r="N4" i="65"/>
  <c r="C4" i="65"/>
  <c r="B39" i="1"/>
  <c r="F11" i="15"/>
  <c r="C10" i="15"/>
  <c r="C5" i="15"/>
  <c r="C32" i="15"/>
  <c r="C33" i="15"/>
  <c r="E3" i="6"/>
  <c r="D19" i="6"/>
  <c r="BQ5" i="3"/>
  <c r="F28" i="6"/>
  <c r="E28" i="6"/>
  <c r="G20" i="6"/>
  <c r="E20" i="6"/>
  <c r="BA5" i="3"/>
  <c r="E27" i="6"/>
  <c r="K19" i="6"/>
  <c r="L19" i="6"/>
  <c r="M19" i="6"/>
  <c r="I19" i="6"/>
  <c r="H19" i="6"/>
  <c r="R19" i="6"/>
  <c r="R6" i="1"/>
  <c r="F35" i="15"/>
  <c r="C34" i="15"/>
  <c r="C31" i="15"/>
  <c r="M6" i="1"/>
  <c r="K14" i="1"/>
  <c r="M14" i="1"/>
  <c r="S6" i="1"/>
  <c r="K20" i="6"/>
  <c r="S7" i="1"/>
  <c r="S8" i="1"/>
  <c r="S9" i="1"/>
  <c r="S10" i="1"/>
  <c r="S11" i="1"/>
  <c r="S12" i="1"/>
  <c r="S13" i="1"/>
  <c r="S16" i="1"/>
  <c r="T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69"/>
  <c r="F8" i="69"/>
  <c r="F7" i="69"/>
  <c r="F9" i="69"/>
  <c r="C6" i="69"/>
  <c r="F11" i="69"/>
  <c r="C10" i="69"/>
  <c r="C5" i="69"/>
  <c r="C32" i="69"/>
  <c r="C33" i="69"/>
  <c r="D20" i="6"/>
  <c r="L20" i="6"/>
  <c r="M20" i="6"/>
  <c r="I20" i="6"/>
  <c r="H20" i="6"/>
  <c r="R20" i="6"/>
  <c r="R7" i="1"/>
  <c r="F35" i="69"/>
  <c r="C34" i="69"/>
  <c r="C31" i="69"/>
  <c r="K7" i="1"/>
  <c r="M7" i="1"/>
  <c r="T7" i="1"/>
  <c r="C14" i="69"/>
  <c r="C15" i="69"/>
  <c r="F16" i="69"/>
  <c r="C16" i="69"/>
  <c r="F43" i="69"/>
  <c r="C17" i="69"/>
  <c r="C18" i="69"/>
  <c r="C19" i="69"/>
  <c r="C20" i="69"/>
  <c r="F24" i="69"/>
  <c r="C23" i="69"/>
  <c r="F26" i="69"/>
  <c r="C26" i="69"/>
  <c r="C24" i="69"/>
  <c r="C27" i="69"/>
  <c r="C29"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B2" i="69"/>
  <c r="D10" i="12"/>
  <c r="C6" i="12"/>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AN13" i="3"/>
  <c r="I48" i="39"/>
  <c r="I9" i="39"/>
  <c r="I7" i="39"/>
  <c r="I40" i="39"/>
  <c r="C7"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C1" i="65"/>
  <c r="N1" i="65"/>
  <c r="BR13" i="3"/>
  <c r="BR5" i="3"/>
  <c r="G28" i="6"/>
  <c r="H1" i="65"/>
  <c r="C42" i="1"/>
  <c r="C28" i="15"/>
  <c r="E19" i="4"/>
  <c r="F6" i="1"/>
  <c r="J51" i="15"/>
  <c r="L46" i="15"/>
  <c r="C28" i="69"/>
  <c r="G19" i="4"/>
  <c r="F7" i="1"/>
  <c r="J51" i="69"/>
  <c r="L46" i="69"/>
  <c r="C25" i="12"/>
  <c r="P3" i="70"/>
  <c r="P4" i="70"/>
  <c r="P5" i="70"/>
  <c r="P6" i="70"/>
  <c r="P7" i="70"/>
  <c r="P8" i="70"/>
  <c r="P9" i="70"/>
  <c r="P10" i="70"/>
  <c r="P11" i="70"/>
  <c r="P12" i="70"/>
  <c r="P13" i="70"/>
  <c r="P14" i="70"/>
  <c r="P15" i="70"/>
  <c r="P16" i="70"/>
  <c r="P2" i="70"/>
  <c r="G48" i="39"/>
  <c r="G9" i="39"/>
  <c r="E9" i="39"/>
  <c r="E48" i="39"/>
  <c r="G40" i="39"/>
  <c r="E40" i="39"/>
  <c r="G7" i="39"/>
  <c r="E7" i="39"/>
  <c r="O3" i="70"/>
  <c r="O4" i="70"/>
  <c r="O5" i="70"/>
  <c r="O6" i="70"/>
  <c r="O7" i="70"/>
  <c r="O8" i="70"/>
  <c r="O9" i="70"/>
  <c r="O10" i="70"/>
  <c r="O11" i="70"/>
  <c r="O12" i="70"/>
  <c r="O13" i="70"/>
  <c r="O14" i="70"/>
  <c r="O15" i="70"/>
  <c r="O16" i="70"/>
  <c r="O2" i="70"/>
  <c r="P75" i="69"/>
  <c r="Q73" i="69"/>
  <c r="P62" i="69"/>
  <c r="Q60" i="69"/>
  <c r="D60" i="69"/>
  <c r="Q59" i="69"/>
  <c r="K59" i="69"/>
  <c r="F58" i="69"/>
  <c r="Q52" i="69"/>
  <c r="J50" i="69"/>
  <c r="M47" i="69"/>
  <c r="F34" i="69"/>
  <c r="F33" i="69"/>
  <c r="F60" i="69"/>
  <c r="F32" i="69"/>
  <c r="F59" i="69"/>
  <c r="F31" i="69"/>
  <c r="F28" i="69"/>
  <c r="F23" i="69"/>
  <c r="D24" i="69"/>
  <c r="D23" i="69"/>
  <c r="D22" i="69"/>
  <c r="F21" i="69"/>
  <c r="M20" i="69"/>
  <c r="F20" i="69"/>
  <c r="M19" i="69"/>
  <c r="M18" i="69"/>
  <c r="F18" i="69"/>
  <c r="M17" i="69"/>
  <c r="F17" i="69"/>
  <c r="F15" i="69"/>
  <c r="G1" i="69"/>
  <c r="C12" i="39"/>
  <c r="Y7" i="1"/>
  <c r="Y6" i="1"/>
  <c r="L47" i="69"/>
  <c r="M28" i="69"/>
  <c r="M24" i="69"/>
  <c r="M22" i="69"/>
  <c r="F50" i="69"/>
  <c r="F63" i="69"/>
  <c r="F49" i="69"/>
  <c r="L59" i="69"/>
  <c r="F61" i="69"/>
  <c r="C11" i="4"/>
  <c r="B7" i="4"/>
  <c r="J15" i="69"/>
  <c r="M21" i="69"/>
  <c r="M27" i="69"/>
  <c r="M23" i="69"/>
  <c r="M26" i="69"/>
  <c r="M29" i="69"/>
  <c r="J36" i="69"/>
  <c r="L60" i="69"/>
  <c r="L56" i="69"/>
  <c r="L57" i="69"/>
  <c r="L58" i="69"/>
  <c r="J59" i="69"/>
  <c r="J60" i="69"/>
  <c r="Q49" i="69"/>
  <c r="J57" i="69"/>
  <c r="J55" i="69"/>
  <c r="J58" i="69"/>
  <c r="Q51" i="69"/>
  <c r="I54" i="69"/>
  <c r="F65" i="69"/>
  <c r="Q72" i="69"/>
  <c r="F70" i="69"/>
  <c r="F67" i="69"/>
  <c r="F64" i="69"/>
  <c r="F62" i="69"/>
  <c r="C61" i="69"/>
  <c r="J20" i="69"/>
  <c r="Q75" i="69"/>
  <c r="Q62" i="69"/>
  <c r="C48" i="69"/>
  <c r="AH5" i="59"/>
  <c r="AG5" i="59"/>
  <c r="AE5" i="59"/>
  <c r="AF5" i="59"/>
  <c r="AD5" i="59"/>
  <c r="Q6" i="59"/>
  <c r="P6" i="59"/>
  <c r="O6" i="59"/>
  <c r="N6" i="59"/>
  <c r="Q5" i="59"/>
  <c r="P5" i="59"/>
  <c r="O5" i="59"/>
  <c r="N5" i="59"/>
  <c r="M19" i="46"/>
  <c r="J50" i="15"/>
  <c r="D8" i="59"/>
  <c r="AH6" i="59"/>
  <c r="AG6" i="59"/>
  <c r="AE6" i="59"/>
  <c r="AF6" i="59"/>
  <c r="AD6" i="59"/>
  <c r="I3" i="59"/>
  <c r="L3" i="59"/>
  <c r="AH3" i="59"/>
  <c r="K3" i="59"/>
  <c r="J3" i="59"/>
  <c r="AE7" i="59"/>
  <c r="AF7" i="59"/>
  <c r="AG7" i="59"/>
  <c r="AH7" i="59"/>
  <c r="AD7" i="59"/>
  <c r="Q7" i="59"/>
  <c r="P7" i="59"/>
  <c r="O7" i="59"/>
  <c r="N7" i="59"/>
  <c r="N8" i="59"/>
  <c r="Q8" i="59"/>
  <c r="P8" i="59"/>
  <c r="O8" i="59"/>
  <c r="K59" i="15"/>
  <c r="P62" i="15"/>
  <c r="P75" i="15"/>
  <c r="Q74" i="44"/>
  <c r="Q61" i="44"/>
  <c r="Q60" i="44"/>
  <c r="Q53" i="44"/>
  <c r="J51" i="44"/>
  <c r="J52" i="44"/>
  <c r="M48" i="44"/>
  <c r="A16" i="55"/>
  <c r="A15" i="55"/>
  <c r="A14" i="55"/>
  <c r="A10" i="55"/>
  <c r="A9" i="55"/>
  <c r="A8" i="55"/>
  <c r="A6" i="54"/>
  <c r="A8" i="54"/>
  <c r="A7" i="54"/>
  <c r="B51" i="63"/>
  <c r="A27" i="51"/>
  <c r="D5" i="46"/>
  <c r="Q9" i="59"/>
  <c r="O9" i="59"/>
  <c r="N10" i="59"/>
  <c r="O10" i="59"/>
  <c r="P10" i="59"/>
  <c r="Q10" i="59"/>
  <c r="N9" i="59"/>
  <c r="P9"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B6" i="59"/>
  <c r="B5" i="59"/>
  <c r="F9" i="59"/>
  <c r="S7" i="59"/>
  <c r="AD3" i="59"/>
  <c r="AE3" i="59"/>
  <c r="AF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c r="C3" i="65"/>
  <c r="T7" i="59"/>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C56" i="10"/>
  <c r="C55" i="10"/>
  <c r="C54" i="10"/>
  <c r="B49" i="63"/>
  <c r="B44" i="63"/>
  <c r="B40" i="63"/>
  <c r="B30" i="63"/>
  <c r="B27" i="63"/>
  <c r="B25" i="63"/>
  <c r="A11" i="51"/>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A15" i="51"/>
  <c r="B12" i="63"/>
  <c r="A14" i="51"/>
  <c r="B11" i="63"/>
  <c r="B66" i="63"/>
  <c r="A4" i="55"/>
  <c r="B57" i="63"/>
  <c r="G5" i="54"/>
  <c r="B34" i="63"/>
  <c r="E5" i="54"/>
  <c r="B32" i="63"/>
  <c r="R2" i="54"/>
  <c r="B24" i="63"/>
  <c r="B49" i="50"/>
  <c r="B5" i="63"/>
  <c r="B40" i="50"/>
  <c r="B3" i="63"/>
  <c r="B67" i="63"/>
  <c r="I19" i="46"/>
  <c r="Q11" i="59"/>
  <c r="F11" i="59"/>
  <c r="F10" i="59"/>
  <c r="P11" i="59"/>
  <c r="O11" i="59"/>
  <c r="C11" i="59"/>
  <c r="N11" i="59"/>
  <c r="D72" i="59"/>
  <c r="F71" i="59"/>
  <c r="F70" i="59"/>
  <c r="E71" i="59"/>
  <c r="E70" i="59"/>
  <c r="E69" i="59"/>
  <c r="C71" i="59"/>
  <c r="D71" i="59"/>
  <c r="B71" i="59"/>
  <c r="B70" i="59"/>
  <c r="F69" i="59"/>
  <c r="B69" i="59"/>
  <c r="D68" i="59"/>
  <c r="F67" i="59"/>
  <c r="F66" i="59"/>
  <c r="E67" i="59"/>
  <c r="E66" i="59"/>
  <c r="E65" i="59"/>
  <c r="C67" i="59"/>
  <c r="D67" i="59"/>
  <c r="B67" i="59"/>
  <c r="B66" i="59"/>
  <c r="F65"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D45" i="59"/>
  <c r="N44" i="59"/>
  <c r="B45" i="59"/>
  <c r="B46" i="59"/>
  <c r="B47" i="59"/>
  <c r="S47" i="59"/>
  <c r="D44" i="59"/>
  <c r="Q43" i="59"/>
  <c r="P43" i="59"/>
  <c r="O43" i="59"/>
  <c r="N43" i="59"/>
  <c r="Q42" i="59"/>
  <c r="P42" i="59"/>
  <c r="O42" i="59"/>
  <c r="N42" i="59"/>
  <c r="Q41" i="59"/>
  <c r="P41" i="59"/>
  <c r="O41" i="59"/>
  <c r="N41" i="59"/>
  <c r="Q40" i="59"/>
  <c r="F41" i="59"/>
  <c r="F42" i="59"/>
  <c r="P40" i="59"/>
  <c r="E41" i="59"/>
  <c r="E42" i="59"/>
  <c r="E43" i="59"/>
  <c r="U43" i="59"/>
  <c r="O40" i="59"/>
  <c r="C41" i="59"/>
  <c r="D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D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N29" i="59"/>
  <c r="Q28" i="59"/>
  <c r="F29" i="59"/>
  <c r="F30"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C26" i="59"/>
  <c r="N24" i="59"/>
  <c r="B25" i="59"/>
  <c r="B26" i="59"/>
  <c r="B27" i="59"/>
  <c r="S27" i="59"/>
  <c r="D24" i="59"/>
  <c r="Q23" i="59"/>
  <c r="P23" i="59"/>
  <c r="O23" i="59"/>
  <c r="N23" i="59"/>
  <c r="Q22" i="59"/>
  <c r="AB22" i="59"/>
  <c r="P22" i="59"/>
  <c r="O22" i="59"/>
  <c r="Y22" i="59"/>
  <c r="Z22" i="59"/>
  <c r="N22" i="59"/>
  <c r="X22" i="59"/>
  <c r="Q21" i="59"/>
  <c r="AB21" i="59"/>
  <c r="P21" i="59"/>
  <c r="O21" i="59"/>
  <c r="Y21" i="59"/>
  <c r="Z21" i="59"/>
  <c r="N21" i="59"/>
  <c r="X21" i="59"/>
  <c r="Q20" i="59"/>
  <c r="P20" i="59"/>
  <c r="O20" i="59"/>
  <c r="C21" i="59"/>
  <c r="N20" i="59"/>
  <c r="X20" i="59"/>
  <c r="B21" i="59"/>
  <c r="B22" i="59"/>
  <c r="B23" i="59"/>
  <c r="S23" i="59"/>
  <c r="D20" i="59"/>
  <c r="Q19" i="59"/>
  <c r="P19" i="59"/>
  <c r="O19" i="59"/>
  <c r="Y19" i="59"/>
  <c r="Z19" i="59"/>
  <c r="N19" i="59"/>
  <c r="X19" i="59"/>
  <c r="Q18" i="59"/>
  <c r="AB18" i="59"/>
  <c r="P18" i="59"/>
  <c r="O18" i="59"/>
  <c r="N18" i="59"/>
  <c r="X18" i="59"/>
  <c r="Q17" i="59"/>
  <c r="P17" i="59"/>
  <c r="O17" i="59"/>
  <c r="Y17" i="59"/>
  <c r="Z17" i="59"/>
  <c r="N17" i="59"/>
  <c r="X17" i="59"/>
  <c r="Q16" i="59"/>
  <c r="AB16" i="59"/>
  <c r="F17" i="59"/>
  <c r="P16" i="59"/>
  <c r="E17" i="59"/>
  <c r="E18" i="59"/>
  <c r="E19" i="59"/>
  <c r="U19" i="59"/>
  <c r="O16" i="59"/>
  <c r="N16" i="59"/>
  <c r="X3" i="59"/>
  <c r="D16" i="59"/>
  <c r="Q15" i="59"/>
  <c r="AB15" i="59"/>
  <c r="P15" i="59"/>
  <c r="AA15" i="59"/>
  <c r="O15" i="59"/>
  <c r="Y15" i="59"/>
  <c r="Z15" i="59"/>
  <c r="N15" i="59"/>
  <c r="Q14" i="59"/>
  <c r="AB14" i="59"/>
  <c r="P14" i="59"/>
  <c r="O14" i="59"/>
  <c r="Y14" i="59"/>
  <c r="Z14" i="59"/>
  <c r="N14" i="59"/>
  <c r="Q13" i="59"/>
  <c r="AB13" i="59"/>
  <c r="P13" i="59"/>
  <c r="AA13" i="59"/>
  <c r="O13" i="59"/>
  <c r="Y13" i="59"/>
  <c r="Z13" i="59"/>
  <c r="N13" i="59"/>
  <c r="Q12" i="59"/>
  <c r="AB11" i="59"/>
  <c r="P12" i="59"/>
  <c r="AA12" i="59"/>
  <c r="O12" i="59"/>
  <c r="C13" i="59"/>
  <c r="N12" i="59"/>
  <c r="X12" i="59"/>
  <c r="B13" i="59"/>
  <c r="B14" i="59"/>
  <c r="D12" i="59"/>
  <c r="X9" i="59"/>
  <c r="AA8" i="59"/>
  <c r="AA10" i="59"/>
  <c r="Y8" i="59"/>
  <c r="Z8" i="59"/>
  <c r="Y10" i="59"/>
  <c r="Z10" i="59"/>
  <c r="Y3" i="59"/>
  <c r="Z3" i="59"/>
  <c r="AB8" i="59"/>
  <c r="B15" i="59"/>
  <c r="S15" i="59"/>
  <c r="E13" i="59"/>
  <c r="E14" i="59"/>
  <c r="E15" i="59"/>
  <c r="U15" i="59"/>
  <c r="B34" i="59"/>
  <c r="B35" i="59"/>
  <c r="S35" i="59"/>
  <c r="E35" i="59"/>
  <c r="U35" i="59"/>
  <c r="S51" i="59"/>
  <c r="AA22" i="59"/>
  <c r="F18" i="59"/>
  <c r="F19" i="59"/>
  <c r="V19" i="59"/>
  <c r="F26" i="59"/>
  <c r="F27" i="59"/>
  <c r="V27" i="59"/>
  <c r="F31" i="59"/>
  <c r="V31" i="59"/>
  <c r="F38" i="59"/>
  <c r="F39" i="59"/>
  <c r="V39" i="59"/>
  <c r="F43" i="59"/>
  <c r="V43" i="59"/>
  <c r="F46" i="59"/>
  <c r="F47" i="59"/>
  <c r="V47" i="59"/>
  <c r="D13" i="59"/>
  <c r="D21" i="59"/>
  <c r="D25" i="59"/>
  <c r="C34" i="59"/>
  <c r="D34" i="59"/>
  <c r="C38" i="59"/>
  <c r="C42" i="59"/>
  <c r="C43" i="59"/>
  <c r="C46" i="59"/>
  <c r="E49" i="59"/>
  <c r="B49" i="59"/>
  <c r="N49" i="59"/>
  <c r="Q50" i="59"/>
  <c r="T51" i="59"/>
  <c r="D51" i="59"/>
  <c r="P51" i="59"/>
  <c r="U51" i="59"/>
  <c r="Q51" i="59"/>
  <c r="E54" i="59"/>
  <c r="E53" i="59"/>
  <c r="D55" i="59"/>
  <c r="C58" i="59"/>
  <c r="E58" i="59"/>
  <c r="E57" i="59"/>
  <c r="D59" i="59"/>
  <c r="C62" i="59"/>
  <c r="D62" i="59"/>
  <c r="E62" i="59"/>
  <c r="E61" i="59"/>
  <c r="D63" i="59"/>
  <c r="C66" i="59"/>
  <c r="C65" i="59"/>
  <c r="D65" i="59"/>
  <c r="C70" i="59"/>
  <c r="U16" i="4"/>
  <c r="S16" i="4"/>
  <c r="Q16" i="4"/>
  <c r="O16" i="4"/>
  <c r="M16" i="4"/>
  <c r="L16" i="4"/>
  <c r="K16" i="4"/>
  <c r="P48" i="59"/>
  <c r="P49" i="59"/>
  <c r="D70" i="59"/>
  <c r="C69" i="59"/>
  <c r="D69" i="59"/>
  <c r="C61" i="59"/>
  <c r="D61" i="59"/>
  <c r="D66" i="59"/>
  <c r="D58" i="59"/>
  <c r="C57" i="59"/>
  <c r="D57" i="59"/>
  <c r="N48" i="59"/>
  <c r="C47" i="59"/>
  <c r="D47" i="59"/>
  <c r="D46" i="59"/>
  <c r="D42" i="59"/>
  <c r="C39" i="59"/>
  <c r="D39" i="59"/>
  <c r="D38" i="59"/>
  <c r="C35" i="59"/>
  <c r="D35" i="59"/>
  <c r="C27" i="59"/>
  <c r="D27" i="59"/>
  <c r="D26" i="59"/>
  <c r="N16" i="4"/>
  <c r="T27" i="59"/>
  <c r="T35" i="59"/>
  <c r="T39" i="59"/>
  <c r="T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C31" i="39"/>
  <c r="B74" i="46"/>
  <c r="E66" i="36"/>
  <c r="H18" i="35"/>
  <c r="J18" i="35"/>
  <c r="H21" i="37"/>
  <c r="J21" i="37"/>
  <c r="E84" i="34"/>
  <c r="F84" i="34"/>
  <c r="G84" i="34"/>
  <c r="J21" i="34"/>
  <c r="H21" i="34"/>
  <c r="F21" i="33"/>
  <c r="H21" i="33"/>
  <c r="J21" i="33"/>
  <c r="F83" i="21"/>
  <c r="H21" i="21"/>
  <c r="G83" i="21"/>
  <c r="J21" i="21"/>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F9" i="1"/>
  <c r="F19" i="4"/>
  <c r="F8"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1"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D124"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F107" i="37"/>
  <c r="G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W36" i="35"/>
  <c r="S31" i="35"/>
  <c r="W31"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F24" i="35"/>
  <c r="AA24" i="35"/>
  <c r="H24" i="35"/>
  <c r="AB24" i="35"/>
  <c r="H23" i="37"/>
  <c r="AB23" i="37"/>
  <c r="J32" i="37"/>
  <c r="AC32" i="37"/>
  <c r="F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c r="AA23" i="37"/>
  <c r="AB44" i="33"/>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AZ54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AZ162" i="3"/>
  <c r="G163" i="3"/>
  <c r="BA165" i="3"/>
  <c r="AZ165" i="3"/>
  <c r="BL166" i="3"/>
  <c r="AZ166" i="3"/>
  <c r="G167" i="3"/>
  <c r="BA169" i="3"/>
  <c r="AZ169" i="3"/>
  <c r="BL170" i="3"/>
  <c r="G171" i="3"/>
  <c r="BA173" i="3"/>
  <c r="AZ173" i="3"/>
  <c r="BL174" i="3"/>
  <c r="AZ174" i="3"/>
  <c r="G175" i="3"/>
  <c r="BA178" i="3"/>
  <c r="AZ178" i="3"/>
  <c r="BL179" i="3"/>
  <c r="AZ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AZ339" i="3"/>
  <c r="BL339" i="3"/>
  <c r="G340" i="3"/>
  <c r="G343" i="3"/>
  <c r="BL344" i="3"/>
  <c r="AZ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70"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AA36" i="35"/>
  <c r="H11" i="37"/>
  <c r="AB11" i="37"/>
  <c r="W37" i="37"/>
  <c r="AA30" i="33"/>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W35" i="40"/>
  <c r="AB32" i="40"/>
  <c r="AC47" i="39"/>
  <c r="S47" i="39"/>
  <c r="U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29" i="12"/>
  <c r="F70" i="9"/>
  <c r="D86" i="9"/>
  <c r="M20" i="44"/>
  <c r="F31" i="43"/>
  <c r="C31" i="43"/>
  <c r="F30" i="44"/>
  <c r="C30" i="44"/>
  <c r="C27"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S14" i="39"/>
  <c r="AB15" i="39"/>
  <c r="U11" i="39"/>
  <c r="U41" i="39"/>
  <c r="U23" i="39"/>
  <c r="AB38" i="39"/>
  <c r="U31" i="39"/>
  <c r="AB31" i="39"/>
  <c r="S38" i="39"/>
  <c r="S22" i="31"/>
  <c r="M20" i="15"/>
  <c r="D96" i="9"/>
  <c r="F28" i="15"/>
  <c r="M18" i="15"/>
  <c r="BA16" i="3"/>
  <c r="BA17" i="3"/>
  <c r="AZ17" i="3"/>
  <c r="F3" i="35"/>
  <c r="K1" i="43"/>
  <c r="K1" i="12"/>
  <c r="G1" i="44"/>
  <c r="G3" i="46"/>
  <c r="AE11" i="46"/>
  <c r="AE13" i="46"/>
  <c r="AZ15" i="3"/>
  <c r="BK5" i="3"/>
  <c r="BO5" i="3"/>
  <c r="BP5" i="3"/>
  <c r="BN5" i="3"/>
  <c r="BL18" i="3"/>
  <c r="AZ18" i="3"/>
  <c r="BC5" i="3"/>
  <c r="E8" i="6"/>
  <c r="E58" i="39"/>
  <c r="BD5" i="3"/>
  <c r="BS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B56" i="46"/>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B46" i="50"/>
  <c r="B4" i="63"/>
  <c r="C46" i="36"/>
  <c r="D46" i="36"/>
  <c r="E46" i="36"/>
  <c r="F46" i="36"/>
  <c r="G46" i="36"/>
  <c r="C59" i="34"/>
  <c r="D59" i="34"/>
  <c r="E59" i="34"/>
  <c r="F59" i="34"/>
  <c r="G59" i="34"/>
  <c r="H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c r="W37" i="40"/>
  <c r="S17" i="40"/>
  <c r="W30" i="40"/>
  <c r="S34" i="40"/>
  <c r="U17" i="40"/>
  <c r="U38" i="40"/>
  <c r="S40" i="40"/>
  <c r="S42" i="40"/>
  <c r="G105" i="39"/>
  <c r="J31" i="39"/>
  <c r="W31" i="39"/>
  <c r="S45" i="39"/>
  <c r="W41" i="39"/>
  <c r="AB43" i="39"/>
  <c r="AB33" i="39"/>
  <c r="AC46" i="39"/>
  <c r="S34" i="39"/>
  <c r="W42" i="39"/>
  <c r="W36" i="39"/>
  <c r="W23"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E7" i="52"/>
  <c r="E6" i="52"/>
  <c r="B14" i="52"/>
  <c r="E21" i="52"/>
  <c r="B22" i="52"/>
  <c r="B13" i="52"/>
  <c r="B5" i="52"/>
  <c r="E8" i="52"/>
  <c r="B11" i="52"/>
  <c r="E16" i="52"/>
  <c r="E4" i="52"/>
  <c r="D24" i="15"/>
  <c r="G6" i="1"/>
  <c r="F29" i="6"/>
  <c r="AJ11" i="46"/>
  <c r="AJ13" i="46"/>
  <c r="AF11" i="46"/>
  <c r="AF13" i="46"/>
  <c r="AG11" i="46"/>
  <c r="AG13" i="46"/>
  <c r="E22" i="46"/>
  <c r="M101" i="46"/>
  <c r="M104" i="46"/>
  <c r="I101" i="46"/>
  <c r="I10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c r="E53" i="40"/>
  <c r="G29" i="6"/>
  <c r="G30" i="6"/>
  <c r="G31" i="6"/>
  <c r="AZ16" i="3"/>
  <c r="F30" i="6"/>
  <c r="H70" i="46"/>
  <c r="H72" i="46"/>
  <c r="A9" i="64"/>
  <c r="A9" i="51"/>
  <c r="B9" i="63"/>
  <c r="E52" i="37"/>
  <c r="F52" i="37"/>
  <c r="E48" i="35"/>
  <c r="F48" i="35"/>
  <c r="G48" i="35"/>
  <c r="W7" i="33"/>
  <c r="AC7" i="33"/>
  <c r="V48" i="33"/>
  <c r="I48" i="33"/>
  <c r="U7" i="33"/>
  <c r="AB7" i="33"/>
  <c r="T48" i="33"/>
  <c r="G48" i="33"/>
  <c r="D67" i="40"/>
  <c r="E65" i="40"/>
  <c r="E67" i="40"/>
  <c r="S7" i="33"/>
  <c r="AA7" i="33"/>
  <c r="R48" i="33"/>
  <c r="E4" i="4"/>
  <c r="B21" i="55"/>
  <c r="B72" i="63"/>
  <c r="E9" i="52"/>
  <c r="C4" i="4"/>
  <c r="G66" i="36"/>
  <c r="J18" i="36"/>
  <c r="AE8" i="1"/>
  <c r="W18" i="36"/>
  <c r="AC18" i="36"/>
  <c r="AG6" i="1"/>
  <c r="E29" i="6"/>
  <c r="E30" i="6"/>
  <c r="K15" i="1"/>
  <c r="B20" i="55"/>
  <c r="B70" i="63"/>
  <c r="F7" i="21"/>
  <c r="S7" i="21"/>
  <c r="J7" i="21"/>
  <c r="H7" i="21"/>
  <c r="U7" i="21"/>
  <c r="J22" i="46"/>
  <c r="AC7" i="21"/>
  <c r="V48" i="21"/>
  <c r="I48" i="21"/>
  <c r="W7" i="21"/>
  <c r="AA7" i="21"/>
  <c r="R48" i="21"/>
  <c r="R9" i="1"/>
  <c r="C45" i="9"/>
  <c r="H14" i="66"/>
  <c r="B7" i="66"/>
  <c r="O40" i="9"/>
  <c r="K31" i="9"/>
  <c r="K32" i="9"/>
  <c r="R7" i="54"/>
  <c r="B52" i="63"/>
  <c r="N76" i="9"/>
  <c r="C46" i="9"/>
  <c r="K33" i="9"/>
  <c r="F8" i="67"/>
  <c r="F12" i="67"/>
  <c r="E11" i="67"/>
  <c r="B13" i="67"/>
  <c r="I3" i="65"/>
  <c r="J6" i="65"/>
  <c r="I6" i="65"/>
  <c r="M27" i="15"/>
  <c r="M28" i="15"/>
  <c r="F39" i="44"/>
  <c r="J36" i="15"/>
  <c r="M28" i="44"/>
  <c r="F8" i="44"/>
  <c r="M31" i="44"/>
  <c r="M30" i="44"/>
  <c r="L49" i="44"/>
  <c r="F9" i="67"/>
  <c r="F13" i="67"/>
  <c r="E10" i="67"/>
  <c r="E14" i="67"/>
  <c r="B8" i="67"/>
  <c r="B10" i="67"/>
  <c r="J7" i="65"/>
  <c r="N6" i="65"/>
  <c r="F11" i="44"/>
  <c r="M25" i="44"/>
  <c r="L48" i="44"/>
  <c r="F10" i="44"/>
  <c r="F40" i="44"/>
  <c r="M23" i="15"/>
  <c r="F45" i="44"/>
  <c r="F43" i="44"/>
  <c r="J15" i="15"/>
  <c r="F46" i="44"/>
  <c r="M21" i="15"/>
  <c r="F10" i="67"/>
  <c r="E9" i="67"/>
  <c r="B9" i="67"/>
  <c r="B11" i="67"/>
  <c r="N3" i="65"/>
  <c r="J17" i="44"/>
  <c r="M10" i="44"/>
  <c r="M8" i="44"/>
  <c r="F11" i="67"/>
  <c r="E12" i="67"/>
  <c r="B12" i="67"/>
  <c r="N5" i="65"/>
  <c r="J3" i="65"/>
  <c r="M24" i="15"/>
  <c r="M29" i="44"/>
  <c r="F9" i="44"/>
  <c r="F33" i="44"/>
  <c r="M24" i="44"/>
  <c r="F31" i="15"/>
  <c r="F14" i="67"/>
  <c r="E13" i="67"/>
  <c r="I7" i="65"/>
  <c r="J4" i="65"/>
  <c r="F18" i="44"/>
  <c r="M26" i="15"/>
  <c r="F28" i="44"/>
  <c r="L47" i="15"/>
  <c r="F38" i="44"/>
  <c r="I4" i="65"/>
  <c r="E8" i="67"/>
  <c r="B14" i="67"/>
  <c r="N7" i="65"/>
  <c r="J5" i="65"/>
  <c r="M11" i="44"/>
  <c r="F15" i="44"/>
  <c r="M26" i="44"/>
  <c r="M22" i="15"/>
  <c r="M29" i="15"/>
  <c r="E5" i="52"/>
  <c r="B6" i="52"/>
  <c r="B16" i="52"/>
  <c r="B23" i="52"/>
  <c r="E10" i="52"/>
  <c r="B8" i="52"/>
  <c r="B4" i="52"/>
  <c r="B9" i="52"/>
  <c r="B10" i="52"/>
  <c r="B7" i="52"/>
  <c r="E11" i="52"/>
  <c r="S29" i="39"/>
  <c r="AA21" i="39"/>
  <c r="AA19" i="39"/>
  <c r="AC17" i="39"/>
  <c r="AB17" i="39"/>
  <c r="Q61" i="69"/>
  <c r="Q74" i="69"/>
  <c r="Q53" i="69"/>
  <c r="Q67" i="69"/>
  <c r="Q58" i="69"/>
  <c r="M107" i="46"/>
  <c r="L27" i="6"/>
  <c r="W34" i="39"/>
  <c r="W29" i="39"/>
  <c r="AB29" i="39"/>
  <c r="W25" i="39"/>
  <c r="S25" i="39"/>
  <c r="AB25" i="39"/>
  <c r="AC21" i="39"/>
  <c r="AC19" i="39"/>
  <c r="AB16" i="39"/>
  <c r="E14" i="6"/>
  <c r="E15" i="6"/>
  <c r="E62" i="40"/>
  <c r="E11" i="6"/>
  <c r="E12" i="6"/>
  <c r="E10" i="6"/>
  <c r="E13" i="6"/>
  <c r="E16" i="6"/>
  <c r="E65" i="39"/>
  <c r="BL5" i="3"/>
  <c r="I104" i="46"/>
  <c r="I106" i="46"/>
  <c r="M16" i="1"/>
  <c r="N16" i="1"/>
  <c r="C29" i="43"/>
  <c r="E67" i="39"/>
  <c r="E60" i="40"/>
  <c r="M109" i="46"/>
  <c r="F27" i="6"/>
  <c r="F31" i="6"/>
  <c r="M106" i="46"/>
  <c r="M102" i="46"/>
  <c r="I103" i="46"/>
  <c r="I105" i="46"/>
  <c r="G22" i="46"/>
  <c r="D101" i="46"/>
  <c r="H101" i="46"/>
  <c r="AC11" i="46"/>
  <c r="AC13" i="46"/>
  <c r="Y11" i="46"/>
  <c r="Y13" i="46"/>
  <c r="A18" i="64"/>
  <c r="B74" i="63"/>
  <c r="C53" i="10"/>
  <c r="L5" i="54"/>
  <c r="B39" i="63"/>
  <c r="K5" i="54"/>
  <c r="A18" i="51"/>
  <c r="B14" i="63"/>
  <c r="T41" i="4"/>
  <c r="A17" i="51"/>
  <c r="B13" i="63"/>
  <c r="A11" i="55"/>
  <c r="B62" i="63"/>
  <c r="AP16" i="1"/>
  <c r="F22" i="11"/>
  <c r="I14" i="66"/>
  <c r="B8" i="66"/>
  <c r="AB7" i="21"/>
  <c r="T48" i="21"/>
  <c r="G48" i="21"/>
  <c r="F65" i="40"/>
  <c r="R49" i="21"/>
  <c r="E48" i="21"/>
  <c r="E48" i="33"/>
  <c r="I53" i="33"/>
  <c r="J53" i="33"/>
  <c r="R49" i="33"/>
  <c r="G52" i="33"/>
  <c r="H52" i="33"/>
  <c r="G53" i="33"/>
  <c r="H53" i="33"/>
  <c r="I52" i="33"/>
  <c r="J52" i="33"/>
  <c r="H46" i="36"/>
  <c r="I46" i="36"/>
  <c r="J46" i="36"/>
  <c r="K46" i="36"/>
  <c r="L46" i="36"/>
  <c r="M46" i="36"/>
  <c r="N46" i="36"/>
  <c r="O46" i="36"/>
  <c r="H48" i="35"/>
  <c r="I48" i="35"/>
  <c r="J48" i="35"/>
  <c r="K48" i="35"/>
  <c r="L48" i="35"/>
  <c r="M48" i="35"/>
  <c r="N48" i="35"/>
  <c r="O48" i="35"/>
  <c r="I59" i="34"/>
  <c r="J59" i="34"/>
  <c r="K59" i="34"/>
  <c r="L59" i="34"/>
  <c r="M59" i="34"/>
  <c r="N59" i="34"/>
  <c r="O59" i="34"/>
  <c r="G52" i="37"/>
  <c r="H52" i="37"/>
  <c r="I52" i="37"/>
  <c r="J52" i="37"/>
  <c r="K52" i="37"/>
  <c r="L52" i="37"/>
  <c r="M52" i="37"/>
  <c r="N52" i="37"/>
  <c r="O52" i="37"/>
  <c r="G52" i="21"/>
  <c r="H52" i="21"/>
  <c r="G53" i="21"/>
  <c r="H53" i="21"/>
  <c r="I53" i="21"/>
  <c r="J53" i="21"/>
  <c r="I52" i="21"/>
  <c r="J52" i="21"/>
  <c r="H22" i="46"/>
  <c r="AB11" i="46"/>
  <c r="AB13" i="46"/>
  <c r="AI11" i="46"/>
  <c r="AI13" i="46"/>
  <c r="AA11" i="46"/>
  <c r="AA13" i="46"/>
  <c r="C23" i="46"/>
  <c r="C21" i="46"/>
  <c r="AH11" i="46"/>
  <c r="AD11" i="46"/>
  <c r="Z11" i="46"/>
  <c r="Z13" i="46"/>
  <c r="F101" i="46"/>
  <c r="N101" i="46"/>
  <c r="K101" i="46"/>
  <c r="Z7" i="46"/>
  <c r="E101" i="46"/>
  <c r="F22" i="46"/>
  <c r="L101" i="46"/>
  <c r="N104" i="45"/>
  <c r="B113" i="46"/>
  <c r="J101" i="46"/>
  <c r="G101" i="46"/>
  <c r="C101" i="46"/>
  <c r="O41" i="9"/>
  <c r="R8" i="54"/>
  <c r="B54" i="63"/>
  <c r="K16" i="1"/>
  <c r="D12" i="11"/>
  <c r="C12" i="11"/>
  <c r="M105" i="46"/>
  <c r="M103" i="46"/>
  <c r="I107" i="46"/>
  <c r="I109" i="46"/>
  <c r="F7" i="37"/>
  <c r="H7" i="36"/>
  <c r="J7" i="35"/>
  <c r="J7" i="34"/>
  <c r="H16" i="1"/>
  <c r="AZ299" i="3"/>
  <c r="AZ377" i="3"/>
  <c r="AA10" i="35"/>
  <c r="S10" i="35"/>
  <c r="AZ558" i="3"/>
  <c r="W24" i="36"/>
  <c r="AC24" i="36"/>
  <c r="S33" i="40"/>
  <c r="AC14" i="40"/>
  <c r="F71" i="9"/>
  <c r="F66" i="9"/>
  <c r="P72" i="9"/>
  <c r="S36" i="37"/>
  <c r="AA36" i="37"/>
  <c r="W41" i="34"/>
  <c r="AC41" i="34"/>
  <c r="AZ520" i="3"/>
  <c r="S12" i="21"/>
  <c r="AA12" i="21"/>
  <c r="W24" i="35"/>
  <c r="AC24" i="35"/>
  <c r="H5" i="3"/>
  <c r="H24" i="36"/>
  <c r="AZ392" i="3"/>
  <c r="AZ397" i="3"/>
  <c r="AZ408" i="3"/>
  <c r="AZ413" i="3"/>
  <c r="AZ424" i="3"/>
  <c r="AZ437" i="3"/>
  <c r="AZ451" i="3"/>
  <c r="AZ457" i="3"/>
  <c r="AZ470" i="3"/>
  <c r="AZ473" i="3"/>
  <c r="AZ318" i="3"/>
  <c r="AZ334" i="3"/>
  <c r="AZ350" i="3"/>
  <c r="AZ208" i="3"/>
  <c r="AZ211" i="3"/>
  <c r="AZ224" i="3"/>
  <c r="AZ227" i="3"/>
  <c r="AZ240" i="3"/>
  <c r="AZ243" i="3"/>
  <c r="AZ256" i="3"/>
  <c r="AZ259" i="3"/>
  <c r="S27" i="37"/>
  <c r="U28" i="21"/>
  <c r="S45" i="21"/>
  <c r="AA27" i="33"/>
  <c r="W31" i="34"/>
  <c r="AB14" i="21"/>
  <c r="U46" i="21"/>
  <c r="AB13" i="21"/>
  <c r="AB40" i="37"/>
  <c r="W46" i="33"/>
  <c r="W35" i="35"/>
  <c r="S22" i="35"/>
  <c r="U9" i="21"/>
  <c r="F34" i="35"/>
  <c r="H34" i="35"/>
  <c r="G553" i="3"/>
  <c r="G548" i="3"/>
  <c r="A30" i="64"/>
  <c r="A30" i="51"/>
  <c r="B22" i="63"/>
  <c r="AZ277" i="3"/>
  <c r="AZ293" i="3"/>
  <c r="AZ117" i="3"/>
  <c r="AZ120"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T43" i="59"/>
  <c r="D43" i="59"/>
  <c r="I21" i="57"/>
  <c r="D1" i="57"/>
  <c r="E10" i="57"/>
  <c r="B54" i="46"/>
  <c r="C27" i="40"/>
  <c r="S27" i="40"/>
  <c r="S21" i="34"/>
  <c r="S18" i="35"/>
  <c r="AB10" i="59"/>
  <c r="Y11" i="59"/>
  <c r="Z11" i="59"/>
  <c r="Y9" i="59"/>
  <c r="Z9" i="59"/>
  <c r="X11" i="59"/>
  <c r="C14" i="59"/>
  <c r="X14" i="59"/>
  <c r="Y16" i="59"/>
  <c r="Z16" i="59"/>
  <c r="C17" i="59"/>
  <c r="AA17" i="59"/>
  <c r="AA18" i="59"/>
  <c r="AA19" i="59"/>
  <c r="C22" i="59"/>
  <c r="AA20" i="59"/>
  <c r="E21" i="59"/>
  <c r="E22" i="59"/>
  <c r="E23" i="59"/>
  <c r="U23" i="59"/>
  <c r="AA21" i="59"/>
  <c r="T55" i="59"/>
  <c r="C54" i="59"/>
  <c r="B11" i="59"/>
  <c r="X7" i="59"/>
  <c r="X8" i="59"/>
  <c r="X10" i="59"/>
  <c r="X6" i="59"/>
  <c r="AA7" i="59"/>
  <c r="E11" i="59"/>
  <c r="AA3" i="59"/>
  <c r="AA9" i="59"/>
  <c r="AA11" i="59"/>
  <c r="F13" i="59"/>
  <c r="F14" i="59"/>
  <c r="F15" i="59"/>
  <c r="V15" i="59"/>
  <c r="AB3" i="59"/>
  <c r="AB9" i="59"/>
  <c r="AB12" i="59"/>
  <c r="B17" i="59"/>
  <c r="B18" i="59"/>
  <c r="B19" i="59"/>
  <c r="S19" i="59"/>
  <c r="X16" i="59"/>
  <c r="F21" i="59"/>
  <c r="F22" i="59"/>
  <c r="F23" i="59"/>
  <c r="V23" i="59"/>
  <c r="AB20" i="59"/>
  <c r="C30" i="59"/>
  <c r="D30" i="59"/>
  <c r="D29" i="59"/>
  <c r="Q49" i="59"/>
  <c r="Q48" i="59"/>
  <c r="O51" i="59"/>
  <c r="C50" i="59"/>
  <c r="D11" i="59"/>
  <c r="T11" i="59"/>
  <c r="C10" i="59"/>
  <c r="A28" i="51"/>
  <c r="A28" i="64"/>
  <c r="C5" i="59"/>
  <c r="D5" i="59"/>
  <c r="D6" i="59"/>
  <c r="K77" i="9"/>
  <c r="K79" i="9"/>
  <c r="K81" i="9"/>
  <c r="AA6" i="59"/>
  <c r="E7" i="59"/>
  <c r="X5" i="59"/>
  <c r="AA5" i="59"/>
  <c r="Y12" i="59"/>
  <c r="Z12" i="59"/>
  <c r="X13" i="59"/>
  <c r="AA14" i="59"/>
  <c r="X15" i="59"/>
  <c r="AA16" i="59"/>
  <c r="AB17" i="59"/>
  <c r="Y18" i="59"/>
  <c r="Z18" i="59"/>
  <c r="AB19" i="59"/>
  <c r="Y20" i="59"/>
  <c r="Z20" i="59"/>
  <c r="AD12" i="46"/>
  <c r="AH12" i="46"/>
  <c r="AH13" i="46"/>
  <c r="D7" i="59"/>
  <c r="Y6" i="59"/>
  <c r="Z6" i="59"/>
  <c r="Y7" i="59"/>
  <c r="Z7" i="59"/>
  <c r="AB6" i="59"/>
  <c r="AB7" i="59"/>
  <c r="F7" i="59"/>
  <c r="Y5" i="59"/>
  <c r="Z5" i="59"/>
  <c r="AB5" i="59"/>
  <c r="F62" i="15"/>
  <c r="C61" i="15"/>
  <c r="J20" i="15"/>
  <c r="Q73" i="44"/>
  <c r="F70" i="15"/>
  <c r="F64" i="15"/>
  <c r="M9" i="44"/>
  <c r="J8" i="44"/>
  <c r="F67" i="15"/>
  <c r="L60" i="44"/>
  <c r="L59" i="44"/>
  <c r="J1" i="65"/>
  <c r="E20" i="46"/>
  <c r="J54" i="44"/>
  <c r="J58" i="44"/>
  <c r="J56" i="44"/>
  <c r="J59" i="44"/>
  <c r="Q52" i="44"/>
  <c r="J61" i="44"/>
  <c r="Q50" i="44"/>
  <c r="I55" i="44"/>
  <c r="J60" i="44"/>
  <c r="L57" i="44"/>
  <c r="I54" i="15"/>
  <c r="L56" i="15"/>
  <c r="J57" i="15"/>
  <c r="J55" i="15"/>
  <c r="J58" i="15"/>
  <c r="Q51" i="15"/>
  <c r="F65" i="15"/>
  <c r="F50" i="15"/>
  <c r="L58" i="15"/>
  <c r="L59" i="15"/>
  <c r="C8" i="44"/>
  <c r="F49" i="15"/>
  <c r="C29" i="44"/>
  <c r="F63" i="15"/>
  <c r="Q72" i="15"/>
  <c r="I1" i="65"/>
  <c r="M19" i="44"/>
  <c r="C18" i="44"/>
  <c r="E3" i="65"/>
  <c r="M17" i="15"/>
  <c r="F58" i="15"/>
  <c r="U13" i="39"/>
  <c r="W13" i="39"/>
  <c r="M44" i="9"/>
  <c r="M43" i="9"/>
  <c r="E64" i="39"/>
  <c r="E59" i="40"/>
  <c r="E58" i="40"/>
  <c r="E63" i="39"/>
  <c r="E66" i="39"/>
  <c r="E61" i="40"/>
  <c r="L16" i="1"/>
  <c r="C13" i="43"/>
  <c r="C17" i="43"/>
  <c r="H102" i="46"/>
  <c r="H107" i="46"/>
  <c r="H103" i="46"/>
  <c r="H104" i="46"/>
  <c r="H105" i="46"/>
  <c r="H106" i="46"/>
  <c r="H109" i="46"/>
  <c r="D22" i="46"/>
  <c r="AD13" i="46"/>
  <c r="D102" i="46"/>
  <c r="D104" i="46"/>
  <c r="D109" i="46"/>
  <c r="D103" i="46"/>
  <c r="D106" i="46"/>
  <c r="D105" i="46"/>
  <c r="D107" i="46"/>
  <c r="A17" i="64"/>
  <c r="B38" i="63"/>
  <c r="A3" i="55"/>
  <c r="B56" i="63"/>
  <c r="A25" i="64"/>
  <c r="A25" i="51"/>
  <c r="B18" i="63"/>
  <c r="G65" i="40"/>
  <c r="F67" i="40"/>
  <c r="E6" i="59"/>
  <c r="E5" i="59"/>
  <c r="U7" i="59"/>
  <c r="N4" i="63"/>
  <c r="B21" i="63"/>
  <c r="O50" i="59"/>
  <c r="C49" i="59"/>
  <c r="D50" i="59"/>
  <c r="D54" i="59"/>
  <c r="C53" i="59"/>
  <c r="D53" i="59"/>
  <c r="C15" i="59"/>
  <c r="D14" i="59"/>
  <c r="E548" i="3"/>
  <c r="AB34" i="35"/>
  <c r="U34" i="35"/>
  <c r="AB24" i="36"/>
  <c r="U24" i="36"/>
  <c r="W7" i="34"/>
  <c r="AC7" i="34"/>
  <c r="V49" i="34"/>
  <c r="I49" i="34"/>
  <c r="W7" i="35"/>
  <c r="AC7" i="35"/>
  <c r="V38" i="35"/>
  <c r="I38" i="35"/>
  <c r="U7" i="36"/>
  <c r="AB7" i="36"/>
  <c r="T36" i="36"/>
  <c r="G36" i="36"/>
  <c r="F24" i="43"/>
  <c r="C26" i="43"/>
  <c r="D24" i="43"/>
  <c r="F18" i="11"/>
  <c r="C18" i="11"/>
  <c r="AA7" i="37"/>
  <c r="R42" i="37"/>
  <c r="S7" i="37"/>
  <c r="C104" i="46"/>
  <c r="C107" i="46"/>
  <c r="C102" i="46"/>
  <c r="C106" i="46"/>
  <c r="C105" i="46"/>
  <c r="C109" i="46"/>
  <c r="C103" i="46"/>
  <c r="J107" i="46"/>
  <c r="J105" i="46"/>
  <c r="J109" i="46"/>
  <c r="J102" i="46"/>
  <c r="J104" i="46"/>
  <c r="J103" i="46"/>
  <c r="J106" i="46"/>
  <c r="N109" i="46"/>
  <c r="N105" i="46"/>
  <c r="N102" i="46"/>
  <c r="N107" i="46"/>
  <c r="N103" i="46"/>
  <c r="N104" i="46"/>
  <c r="N106" i="46"/>
  <c r="E52" i="33"/>
  <c r="F52" i="33"/>
  <c r="E53" i="33"/>
  <c r="F53" i="33"/>
  <c r="C48" i="21"/>
  <c r="C49" i="21"/>
  <c r="B3" i="21"/>
  <c r="B2" i="21"/>
  <c r="F6" i="59"/>
  <c r="F5" i="59"/>
  <c r="V7" i="59"/>
  <c r="D10" i="59"/>
  <c r="C9" i="59"/>
  <c r="D9" i="59"/>
  <c r="U11" i="59"/>
  <c r="E10" i="59"/>
  <c r="E9" i="59"/>
  <c r="S11" i="59"/>
  <c r="B10" i="59"/>
  <c r="B9" i="59"/>
  <c r="C23" i="59"/>
  <c r="D22" i="59"/>
  <c r="D17" i="59"/>
  <c r="C18" i="59"/>
  <c r="E553" i="3"/>
  <c r="S34" i="35"/>
  <c r="AA34" i="35"/>
  <c r="O16" i="1"/>
  <c r="H7" i="34"/>
  <c r="H7" i="35"/>
  <c r="J7" i="36"/>
  <c r="H7" i="37"/>
  <c r="G104" i="46"/>
  <c r="G102" i="46"/>
  <c r="G107" i="46"/>
  <c r="G109" i="46"/>
  <c r="G105" i="46"/>
  <c r="G103" i="46"/>
  <c r="G106" i="46"/>
  <c r="I116" i="46"/>
  <c r="J116" i="46"/>
  <c r="K116" i="46"/>
  <c r="L116" i="46"/>
  <c r="M116" i="46"/>
  <c r="I117" i="46"/>
  <c r="J117" i="46"/>
  <c r="K117" i="46"/>
  <c r="L117" i="46"/>
  <c r="M117" i="46"/>
  <c r="B115" i="46"/>
  <c r="B116" i="46"/>
  <c r="C116" i="46"/>
  <c r="G118" i="46"/>
  <c r="H118" i="46"/>
  <c r="D117" i="46"/>
  <c r="E117" i="46"/>
  <c r="F117" i="46"/>
  <c r="G117" i="46"/>
  <c r="H117" i="46"/>
  <c r="I118" i="46"/>
  <c r="J118" i="46"/>
  <c r="K118" i="46"/>
  <c r="L118" i="46"/>
  <c r="M118" i="46"/>
  <c r="D118" i="46"/>
  <c r="E118" i="46"/>
  <c r="F118" i="46"/>
  <c r="I115" i="46"/>
  <c r="J115" i="46"/>
  <c r="K115" i="46"/>
  <c r="L115" i="46"/>
  <c r="M115" i="46"/>
  <c r="B117" i="46"/>
  <c r="C117" i="46"/>
  <c r="D115" i="46"/>
  <c r="E115" i="46"/>
  <c r="F115" i="46"/>
  <c r="G115" i="46"/>
  <c r="H115" i="46"/>
  <c r="D116" i="46"/>
  <c r="E116" i="46"/>
  <c r="F116" i="46"/>
  <c r="G116" i="46"/>
  <c r="H116" i="46"/>
  <c r="B118" i="46"/>
  <c r="C118" i="46"/>
  <c r="L102" i="46"/>
  <c r="L105" i="46"/>
  <c r="L104" i="46"/>
  <c r="L106" i="46"/>
  <c r="L103" i="46"/>
  <c r="L107" i="46"/>
  <c r="L109" i="46"/>
  <c r="E104" i="46"/>
  <c r="E106" i="46"/>
  <c r="E105" i="46"/>
  <c r="E109" i="46"/>
  <c r="E103" i="46"/>
  <c r="E107" i="46"/>
  <c r="E102" i="46"/>
  <c r="K107" i="46"/>
  <c r="K104" i="46"/>
  <c r="K103" i="46"/>
  <c r="K109" i="46"/>
  <c r="K105" i="46"/>
  <c r="K102" i="46"/>
  <c r="K106" i="46"/>
  <c r="F106" i="46"/>
  <c r="F103" i="46"/>
  <c r="F105" i="46"/>
  <c r="F102" i="46"/>
  <c r="F109" i="46"/>
  <c r="F107" i="46"/>
  <c r="F104" i="46"/>
  <c r="J7" i="37"/>
  <c r="F7" i="34"/>
  <c r="F7" i="35"/>
  <c r="F7" i="36"/>
  <c r="C49" i="33"/>
  <c r="B3" i="33"/>
  <c r="B2" i="33"/>
  <c r="C48" i="33"/>
  <c r="E53" i="21"/>
  <c r="F53" i="21"/>
  <c r="E52" i="21"/>
  <c r="F52" i="21"/>
  <c r="K34" i="9"/>
  <c r="F17" i="11"/>
  <c r="C17" i="11"/>
  <c r="Q74" i="15"/>
  <c r="Q61" i="15"/>
  <c r="P17" i="46"/>
  <c r="N17" i="46"/>
  <c r="O17" i="46"/>
  <c r="M17" i="46"/>
  <c r="Q75" i="44"/>
  <c r="Q62" i="44"/>
  <c r="Q75" i="15"/>
  <c r="Q62" i="15"/>
  <c r="C48" i="15"/>
  <c r="Q53" i="15"/>
  <c r="F1" i="44"/>
  <c r="Q54" i="44"/>
  <c r="M13" i="44"/>
  <c r="J12" i="44"/>
  <c r="J7" i="44"/>
  <c r="F13" i="44"/>
  <c r="C12" i="44"/>
  <c r="C7" i="44"/>
  <c r="Q76" i="44"/>
  <c r="Q63" i="44"/>
  <c r="Q50" i="69"/>
  <c r="F68" i="69"/>
  <c r="J24" i="69"/>
  <c r="J18" i="69"/>
  <c r="C52" i="69"/>
  <c r="C47" i="69"/>
  <c r="F68" i="15"/>
  <c r="C19" i="11"/>
  <c r="C20" i="11"/>
  <c r="C21" i="11"/>
  <c r="C22" i="11"/>
  <c r="C23" i="11"/>
  <c r="B2" i="11"/>
  <c r="C14" i="43"/>
  <c r="E31" i="6"/>
  <c r="K21" i="6"/>
  <c r="K23" i="6"/>
  <c r="M23" i="6"/>
  <c r="I23" i="6"/>
  <c r="S23" i="6"/>
  <c r="K24" i="6"/>
  <c r="M24" i="6"/>
  <c r="I24" i="6"/>
  <c r="S24" i="6"/>
  <c r="K25" i="6"/>
  <c r="M25" i="6"/>
  <c r="I25" i="6"/>
  <c r="S25" i="6"/>
  <c r="K22" i="6"/>
  <c r="M22" i="6"/>
  <c r="I22" i="6"/>
  <c r="S22" i="6"/>
  <c r="K26" i="6"/>
  <c r="M26" i="6"/>
  <c r="I26" i="6"/>
  <c r="S26" i="6"/>
  <c r="S7" i="46"/>
  <c r="S2" i="46"/>
  <c r="S3" i="46"/>
  <c r="S4" i="46"/>
  <c r="S6" i="46"/>
  <c r="S5" i="46"/>
  <c r="H65" i="40"/>
  <c r="G67" i="40"/>
  <c r="AA7" i="36"/>
  <c r="R36" i="36"/>
  <c r="S7" i="36"/>
  <c r="S7" i="34"/>
  <c r="AA7" i="34"/>
  <c r="R49" i="34"/>
  <c r="C115" i="46"/>
  <c r="D113" i="46"/>
  <c r="AB7" i="37"/>
  <c r="T42" i="37"/>
  <c r="G42" i="37"/>
  <c r="U7" i="37"/>
  <c r="U7" i="35"/>
  <c r="AB7" i="35"/>
  <c r="T38" i="35"/>
  <c r="G38" i="35"/>
  <c r="T23" i="59"/>
  <c r="D23" i="59"/>
  <c r="E42" i="37"/>
  <c r="R43" i="37"/>
  <c r="G40" i="36"/>
  <c r="H40" i="36"/>
  <c r="I42" i="35"/>
  <c r="J42" i="35"/>
  <c r="I53" i="34"/>
  <c r="J53" i="34"/>
  <c r="T15" i="59"/>
  <c r="D15" i="59"/>
  <c r="O49" i="59"/>
  <c r="O48" i="59"/>
  <c r="D49" i="59"/>
  <c r="AA7" i="35"/>
  <c r="R38" i="35"/>
  <c r="S7" i="35"/>
  <c r="W7" i="37"/>
  <c r="AC7" i="37"/>
  <c r="V42" i="37"/>
  <c r="I42" i="37"/>
  <c r="AC7" i="36"/>
  <c r="V36" i="36"/>
  <c r="I36" i="36"/>
  <c r="W7" i="36"/>
  <c r="U7" i="34"/>
  <c r="AB7" i="34"/>
  <c r="T49" i="34"/>
  <c r="G49" i="34"/>
  <c r="C19" i="59"/>
  <c r="D18" i="59"/>
  <c r="E413"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J20" i="44"/>
  <c r="J28" i="44"/>
  <c r="J31" i="44"/>
  <c r="J26" i="44"/>
  <c r="C40" i="44"/>
  <c r="C34" i="44"/>
  <c r="J18" i="15"/>
  <c r="J24" i="15"/>
  <c r="F21" i="43"/>
  <c r="F26" i="44"/>
  <c r="C26" i="44"/>
  <c r="C52" i="15"/>
  <c r="C47" i="15"/>
  <c r="L52" i="44"/>
  <c r="J14" i="69"/>
  <c r="J22" i="69"/>
  <c r="C56" i="69"/>
  <c r="C63" i="69"/>
  <c r="C55" i="69"/>
  <c r="C64" i="69"/>
  <c r="J19" i="69"/>
  <c r="J17" i="69"/>
  <c r="Q71" i="69"/>
  <c r="C60" i="69"/>
  <c r="C59" i="69"/>
  <c r="C65" i="69"/>
  <c r="S20" i="6"/>
  <c r="M21" i="6"/>
  <c r="I21" i="6"/>
  <c r="S21" i="6"/>
  <c r="K27" i="6"/>
  <c r="AC6" i="3"/>
  <c r="H6" i="3"/>
  <c r="H67" i="40"/>
  <c r="I65" i="40"/>
  <c r="T19" i="59"/>
  <c r="D19" i="59"/>
  <c r="I40" i="36"/>
  <c r="J40" i="36"/>
  <c r="R39" i="35"/>
  <c r="E38" i="35"/>
  <c r="M20" i="46"/>
  <c r="C1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10" i="3"/>
  <c r="AY400" i="3"/>
  <c r="AY295" i="3"/>
  <c r="AY302" i="3"/>
  <c r="AY342" i="3"/>
  <c r="AY450" i="3"/>
  <c r="AY101" i="3"/>
  <c r="AY132" i="3"/>
  <c r="AY122" i="3"/>
  <c r="AY279" i="3"/>
  <c r="AY382" i="3"/>
  <c r="AY305" i="3"/>
  <c r="AY420" i="3"/>
  <c r="AY457" i="3"/>
  <c r="AY405" i="3"/>
  <c r="AY555" i="3"/>
  <c r="AY412" i="3"/>
  <c r="AY278" i="3"/>
  <c r="BC6" i="3"/>
  <c r="AY442" i="3"/>
  <c r="AY143" i="3"/>
  <c r="AY43" i="3"/>
  <c r="AY157" i="3"/>
  <c r="AY572" i="3"/>
  <c r="AY308" i="3"/>
  <c r="AY501" i="3"/>
  <c r="AY35" i="3"/>
  <c r="AY91" i="3"/>
  <c r="AY124" i="3"/>
  <c r="AY236" i="3"/>
  <c r="AY481" i="3"/>
  <c r="AY516" i="3"/>
  <c r="AY273" i="3"/>
  <c r="AY428" i="3"/>
  <c r="AY494" i="3"/>
  <c r="AY526" i="3"/>
  <c r="AY567" i="3"/>
  <c r="AY40" i="3"/>
  <c r="AY276" i="3"/>
  <c r="AY401" i="3"/>
  <c r="AY538" i="3"/>
  <c r="AY488" i="3"/>
  <c r="AY215" i="3"/>
  <c r="AY436" i="3"/>
  <c r="AY495" i="3"/>
  <c r="AY513" i="3"/>
  <c r="AY568" i="3"/>
  <c r="AY61" i="3"/>
  <c r="AY113" i="3"/>
  <c r="AY267" i="3"/>
  <c r="AY347" i="3"/>
  <c r="AY451" i="3"/>
  <c r="AY395" i="3"/>
  <c r="AY192" i="3"/>
  <c r="AY296" i="3"/>
  <c r="AY345" i="3"/>
  <c r="AY54" i="3"/>
  <c r="AY189" i="3"/>
  <c r="AY387" i="3"/>
  <c r="AY353" i="3"/>
  <c r="AY470" i="3"/>
  <c r="AY460" i="3"/>
  <c r="AY393" i="3"/>
  <c r="AY410" i="3"/>
  <c r="AY338" i="3"/>
  <c r="AY119" i="3"/>
  <c r="AY434" i="3"/>
  <c r="AY312" i="3"/>
  <c r="AY59" i="3"/>
  <c r="AY284" i="3"/>
  <c r="AY533" i="3"/>
  <c r="AY444" i="3"/>
  <c r="AY490" i="3"/>
  <c r="AY512" i="3"/>
  <c r="AY547" i="3"/>
  <c r="AY89" i="3"/>
  <c r="AY134" i="3"/>
  <c r="AY306" i="3"/>
  <c r="AY313" i="3"/>
  <c r="AY455" i="3"/>
  <c r="AY130" i="3"/>
  <c r="AY261" i="3"/>
  <c r="AY33" i="3"/>
  <c r="AY243" i="3"/>
  <c r="AY332" i="3"/>
  <c r="AY473" i="3"/>
  <c r="AY462" i="3"/>
  <c r="AY551" i="3"/>
  <c r="AY51" i="3"/>
  <c r="AY165" i="3"/>
  <c r="AY301" i="3"/>
  <c r="AY570" i="3"/>
  <c r="AY466" i="3"/>
  <c r="AY511" i="3"/>
  <c r="AY439" i="3"/>
  <c r="AY536" i="3"/>
  <c r="AY521" i="3"/>
  <c r="AY474" i="3"/>
  <c r="AY354" i="3"/>
  <c r="AY482" i="3"/>
  <c r="AY517" i="3"/>
  <c r="AY292" i="3"/>
  <c r="AY535" i="3"/>
  <c r="AY452"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81" i="3"/>
  <c r="AY30" i="3"/>
  <c r="AY155" i="3"/>
  <c r="AY161" i="3"/>
  <c r="AY230" i="3"/>
  <c r="AY340" i="3"/>
  <c r="AY542" i="3"/>
  <c r="AY194" i="3"/>
  <c r="AY272" i="3"/>
  <c r="AY307" i="3"/>
  <c r="AY16" i="3"/>
  <c r="AY438" i="3"/>
  <c r="AY429" i="3"/>
  <c r="AY188" i="3"/>
  <c r="AY336" i="3"/>
  <c r="AY201" i="3"/>
  <c r="AY253" i="3"/>
  <c r="AY543" i="3"/>
  <c r="AY352" i="3"/>
  <c r="AY330" i="3"/>
  <c r="AY528" i="3"/>
  <c r="AY99" i="3"/>
  <c r="AY449" i="3"/>
  <c r="AY525" i="3"/>
  <c r="AY207" i="3"/>
  <c r="BD6" i="3"/>
  <c r="AY510" i="3"/>
  <c r="AY566" i="3"/>
  <c r="AY48" i="3"/>
  <c r="AY212" i="3"/>
  <c r="AY19" i="3"/>
  <c r="AY281" i="3"/>
  <c r="BB6" i="3"/>
  <c r="AY534" i="3"/>
  <c r="AY322" i="3"/>
  <c r="AY251" i="3"/>
  <c r="AY557" i="3"/>
  <c r="AY23" i="3"/>
  <c r="AY363" i="3"/>
  <c r="AY478" i="3"/>
  <c r="AY237" i="3"/>
  <c r="AY545" i="3"/>
  <c r="AY418" i="3"/>
  <c r="AY173" i="3"/>
  <c r="AY339" i="3"/>
  <c r="BO6" i="3"/>
  <c r="AY56" i="3"/>
  <c r="AY433" i="3"/>
  <c r="AY289" i="3"/>
  <c r="AY522" i="3"/>
  <c r="AY79" i="3"/>
  <c r="AY93" i="3"/>
  <c r="AY210" i="3"/>
  <c r="AY419" i="3"/>
  <c r="AY102" i="3"/>
  <c r="AY297" i="3"/>
  <c r="AY125" i="3"/>
  <c r="BG6" i="3"/>
  <c r="AY426" i="3"/>
  <c r="AY196" i="3"/>
  <c r="AY373" i="3"/>
  <c r="AY541" i="3"/>
  <c r="AY94" i="3"/>
  <c r="AY167" i="3"/>
  <c r="AY255" i="3"/>
  <c r="AY496" i="3"/>
  <c r="AY180" i="3"/>
  <c r="BJ6" i="3"/>
  <c r="AY477" i="3"/>
  <c r="BE6" i="3"/>
  <c r="AY441" i="3"/>
  <c r="AY121" i="3"/>
  <c r="AY523" i="3"/>
  <c r="G41" i="36"/>
  <c r="H41" i="36"/>
  <c r="C43" i="37"/>
  <c r="B3" i="37"/>
  <c r="B2" i="37"/>
  <c r="C42" i="37"/>
  <c r="G47" i="37"/>
  <c r="H47" i="37"/>
  <c r="G46" i="37"/>
  <c r="H46" i="37"/>
  <c r="E36" i="36"/>
  <c r="I41" i="36"/>
  <c r="J41" i="36"/>
  <c r="R37" i="36"/>
  <c r="G53" i="34"/>
  <c r="H53" i="34"/>
  <c r="G54" i="34"/>
  <c r="H54" i="34"/>
  <c r="I46" i="37"/>
  <c r="J46" i="37"/>
  <c r="I47" i="37"/>
  <c r="J47" i="37"/>
  <c r="L38" i="9"/>
  <c r="B14" i="66"/>
  <c r="B1" i="66"/>
  <c r="D16" i="43"/>
  <c r="C16" i="43"/>
  <c r="C18" i="43"/>
  <c r="D10" i="11"/>
  <c r="C21" i="4"/>
  <c r="O5" i="54"/>
  <c r="B45" i="63"/>
  <c r="D45" i="9"/>
  <c r="D46" i="9"/>
  <c r="E46" i="37"/>
  <c r="F46" i="37"/>
  <c r="E47" i="37"/>
  <c r="F47" i="37"/>
  <c r="G42" i="35"/>
  <c r="H42" i="35"/>
  <c r="G43" i="35"/>
  <c r="H43" i="35"/>
  <c r="R50" i="34"/>
  <c r="E49" i="34"/>
  <c r="Q69" i="44"/>
  <c r="L58" i="44"/>
  <c r="L61" i="44"/>
  <c r="L47" i="44"/>
  <c r="B3" i="11"/>
  <c r="B5" i="11"/>
  <c r="B4" i="11"/>
  <c r="C59" i="15"/>
  <c r="C65" i="15"/>
  <c r="C23" i="43"/>
  <c r="D21" i="43"/>
  <c r="Q67" i="44"/>
  <c r="Q49" i="44"/>
  <c r="Q55" i="44"/>
  <c r="Q58" i="44"/>
  <c r="C19" i="44"/>
  <c r="C58" i="69"/>
  <c r="C57" i="69"/>
  <c r="C66" i="69"/>
  <c r="C67" i="69"/>
  <c r="J35" i="69"/>
  <c r="J13" i="69"/>
  <c r="J23" i="69"/>
  <c r="J39" i="69"/>
  <c r="J40" i="69"/>
  <c r="J16" i="69"/>
  <c r="J25" i="69"/>
  <c r="T8" i="1"/>
  <c r="T10" i="1"/>
  <c r="T11" i="1"/>
  <c r="T13" i="1"/>
  <c r="T9" i="1"/>
  <c r="T12" i="1"/>
  <c r="M27" i="6"/>
  <c r="E6" i="3"/>
  <c r="J65" i="40"/>
  <c r="I67" i="40"/>
  <c r="E54" i="34"/>
  <c r="F54" i="34"/>
  <c r="E53" i="34"/>
  <c r="F53" i="34"/>
  <c r="I54" i="34"/>
  <c r="J54" i="34"/>
  <c r="D13" i="11"/>
  <c r="C13" i="11"/>
  <c r="C37" i="36"/>
  <c r="B3" i="36"/>
  <c r="B2" i="36"/>
  <c r="C36" i="36"/>
  <c r="C36" i="46"/>
  <c r="C35" i="46"/>
  <c r="C34" i="46"/>
  <c r="C33" i="46"/>
  <c r="T3" i="46"/>
  <c r="V3" i="46"/>
  <c r="T4" i="46"/>
  <c r="V4" i="46"/>
  <c r="T6" i="46"/>
  <c r="V6" i="46"/>
  <c r="T8" i="46"/>
  <c r="V8" i="46"/>
  <c r="T10" i="46"/>
  <c r="V10" i="46"/>
  <c r="T12" i="46"/>
  <c r="V12" i="46"/>
  <c r="T14" i="46"/>
  <c r="V14" i="46"/>
  <c r="T16" i="46"/>
  <c r="V16" i="46"/>
  <c r="T5" i="46"/>
  <c r="V5" i="46"/>
  <c r="T9" i="46"/>
  <c r="V9" i="46"/>
  <c r="T11" i="46"/>
  <c r="V11" i="46"/>
  <c r="T13" i="46"/>
  <c r="V13" i="46"/>
  <c r="T15" i="46"/>
  <c r="V15" i="46"/>
  <c r="C38" i="46"/>
  <c r="C29" i="46"/>
  <c r="T7" i="46"/>
  <c r="V7" i="46"/>
  <c r="C39" i="46"/>
  <c r="C37" i="46"/>
  <c r="T2" i="46"/>
  <c r="V2" i="46"/>
  <c r="C38" i="35"/>
  <c r="C39" i="35"/>
  <c r="B3" i="35"/>
  <c r="B2" i="35"/>
  <c r="C49" i="34"/>
  <c r="C50" i="34"/>
  <c r="B3" i="34"/>
  <c r="B2" i="34"/>
  <c r="C19" i="43"/>
  <c r="C22" i="43"/>
  <c r="C21" i="43"/>
  <c r="C8" i="66"/>
  <c r="C7" i="66"/>
  <c r="E41" i="36"/>
  <c r="F41" i="36"/>
  <c r="E40" i="36"/>
  <c r="F40" i="36"/>
  <c r="E68" i="39"/>
  <c r="K38" i="9"/>
  <c r="C14" i="66"/>
  <c r="B2" i="66"/>
  <c r="D24" i="6"/>
  <c r="D26" i="6"/>
  <c r="D22" i="6"/>
  <c r="D11" i="6"/>
  <c r="D12" i="6"/>
  <c r="H25" i="6"/>
  <c r="D9" i="6"/>
  <c r="D5" i="6"/>
  <c r="D29" i="6"/>
  <c r="H22" i="6"/>
  <c r="D15" i="6"/>
  <c r="H26" i="6"/>
  <c r="D21" i="6"/>
  <c r="D10" i="6"/>
  <c r="H21" i="6"/>
  <c r="D6" i="6"/>
  <c r="D14" i="6"/>
  <c r="D28" i="6"/>
  <c r="D30" i="6"/>
  <c r="H23" i="6"/>
  <c r="E46" i="9"/>
  <c r="E63" i="40"/>
  <c r="D25" i="6"/>
  <c r="D13" i="6"/>
  <c r="H24" i="6"/>
  <c r="D23" i="6"/>
  <c r="R23" i="6"/>
  <c r="D8" i="6"/>
  <c r="D16" i="6"/>
  <c r="F46" i="9"/>
  <c r="E45" i="9"/>
  <c r="F45" i="9"/>
  <c r="E43" i="35"/>
  <c r="F43" i="35"/>
  <c r="E42" i="35"/>
  <c r="F42" i="35"/>
  <c r="I43" i="35"/>
  <c r="J43" i="35"/>
  <c r="Q59" i="44"/>
  <c r="Q64" i="44"/>
  <c r="Q68" i="44"/>
  <c r="Q77" i="44"/>
  <c r="C16" i="44"/>
  <c r="C70" i="69"/>
  <c r="Q70" i="69"/>
  <c r="Q69" i="69"/>
  <c r="R25" i="6"/>
  <c r="H27" i="6"/>
  <c r="T16" i="1"/>
  <c r="C20" i="44"/>
  <c r="C17" i="44"/>
  <c r="I27" i="6"/>
  <c r="S19" i="6"/>
  <c r="S27" i="6"/>
  <c r="K65" i="40"/>
  <c r="J67" i="40"/>
  <c r="D27" i="6"/>
  <c r="D31" i="6"/>
  <c r="R21" i="6"/>
  <c r="R8" i="1"/>
  <c r="R22" i="6"/>
  <c r="R24" i="6"/>
  <c r="G37" i="46"/>
  <c r="I37" i="46"/>
  <c r="E37" i="46"/>
  <c r="G38" i="46"/>
  <c r="I38" i="46"/>
  <c r="E38" i="46"/>
  <c r="E33" i="46"/>
  <c r="G33" i="46"/>
  <c r="I33" i="46"/>
  <c r="G35" i="46"/>
  <c r="I35" i="46"/>
  <c r="E35" i="46"/>
  <c r="A6" i="64"/>
  <c r="A6" i="51"/>
  <c r="B7" i="63"/>
  <c r="N5" i="54"/>
  <c r="B43" i="63"/>
  <c r="A20" i="64"/>
  <c r="A20" i="51"/>
  <c r="B15" i="63"/>
  <c r="R26" i="6"/>
  <c r="D7" i="66"/>
  <c r="D8" i="66"/>
  <c r="C25" i="43"/>
  <c r="C24" i="43"/>
  <c r="C28" i="43"/>
  <c r="C30" i="43"/>
  <c r="C32" i="43"/>
  <c r="B2" i="43"/>
  <c r="B5" i="43"/>
  <c r="G39" i="46"/>
  <c r="I39" i="46"/>
  <c r="E39" i="46"/>
  <c r="E29" i="46"/>
  <c r="C30" i="46"/>
  <c r="E30" i="46"/>
  <c r="G34" i="46"/>
  <c r="I34" i="46"/>
  <c r="E34" i="46"/>
  <c r="G36" i="46"/>
  <c r="I36" i="46"/>
  <c r="E36" i="46"/>
  <c r="L51" i="69"/>
  <c r="F7" i="67"/>
  <c r="Q68" i="69"/>
  <c r="Q66" i="69"/>
  <c r="Q76" i="69"/>
  <c r="Q57" i="69"/>
  <c r="Q63" i="69"/>
  <c r="Q48" i="69"/>
  <c r="Q54" i="69"/>
  <c r="C43" i="69"/>
  <c r="J42" i="69"/>
  <c r="J43" i="69"/>
  <c r="C46" i="69"/>
  <c r="C21" i="44"/>
  <c r="C22" i="44"/>
  <c r="C28" i="44"/>
  <c r="B3" i="43"/>
  <c r="R27" i="6"/>
  <c r="C27" i="46"/>
  <c r="B4" i="43"/>
  <c r="L65" i="40"/>
  <c r="K67" i="40"/>
  <c r="E4" i="67"/>
  <c r="J9" i="39"/>
  <c r="H9" i="39"/>
  <c r="C26" i="46"/>
  <c r="I5" i="6"/>
  <c r="I6" i="6"/>
  <c r="F37" i="44"/>
  <c r="M23" i="44"/>
  <c r="E7" i="67"/>
  <c r="B3" i="69"/>
  <c r="D8" i="12"/>
  <c r="J22" i="44"/>
  <c r="C36" i="44"/>
  <c r="R16" i="1"/>
  <c r="C25" i="44"/>
  <c r="C31" i="44"/>
  <c r="L67" i="40"/>
  <c r="M65" i="40"/>
  <c r="E3" i="67"/>
  <c r="S9" i="39"/>
  <c r="AB9" i="39"/>
  <c r="U9" i="39"/>
  <c r="B2" i="46"/>
  <c r="W9" i="39"/>
  <c r="AC9" i="39"/>
  <c r="B7" i="67"/>
  <c r="Q51" i="44"/>
  <c r="J16" i="44"/>
  <c r="J21" i="44"/>
  <c r="J19" i="44"/>
  <c r="C38" i="44"/>
  <c r="C15" i="44"/>
  <c r="C35" i="44"/>
  <c r="C33" i="44"/>
  <c r="M67" i="40"/>
  <c r="N65" i="40"/>
  <c r="N67" i="40"/>
  <c r="F9" i="40"/>
  <c r="J9" i="40"/>
  <c r="H9" i="40"/>
  <c r="B2" i="67"/>
  <c r="B4" i="46"/>
  <c r="B3" i="46"/>
  <c r="D4" i="46"/>
  <c r="J24" i="44"/>
  <c r="J15" i="44"/>
  <c r="J25" i="44"/>
  <c r="J19" i="15"/>
  <c r="J17" i="15"/>
  <c r="Q50" i="15"/>
  <c r="J14" i="15"/>
  <c r="J59" i="15"/>
  <c r="J60" i="15"/>
  <c r="C56" i="15"/>
  <c r="Q72" i="44"/>
  <c r="C39" i="44"/>
  <c r="C32" i="44"/>
  <c r="C42" i="44"/>
  <c r="C43" i="44"/>
  <c r="U9" i="40"/>
  <c r="AB9" i="40"/>
  <c r="T44" i="40"/>
  <c r="G44" i="40"/>
  <c r="W9" i="40"/>
  <c r="AC9" i="40"/>
  <c r="V44" i="40"/>
  <c r="I44" i="40"/>
  <c r="I48" i="40"/>
  <c r="J48" i="40"/>
  <c r="AA9" i="40"/>
  <c r="R44" i="40"/>
  <c r="S9" i="40"/>
  <c r="B3" i="67"/>
  <c r="B4" i="67"/>
  <c r="J18" i="44"/>
  <c r="J27" i="44"/>
  <c r="C44" i="44"/>
  <c r="C45" i="44"/>
  <c r="B2" i="44"/>
  <c r="Q71" i="44"/>
  <c r="Q70" i="44"/>
  <c r="C63" i="15"/>
  <c r="C60" i="15"/>
  <c r="C58" i="15"/>
  <c r="J35" i="15"/>
  <c r="Q71" i="15"/>
  <c r="C55" i="15"/>
  <c r="C64" i="15"/>
  <c r="Q49" i="15"/>
  <c r="J22" i="15"/>
  <c r="J13" i="15"/>
  <c r="J23" i="15"/>
  <c r="E44" i="40"/>
  <c r="R45" i="40"/>
  <c r="G49" i="40"/>
  <c r="H49" i="40"/>
  <c r="G48" i="40"/>
  <c r="H48" i="40"/>
  <c r="L51" i="15"/>
  <c r="J39" i="15"/>
  <c r="J40" i="15"/>
  <c r="J16" i="15"/>
  <c r="J25" i="15"/>
  <c r="L57" i="15"/>
  <c r="L60" i="15"/>
  <c r="Q68" i="15"/>
  <c r="Q70" i="15"/>
  <c r="Q69" i="15"/>
  <c r="C57" i="15"/>
  <c r="C66" i="15"/>
  <c r="C67" i="15"/>
  <c r="B3" i="44"/>
  <c r="B4" i="44"/>
  <c r="B5" i="44"/>
  <c r="E49" i="40"/>
  <c r="F49" i="40"/>
  <c r="E48" i="40"/>
  <c r="F48" i="40"/>
  <c r="I49" i="40"/>
  <c r="J49" i="40"/>
  <c r="C45" i="40"/>
  <c r="C44" i="40"/>
  <c r="C70" i="15"/>
  <c r="C46" i="15"/>
  <c r="Q48" i="15"/>
  <c r="Q54" i="15"/>
  <c r="C43" i="15"/>
  <c r="Q57" i="15"/>
  <c r="Q66" i="15"/>
  <c r="J42" i="15"/>
  <c r="J43" i="15"/>
  <c r="Q58" i="15"/>
  <c r="Q67" i="15"/>
  <c r="Q76" i="15"/>
  <c r="B61" i="40"/>
  <c r="F61" i="40"/>
  <c r="B54" i="40"/>
  <c r="F54" i="40"/>
  <c r="B53" i="40"/>
  <c r="F53" i="40"/>
  <c r="B56" i="40"/>
  <c r="F56" i="40"/>
  <c r="B58" i="40"/>
  <c r="F58" i="40"/>
  <c r="B55" i="40"/>
  <c r="F55" i="40"/>
  <c r="B57" i="40"/>
  <c r="F57" i="40"/>
  <c r="B60" i="40"/>
  <c r="F60" i="40"/>
  <c r="B59" i="40"/>
  <c r="F59" i="40"/>
  <c r="B62" i="40"/>
  <c r="F62" i="40"/>
  <c r="F63" i="40"/>
  <c r="B2" i="40"/>
  <c r="B3" i="15"/>
  <c r="C8" i="12"/>
  <c r="Q63" i="15"/>
  <c r="B3" i="40"/>
  <c r="B4" i="40"/>
  <c r="B5" i="40"/>
  <c r="B4" i="12"/>
  <c r="D21" i="9"/>
  <c r="B5" i="12"/>
  <c r="L44" i="9"/>
  <c r="B3" i="12"/>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J12" i="40"/>
  <c r="W12" i="40"/>
  <c r="AC12" i="40"/>
  <c r="H12" i="40"/>
  <c r="AB12" i="40"/>
  <c r="U12" i="40"/>
  <c r="F12" i="40"/>
  <c r="AA12" i="40"/>
  <c r="S12" i="40"/>
  <c r="S12" i="39"/>
  <c r="U12" i="39"/>
  <c r="W12" i="39"/>
  <c r="I49" i="39"/>
  <c r="I53" i="39"/>
  <c r="J53" i="39"/>
  <c r="G49" i="39"/>
  <c r="G53" i="39"/>
  <c r="H53" i="39"/>
  <c r="G54" i="39"/>
  <c r="H54" i="39"/>
  <c r="E49" i="39"/>
  <c r="E54" i="39"/>
  <c r="F54" i="39"/>
  <c r="E53" i="39"/>
  <c r="F53" i="39"/>
  <c r="C49" i="39"/>
  <c r="I54" i="39"/>
  <c r="J54" i="39"/>
  <c r="L43" i="9"/>
  <c r="B5" i="39"/>
  <c r="D22" i="9"/>
  <c r="B4" i="39"/>
  <c r="C21" i="9"/>
  <c r="G21" i="9"/>
  <c r="G22" i="9"/>
  <c r="N43" i="9"/>
  <c r="B3" i="39"/>
  <c r="C20" i="9"/>
  <c r="G20" i="9"/>
  <c r="C32" i="9"/>
  <c r="C35" i="9"/>
  <c r="F42" i="9"/>
  <c r="C34" i="9"/>
  <c r="M38" i="9"/>
  <c r="K27" i="9"/>
  <c r="O43" i="9"/>
  <c r="C33" i="9"/>
  <c r="D42" i="9"/>
  <c r="Q5" i="54"/>
  <c r="B47" i="63"/>
  <c r="O38" i="9"/>
  <c r="K26" i="9"/>
  <c r="K25" i="9"/>
  <c r="C42" i="9"/>
  <c r="N68" i="9"/>
  <c r="R5" i="54"/>
  <c r="B48" i="63"/>
  <c r="E42" i="9"/>
  <c r="P5" i="54"/>
  <c r="B46" i="63"/>
  <c r="D14" i="66"/>
  <c r="F14" i="66"/>
  <c r="N38" i="9"/>
  <c r="K28" i="9"/>
  <c r="C44" i="9"/>
  <c r="F44" i="9"/>
  <c r="E14" i="66"/>
  <c r="D63" i="9"/>
  <c r="C82" i="9"/>
  <c r="C81" i="9"/>
  <c r="C85" i="9"/>
  <c r="C86" i="9"/>
  <c r="D72" i="9"/>
  <c r="D70" i="9"/>
  <c r="O39" i="9"/>
  <c r="R6" i="54"/>
  <c r="B50" i="63"/>
  <c r="D44" i="9"/>
  <c r="E44" i="9"/>
  <c r="C103" i="9"/>
  <c r="C111" i="9"/>
  <c r="C104" i="9"/>
  <c r="C113" i="9"/>
  <c r="C114" i="9"/>
  <c r="E114" i="9"/>
  <c r="E115" i="9"/>
  <c r="B5" i="66"/>
  <c r="D5" i="66"/>
  <c r="C5" i="66"/>
  <c r="G14" i="66"/>
  <c r="B6" i="66"/>
  <c r="D6" i="66"/>
  <c r="C6" i="66"/>
  <c r="K29" i="9"/>
  <c r="K30" i="9"/>
  <c r="N69" i="9"/>
  <c r="D71" i="9"/>
  <c r="D66" i="9"/>
  <c r="N72" i="9"/>
  <c r="C115" i="9"/>
  <c r="D76" i="9"/>
  <c r="D74" i="9"/>
  <c r="N74" i="9"/>
  <c r="D77" i="9"/>
  <c r="N75" i="9"/>
  <c r="O77" i="9"/>
  <c r="O79" i="9"/>
  <c r="O80" i="9"/>
  <c r="C90" i="9"/>
  <c r="C96" i="9"/>
  <c r="C91" i="9"/>
  <c r="C97" i="9"/>
  <c r="C98" i="9"/>
  <c r="E98" i="9"/>
  <c r="E99" i="9"/>
  <c r="M83" i="9"/>
  <c r="N83" i="9"/>
  <c r="M84" i="9"/>
  <c r="N84" i="9"/>
  <c r="M85" i="9"/>
  <c r="N85" i="9"/>
  <c r="M86" i="9"/>
  <c r="N86" i="9"/>
  <c r="M87" i="9"/>
  <c r="N87" i="9"/>
  <c r="M88" i="9"/>
  <c r="N88" i="9"/>
  <c r="N89" i="9"/>
  <c r="O89" i="9"/>
  <c r="O81" i="9"/>
  <c r="Q77" i="9"/>
  <c r="O78" i="9"/>
  <c r="C99" i="9"/>
  <c r="D2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<sst xmlns="http://schemas.openxmlformats.org/spreadsheetml/2006/main" count="7473" uniqueCount="3153">
  <si>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</si>
  <si>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</si>
  <si>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</si>
  <si>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</si>
  <si>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</si>
  <si>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</si>
  <si>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</si>
  <si>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</si>
  <si>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</si>
  <si>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</si>
  <si>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</si>
  <si>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</si>
  <si>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</si>
  <si>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</si>
  <si>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</si>
  <si>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</si>
  <si>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</si>
  <si>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</si>
  <si>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</si>
  <si>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</si>
  <si>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</si>
  <si>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</si>
  <si>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</si>
  <si>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</si>
  <si>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</si>
  <si>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</si>
  <si>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</si>
  <si>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</si>
  <si>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</si>
  <si>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</si>
  <si>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</si>
  <si>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</si>
  <si>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</si>
  <si>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</si>
  <si>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</si>
  <si>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</si>
  <si>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</si>
  <si>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</si>
  <si>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</si>
  <si>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</si>
  <si>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</si>
  <si>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</si>
  <si>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</si>
  <si>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</si>
  <si>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</si>
  <si>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</si>
  <si>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</si>
  <si>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</si>
  <si>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</si>
  <si>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</si>
  <si>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</si>
  <si>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</si>
  <si>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</si>
  <si>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</si>
  <si>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</si>
  <si>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</si>
  <si>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</si>
  <si>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</si>
  <si>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</si>
  <si>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</si>
  <si>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</si>
  <si>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</si>
  <si>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</si>
  <si>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</si>
  <si>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</si>
  <si>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</si>
  <si>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</si>
  <si>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</si>
  <si>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</si>
  <si>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</si>
  <si>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</si>
  <si>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</si>
  <si>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</si>
  <si>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</si>
  <si>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</si>
  <si>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</si>
  <si>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</si>
  <si>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</si>
  <si>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</si>
  <si>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</si>
  <si>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</si>
  <si>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</si>
  <si>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</si>
  <si>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</si>
  <si>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</si>
  <si>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</si>
  <si>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</si>
  <si>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</si>
  <si>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</si>
  <si>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</si>
  <si>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</si>
  <si>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</si>
  <si>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</si>
  <si>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</si>
  <si>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</si>
  <si>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</si>
  <si>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</si>
  <si>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</si>
  <si>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</si>
  <si>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</si>
  <si>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</si>
  <si>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</si>
  <si>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</si>
  <si>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</si>
  <si>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</si>
  <si>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</si>
  <si>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</si>
  <si>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</si>
  <si>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</si>
  <si>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</si>
  <si>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</si>
  <si>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</si>
  <si>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</si>
  <si>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</si>
  <si>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</si>
  <si>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</si>
  <si>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</si>
  <si>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</si>
  <si>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</si>
  <si>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</si>
  <si>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</si>
  <si>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</si>
  <si>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</si>
  <si>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</si>
  <si>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</si>
  <si>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</si>
  <si>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</si>
  <si>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</si>
  <si>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</si>
  <si>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</si>
  <si>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</si>
  <si>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</si>
  <si>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</si>
  <si>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</si>
  <si>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</si>
  <si>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</si>
  <si>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</si>
  <si>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</si>
  <si>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</si>
  <si>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</si>
  <si>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</si>
  <si>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</si>
  <si>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</si>
  <si>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</si>
  <si>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</si>
  <si>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</si>
  <si>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</si>
  <si>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</si>
  <si>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</si>
  <si>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</si>
  <si>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</si>
  <si>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</si>
  <si>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</si>
  <si>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</si>
  <si>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</si>
  <si>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</si>
  <si>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</si>
  <si>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</si>
  <si>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</si>
  <si>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</si>
  <si>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</si>
  <si>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</si>
  <si>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</si>
  <si>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</si>
  <si>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</si>
  <si>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</si>
  <si>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</si>
  <si>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</si>
  <si>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</si>
  <si>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</si>
  <si>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</si>
  <si>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</si>
  <si>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</si>
  <si>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</si>
  <si>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</si>
  <si>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</si>
  <si>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</si>
  <si>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</si>
  <si>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</si>
  <si>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</si>
  <si>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</si>
  <si>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</si>
  <si>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</si>
  <si>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</si>
  <si>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</si>
  <si>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</si>
  <si>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</si>
  <si>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</si>
  <si>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</si>
  <si>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</si>
  <si>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</si>
  <si>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</si>
  <si>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</si>
  <si>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</si>
  <si>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</si>
  <si>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</si>
  <si>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</si>
  <si>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</si>
  <si>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</si>
  <si>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</si>
  <si>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</si>
  <si>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</si>
  <si>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</si>
  <si>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</si>
  <si>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</si>
  <si>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</si>
  <si>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</si>
  <si>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</si>
  <si>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</si>
  <si>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</si>
  <si>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</si>
  <si>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</si>
  <si>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</si>
  <si>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</si>
  <si>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</si>
  <si>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</si>
  <si>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</si>
  <si>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</si>
  <si>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</si>
  <si>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</si>
  <si>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</si>
  <si>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</si>
  <si>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</si>
  <si>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</si>
  <si>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</si>
  <si>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</si>
  <si>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</si>
  <si>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</si>
  <si>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</si>
  <si>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</si>
  <si>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</si>
  <si>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</si>
  <si>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</si>
  <si>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</si>
  <si>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</si>
  <si>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</si>
  <si>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</si>
  <si>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</si>
  <si>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</si>
  <si>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</si>
  <si>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</si>
  <si>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</si>
  <si>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</si>
  <si>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</si>
  <si>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</si>
  <si>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</si>
  <si>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</si>
  <si>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</si>
  <si>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</si>
  <si>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</si>
  <si>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</si>
  <si>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</si>
  <si>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</si>
  <si>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</si>
  <si>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</si>
  <si>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</si>
  <si>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</si>
  <si>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</si>
  <si>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</si>
  <si>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</si>
  <si>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</si>
  <si>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</si>
  <si>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</si>
  <si>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</si>
  <si>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</si>
  <si>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</si>
  <si>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</si>
  <si>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</si>
  <si>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</si>
  <si>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</si>
  <si>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</si>
  <si>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</si>
  <si>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</si>
  <si>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</si>
  <si>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</si>
  <si>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</si>
  <si>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</si>
  <si>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</si>
  <si>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</si>
  <si>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</si>
  <si>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</si>
  <si>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</si>
  <si>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</si>
  <si>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</si>
  <si>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</si>
  <si>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</si>
  <si>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</si>
  <si>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</si>
  <si>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</si>
  <si>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</si>
  <si>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</si>
  <si>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</si>
  <si>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</si>
  <si>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</si>
  <si>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</si>
  <si>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</si>
  <si>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</si>
  <si>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</si>
  <si>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</si>
  <si>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</si>
  <si>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</si>
  <si>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</si>
  <si>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</si>
  <si>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</si>
  <si>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</si>
  <si>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</si>
  <si>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</si>
  <si>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</si>
  <si>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</si>
  <si>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</si>
  <si>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</si>
  <si>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</si>
  <si>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</si>
  <si>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</si>
  <si>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</si>
  <si>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</si>
  <si>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</si>
  <si>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</si>
  <si>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</si>
  <si>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</si>
  <si>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</si>
  <si>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</si>
  <si>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</si>
  <si>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</si>
  <si>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</si>
  <si>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</si>
  <si>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</si>
  <si>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</si>
  <si>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</si>
  <si>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</si>
  <si>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</si>
  <si>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</si>
  <si>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</si>
  <si>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</si>
  <si>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</si>
  <si>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</si>
  <si>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</si>
  <si>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</si>
  <si>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</si>
  <si>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</si>
  <si>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</si>
  <si>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</si>
  <si>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</si>
  <si>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</si>
  <si>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</si>
  <si>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</si>
  <si>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</si>
  <si>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</si>
  <si>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</si>
  <si>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</si>
  <si>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</si>
  <si>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</si>
  <si>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</si>
  <si>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</si>
  <si>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</si>
  <si>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</si>
  <si>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</si>
  <si>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</si>
  <si>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</si>
  <si>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</si>
  <si>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</si>
  <si>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</si>
  <si>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</si>
  <si>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</si>
  <si>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</si>
  <si>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</si>
  <si>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</si>
  <si>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</si>
  <si>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</si>
  <si>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</si>
  <si>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</si>
  <si>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</si>
  <si>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</si>
  <si>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</si>
  <si>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</si>
  <si>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</si>
  <si>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</si>
  <si>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</si>
  <si>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</si>
  <si>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</si>
  <si>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</si>
  <si>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</si>
  <si>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</si>
  <si>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</si>
  <si>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</si>
  <si>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</si>
  <si>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</si>
  <si>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</si>
  <si>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</si>
  <si>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</si>
  <si>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</si>
  <si>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</si>
  <si>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</si>
  <si>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</si>
  <si>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</si>
  <si>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</si>
  <si>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</si>
  <si>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</si>
  <si>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</si>
  <si>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</si>
  <si>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</si>
  <si>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</si>
  <si>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</si>
  <si>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</si>
  <si>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</si>
  <si>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</si>
  <si>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</si>
  <si>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</si>
  <si>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</si>
  <si>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</si>
  <si>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</si>
  <si>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</si>
  <si>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</si>
  <si>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</si>
  <si>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</si>
  <si>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</si>
  <si>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</si>
  <si>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</si>
  <si>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</si>
  <si>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</si>
  <si>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</si>
  <si>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</si>
  <si>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</si>
  <si>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</si>
  <si>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</si>
  <si>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</si>
  <si>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</si>
  <si>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</si>
  <si>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</si>
  <si>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</si>
  <si>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</si>
  <si>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</si>
  <si>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</si>
  <si>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</si>
  <si>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</si>
  <si>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</si>
  <si>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</si>
  <si>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</si>
  <si>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</si>
  <si>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</si>
  <si>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</si>
  <si>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</si>
  <si>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</si>
  <si>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</si>
  <si>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</si>
  <si>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</si>
  <si>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</si>
  <si>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</si>
  <si>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</si>
  <si>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</si>
  <si>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</si>
  <si>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</si>
  <si>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</si>
  <si>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</si>
  <si>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</si>
  <si>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</si>
  <si>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</si>
  <si>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</si>
  <si>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</si>
  <si>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</si>
  <si>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</si>
  <si>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</si>
  <si>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</si>
  <si>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</si>
  <si>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</si>
  <si>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</si>
  <si>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</si>
  <si>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</si>
  <si>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</si>
  <si>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</si>
  <si>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</si>
  <si>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</si>
  <si>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</si>
  <si>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</si>
  <si>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</si>
  <si>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</si>
  <si>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</si>
  <si>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</si>
  <si>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</si>
  <si>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</si>
  <si>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</si>
  <si>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</si>
  <si>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</si>
  <si>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</si>
  <si>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</si>
  <si>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</si>
  <si>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</si>
  <si>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</si>
  <si>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</si>
  <si>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</si>
  <si>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</si>
  <si>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</si>
  <si>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</si>
  <si>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</si>
  <si>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</si>
  <si>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</si>
  <si>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</si>
  <si>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</si>
  <si>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</si>
  <si>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</si>
  <si>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</si>
  <si>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</si>
  <si>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</si>
  <si>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</si>
  <si>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</si>
  <si>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</si>
  <si>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</si>
  <si>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</si>
  <si>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</si>
  <si>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</si>
  <si>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</si>
  <si>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</si>
  <si>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</si>
  <si>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</si>
  <si>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</si>
  <si>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</si>
  <si>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</si>
  <si>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</si>
  <si>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</si>
  <si>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</si>
  <si>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</si>
  <si>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</si>
  <si>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</si>
  <si>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</si>
  <si>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</si>
  <si>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</si>
  <si>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</si>
  <si>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</si>
  <si>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</si>
  <si>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</si>
  <si>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</si>
  <si>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</si>
  <si>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</si>
  <si>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</si>
  <si>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</si>
  <si>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</si>
  <si>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</si>
  <si>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</si>
  <si>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</si>
  <si>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</si>
  <si>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</si>
  <si>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</si>
  <si>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</si>
  <si>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</si>
  <si>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</si>
  <si>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</si>
  <si>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</si>
  <si>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</si>
  <si>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</si>
  <si>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</si>
  <si>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</si>
  <si>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</si>
  <si>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</si>
  <si>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</si>
  <si>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</si>
  <si>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</si>
  <si>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</si>
  <si>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</si>
  <si>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</si>
  <si>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</si>
  <si>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</si>
  <si>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</si>
  <si>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</si>
  <si>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</si>
  <si>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</si>
  <si>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</si>
  <si>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</si>
  <si>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</si>
  <si>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</si>
  <si>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</si>
  <si>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</si>
  <si>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</si>
  <si>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</si>
  <si>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</si>
  <si>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</si>
  <si>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</si>
  <si>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</si>
  <si>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</si>
  <si>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</si>
  <si>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</si>
  <si>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</si>
  <si>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</si>
  <si>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</si>
  <si>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</si>
  <si>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</si>
  <si>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</si>
  <si>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</si>
  <si>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</si>
  <si>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</si>
  <si>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</si>
  <si>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</si>
  <si>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</si>
  <si>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</si>
  <si>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</si>
  <si>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</si>
  <si>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</si>
  <si>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</si>
  <si>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</si>
  <si>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</si>
  <si>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</si>
  <si>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</si>
  <si>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</si>
  <si>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</si>
  <si>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</si>
  <si>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</si>
  <si>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</si>
  <si>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</si>
  <si>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</si>
  <si>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</si>
  <si>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</si>
  <si>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</si>
  <si>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</si>
  <si>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</si>
  <si>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</si>
  <si>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</si>
  <si>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</si>
  <si>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</si>
  <si>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</si>
  <si>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</si>
  <si>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</si>
  <si>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</si>
  <si>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</si>
  <si>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</si>
  <si>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</si>
  <si>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</si>
  <si>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</si>
  <si>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</si>
  <si>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</si>
  <si>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</si>
  <si>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</si>
  <si>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</si>
  <si>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</si>
  <si>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</si>
  <si>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</si>
  <si>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</si>
  <si>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</si>
  <si>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</si>
  <si>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</si>
  <si>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</si>
  <si>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</si>
  <si>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</si>
  <si>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</si>
  <si>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</si>
  <si>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</si>
  <si>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</si>
  <si>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</si>
  <si>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</si>
  <si>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</si>
  <si>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</si>
  <si>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</si>
  <si>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</si>
  <si>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</si>
  <si>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</si>
  <si>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</si>
  <si>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</si>
  <si>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</si>
  <si>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</si>
  <si>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</si>
  <si>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</si>
  <si>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</si>
  <si>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</si>
  <si>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</si>
  <si>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</si>
  <si>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</si>
  <si>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</si>
  <si>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</si>
  <si>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</si>
  <si>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</si>
  <si>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</si>
  <si>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</si>
  <si>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</si>
  <si>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</si>
  <si>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</si>
  <si>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</si>
  <si>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</si>
  <si>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</si>
  <si>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</si>
  <si>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</si>
  <si>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</si>
  <si>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</si>
  <si>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</si>
  <si>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</si>
  <si>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</si>
  <si>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</si>
  <si>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</si>
  <si>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</si>
  <si>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</si>
  <si>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</si>
  <si>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</si>
  <si>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</si>
  <si>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</si>
  <si>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</si>
  <si>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</si>
  <si>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</si>
  <si>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</si>
  <si>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</si>
  <si>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</si>
  <si>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</si>
  <si>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</si>
  <si>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</si>
  <si>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</si>
  <si>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</si>
  <si>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</si>
  <si>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</si>
  <si>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</si>
  <si>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</si>
  <si>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</si>
  <si>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</si>
  <si>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</si>
  <si>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</si>
  <si>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</si>
  <si>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</si>
  <si>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</si>
  <si>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</si>
  <si>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</si>
  <si>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</si>
  <si>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</si>
  <si>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</si>
  <si>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</si>
  <si>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</si>
  <si>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</si>
  <si>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</si>
  <si>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</si>
  <si>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</si>
  <si>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</si>
  <si>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</si>
  <si>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</si>
  <si>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</si>
  <si>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</si>
  <si>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</si>
  <si>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</si>
  <si>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</si>
  <si>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</si>
  <si>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</si>
  <si>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</si>
  <si>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</si>
  <si>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</si>
  <si>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</si>
  <si>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</si>
  <si>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</si>
  <si>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</si>
  <si>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</si>
  <si>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</si>
  <si>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</si>
  <si>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</si>
  <si>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</si>
  <si>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</si>
  <si>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</si>
  <si>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</si>
  <si>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</si>
  <si>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</si>
  <si>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</si>
  <si>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</si>
  <si>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</si>
  <si>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</si>
  <si>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</si>
  <si>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</si>
  <si>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</si>
  <si>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</si>
  <si>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</si>
  <si>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</si>
  <si>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</si>
  <si>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</si>
  <si>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</si>
  <si>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</si>
  <si>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</si>
  <si>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</si>
  <si>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</si>
  <si>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</si>
  <si>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</si>
  <si>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</si>
  <si>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</si>
  <si>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</si>
  <si>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</si>
  <si>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</si>
  <si>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</si>
  <si>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</si>
  <si>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</si>
  <si>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</si>
  <si>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</si>
  <si>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</si>
  <si>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</si>
  <si>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</si>
  <si>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</si>
  <si>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</si>
  <si>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</si>
  <si>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</si>
  <si>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</si>
  <si>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</si>
  <si>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</si>
  <si>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</si>
  <si>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</si>
  <si>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</si>
  <si>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</si>
  <si>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</si>
  <si>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</si>
  <si>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</si>
  <si>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</si>
  <si>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</si>
  <si>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</si>
  <si>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</si>
  <si>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</si>
  <si>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</si>
  <si>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</si>
  <si>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</si>
  <si>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</si>
  <si>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</si>
  <si>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</si>
  <si>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</si>
  <si>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</si>
  <si>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</si>
  <si>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</si>
  <si>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</si>
  <si>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</si>
  <si>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</si>
  <si>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</si>
  <si>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</si>
  <si>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</si>
  <si>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</si>
  <si>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</si>
  <si>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</si>
  <si>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</si>
  <si>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</si>
  <si>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</si>
  <si>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</si>
  <si>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</si>
  <si>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</si>
  <si>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</si>
  <si>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</si>
  <si>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</si>
  <si>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</si>
  <si>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</si>
  <si>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</si>
  <si>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</si>
  <si>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</si>
  <si>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</si>
  <si>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</si>
  <si>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</si>
  <si>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</si>
  <si>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</si>
  <si>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</si>
  <si>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</si>
  <si>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</si>
  <si>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</si>
  <si>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</si>
  <si>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</si>
  <si>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</si>
  <si>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</si>
  <si>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</si>
  <si>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</si>
  <si>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</si>
  <si>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</si>
  <si>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</si>
  <si>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</si>
  <si>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</si>
  <si>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</si>
  <si>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</si>
  <si>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</si>
  <si>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</si>
  <si>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</si>
  <si>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</si>
  <si>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</si>
  <si>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</si>
  <si>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</si>
  <si>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</si>
  <si>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</si>
  <si>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</si>
  <si>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</si>
  <si>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</si>
  <si>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</si>
  <si>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</si>
  <si>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</si>
  <si>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</si>
  <si>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</si>
  <si>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</si>
  <si>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</si>
  <si>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</si>
  <si>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</si>
  <si>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</si>
  <si>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</si>
  <si>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</si>
  <si>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</si>
  <si>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</si>
  <si>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</si>
  <si>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</si>
  <si>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</si>
  <si>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</si>
  <si>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</si>
  <si>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</si>
  <si>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</si>
  <si>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</si>
  <si>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</si>
  <si>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</si>
  <si>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</si>
  <si>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</si>
  <si>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</si>
  <si>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</si>
  <si>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</si>
  <si>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</si>
  <si>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</si>
  <si>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</si>
  <si>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</si>
  <si>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</si>
  <si>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</si>
  <si>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</si>
  <si>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</si>
  <si>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</si>
  <si>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</si>
  <si>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</si>
  <si>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</si>
  <si>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</si>
  <si>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</si>
  <si>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</si>
  <si>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</si>
  <si>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</si>
  <si>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</si>
  <si>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</si>
  <si>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</si>
  <si>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</si>
  <si>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</si>
  <si>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</si>
  <si>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</si>
  <si>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</si>
  <si>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</si>
  <si>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</si>
  <si>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</si>
  <si>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</si>
  <si>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</si>
  <si>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</si>
  <si>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</si>
  <si>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</si>
  <si>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</si>
  <si>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</si>
  <si>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</si>
  <si>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</si>
  <si>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</si>
  <si>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</si>
  <si>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</si>
  <si>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</si>
  <si>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</si>
  <si>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</si>
  <si>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</si>
  <si>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</si>
  <si>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</si>
  <si>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</si>
  <si>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</si>
  <si>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</si>
  <si>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</si>
  <si>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</si>
  <si>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</si>
  <si>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</si>
  <si>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</si>
  <si>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</si>
  <si>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</si>
  <si>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</si>
  <si>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</si>
  <si>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</si>
  <si>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</si>
  <si>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</si>
  <si>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</si>
  <si>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</si>
  <si>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</si>
  <si>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</si>
  <si>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</si>
  <si>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</si>
  <si>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</si>
  <si>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</si>
  <si>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</si>
  <si>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</si>
  <si>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</si>
  <si>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</si>
  <si>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</si>
  <si>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</si>
  <si>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</si>
  <si>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</si>
  <si>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</si>
  <si>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</si>
  <si>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</si>
  <si>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</si>
  <si>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</si>
  <si>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</si>
  <si>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</si>
  <si>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</si>
  <si>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</si>
  <si>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</si>
  <si>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</si>
  <si>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</si>
  <si>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</si>
  <si>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</si>
  <si>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</si>
  <si>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</si>
  <si>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</si>
  <si>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</si>
  <si>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</si>
  <si>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</si>
  <si>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</si>
  <si>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</si>
  <si>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</si>
  <si>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</si>
  <si>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</si>
  <si>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</si>
  <si>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</si>
  <si>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</si>
  <si>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</si>
  <si>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</si>
  <si>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</si>
  <si>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</si>
  <si>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</si>
  <si>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</si>
  <si>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</si>
  <si>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</si>
  <si>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</si>
  <si>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</si>
  <si>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</si>
  <si>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</si>
  <si>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</si>
  <si>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</si>
  <si>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</si>
  <si>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</si>
  <si>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</si>
  <si>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</si>
  <si>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</si>
  <si>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</si>
  <si>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</si>
  <si>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</si>
  <si>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</si>
  <si>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</si>
  <si>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</si>
  <si>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</si>
  <si>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</si>
  <si>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</si>
  <si>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</si>
  <si>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</si>
  <si>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</si>
  <si>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</si>
  <si>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</si>
  <si>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</si>
  <si>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</si>
  <si>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</si>
  <si>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</si>
  <si>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</si>
  <si>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</si>
  <si>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</si>
  <si>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</si>
  <si>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</si>
  <si>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</si>
  <si>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</si>
  <si>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</si>
  <si>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</si>
  <si>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</si>
  <si>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</si>
  <si>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</si>
  <si>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</si>
  <si>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</si>
  <si>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</si>
  <si>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</si>
  <si>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</si>
  <si>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</si>
  <si>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</si>
  <si>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</si>
  <si>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</si>
  <si>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</si>
  <si>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</si>
  <si>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</si>
  <si>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</si>
  <si>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</si>
  <si>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</si>
  <si>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</si>
  <si>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</si>
  <si>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</si>
  <si>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</si>
  <si>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</si>
  <si>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</si>
  <si>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</si>
  <si>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</si>
  <si>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</si>
  <si>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</si>
  <si>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</si>
  <si>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</si>
  <si>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</si>
  <si>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</si>
  <si>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</si>
  <si>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</si>
  <si>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</si>
  <si>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</si>
  <si>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</si>
  <si>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</si>
  <si>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</si>
  <si>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</si>
  <si>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</si>
  <si>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</si>
  <si>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</si>
  <si>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</si>
  <si>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</si>
  <si>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</si>
  <si>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</si>
  <si>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</si>
  <si>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</si>
  <si>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</si>
  <si>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</si>
  <si>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</si>
  <si>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</si>
  <si>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</si>
  <si>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</si>
  <si>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</si>
  <si>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</si>
  <si>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</si>
  <si>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</si>
  <si>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</si>
  <si>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</si>
  <si>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</si>
  <si>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</si>
  <si>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</si>
  <si>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</si>
  <si>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</si>
  <si>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</si>
  <si>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</si>
  <si>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</si>
  <si>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</si>
  <si>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</si>
  <si>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</si>
  <si>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</si>
  <si>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</si>
  <si>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</si>
  <si>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</si>
  <si>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</si>
  <si>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</si>
  <si>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</si>
  <si>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</si>
  <si>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</si>
  <si>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</si>
  <si>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</si>
  <si>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</si>
  <si>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</si>
  <si>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</si>
  <si>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</si>
  <si>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</si>
  <si>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</si>
  <si>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</si>
  <si>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</si>
  <si>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</si>
  <si>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</si>
  <si>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</si>
  <si>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</si>
  <si>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</si>
  <si>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</si>
  <si>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</si>
  <si>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</si>
  <si>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</si>
  <si>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</si>
  <si>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</si>
  <si>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</si>
  <si>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</si>
  <si>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</si>
  <si>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</si>
  <si>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</si>
  <si>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</si>
  <si>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</si>
  <si>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</si>
  <si>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</si>
  <si>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</si>
  <si>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</si>
  <si>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</si>
  <si>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</si>
  <si>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</si>
  <si>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</si>
  <si>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</si>
  <si>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</si>
  <si>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</si>
  <si>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</si>
  <si>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</si>
  <si>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</si>
  <si>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</si>
  <si>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</si>
  <si>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</si>
  <si>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</si>
  <si>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</si>
  <si>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</si>
  <si>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</si>
  <si>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</si>
  <si>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</si>
  <si>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</si>
  <si>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</si>
  <si>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</si>
  <si>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</si>
  <si>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</si>
  <si>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</si>
  <si>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</si>
  <si>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</si>
  <si>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</si>
  <si>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</si>
  <si>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</si>
  <si>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</si>
  <si>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</si>
  <si>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</si>
  <si>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</si>
  <si>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</si>
  <si>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</si>
  <si>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</si>
  <si>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</si>
  <si>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</si>
  <si>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</si>
  <si>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</si>
  <si>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</si>
  <si>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</si>
  <si>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</si>
  <si>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</si>
  <si>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</si>
  <si>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</si>
  <si>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</si>
  <si>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</si>
  <si>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</si>
  <si>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</si>
  <si>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</si>
  <si>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</si>
  <si>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</si>
  <si>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</si>
  <si>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</si>
  <si>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</si>
  <si>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</si>
  <si>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</si>
  <si>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</si>
  <si>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</si>
  <si>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</si>
  <si>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</si>
  <si>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</si>
  <si>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</si>
  <si>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</si>
  <si>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</si>
  <si>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</si>
  <si>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</si>
  <si>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</si>
  <si>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</si>
  <si>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</si>
  <si>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</si>
  <si>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</si>
  <si>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</si>
  <si>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</si>
  <si>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</si>
  <si>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</si>
  <si>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</si>
  <si>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</si>
  <si>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</si>
  <si>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</si>
  <si>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</si>
  <si>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</si>
  <si>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</si>
  <si>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</si>
  <si>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</si>
  <si>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</si>
  <si>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</si>
  <si>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</si>
  <si>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</si>
  <si>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</si>
  <si>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</si>
  <si>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</si>
  <si>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</si>
  <si>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</si>
  <si>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</si>
  <si>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</si>
  <si>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</si>
  <si>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</si>
  <si>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</si>
  <si>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</si>
  <si>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</si>
  <si>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</si>
  <si>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</si>
  <si>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</si>
  <si>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</si>
  <si>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</si>
  <si>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</si>
  <si>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</si>
  <si>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</si>
  <si>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</si>
  <si>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</si>
  <si>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</si>
  <si>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</si>
  <si>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</si>
  <si>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</si>
  <si>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</si>
  <si>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</si>
  <si>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</si>
  <si>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</si>
  <si>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</si>
  <si>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</si>
  <si>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</si>
  <si>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</si>
  <si>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</si>
  <si>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</si>
  <si>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</si>
  <si>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</si>
  <si>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</si>
  <si>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</si>
  <si>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</si>
  <si>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</si>
  <si>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</si>
  <si>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</si>
  <si>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</si>
  <si>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</si>
  <si>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</si>
  <si>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</si>
  <si>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</si>
  <si>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</si>
  <si>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</si>
  <si>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</si>
  <si>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</si>
  <si>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</si>
  <si>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</si>
  <si>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</si>
  <si>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</si>
  <si>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</si>
  <si>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</si>
  <si>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</si>
  <si>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</si>
  <si>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</si>
  <si>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</si>
  <si>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</si>
  <si>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</si>
  <si>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</si>
  <si>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</si>
  <si>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</si>
  <si>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</si>
  <si>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</si>
  <si>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</si>
  <si>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</si>
  <si>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</si>
  <si>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</si>
  <si>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</si>
  <si>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</si>
  <si>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</si>
  <si>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</si>
  <si>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</si>
  <si>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</si>
  <si>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</si>
  <si>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</si>
  <si>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</si>
  <si>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</si>
  <si>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</si>
  <si>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</si>
  <si>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</si>
  <si>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</si>
  <si>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</si>
  <si>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</si>
  <si>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</si>
  <si>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</si>
  <si>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</si>
  <si>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</si>
  <si>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</si>
  <si>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</si>
  <si>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</si>
  <si>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</si>
  <si>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</si>
  <si>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</si>
  <si>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</si>
  <si>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</si>
  <si>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</si>
  <si>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</si>
  <si>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</si>
  <si>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</si>
  <si>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</si>
  <si>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</si>
  <si>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</si>
  <si>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</si>
  <si>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</si>
  <si>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</si>
  <si>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</si>
  <si>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</si>
  <si>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</si>
  <si>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</si>
  <si>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</si>
  <si>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</si>
  <si>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</si>
  <si>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</si>
  <si>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</si>
  <si>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</si>
  <si>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</si>
  <si>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</si>
  <si>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</si>
  <si>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</si>
  <si>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</si>
  <si>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</si>
  <si>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</si>
  <si>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</si>
  <si>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</si>
  <si>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</si>
  <si>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</si>
  <si>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</si>
  <si>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</si>
  <si>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</si>
  <si>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</si>
  <si>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</si>
  <si>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</si>
  <si>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</si>
  <si>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</si>
  <si>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</si>
  <si>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</si>
  <si>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</si>
  <si>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</si>
  <si>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</si>
  <si>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</si>
  <si>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</si>
  <si>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</si>
  <si>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</si>
  <si>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</si>
  <si>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</si>
  <si>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</si>
  <si>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</si>
  <si>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</si>
  <si>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</si>
  <si>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</si>
  <si>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</si>
  <si>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</si>
  <si>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</si>
  <si>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</si>
  <si>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</si>
  <si>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</si>
  <si>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</si>
  <si>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</si>
  <si>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</si>
  <si>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</si>
  <si>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</si>
  <si>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</si>
  <si>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</si>
  <si>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</si>
  <si>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</si>
  <si>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</si>
  <si>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</si>
  <si>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</si>
  <si>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</si>
  <si>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</si>
  <si>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</si>
  <si>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</si>
  <si>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</si>
  <si>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</si>
  <si>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</si>
  <si>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</si>
  <si>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</si>
  <si>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</si>
  <si>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</si>
  <si>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</si>
  <si>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</si>
  <si>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</si>
  <si>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</si>
  <si>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</si>
  <si>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</si>
  <si>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</si>
  <si>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</si>
  <si>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</si>
  <si>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</si>
  <si>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</si>
  <si>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</si>
  <si>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</si>
  <si>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</si>
  <si>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</si>
  <si>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</si>
  <si>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</si>
  <si>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</si>
  <si>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</si>
  <si>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</si>
  <si>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</si>
  <si>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</si>
  <si>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</si>
  <si>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</si>
  <si>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</si>
  <si>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</si>
  <si>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</si>
  <si>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</si>
  <si>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</si>
  <si>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</si>
  <si>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</si>
  <si>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</si>
  <si>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</si>
  <si>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</si>
  <si>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</si>
  <si>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</si>
  <si>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</si>
  <si>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</si>
  <si>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</si>
  <si>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</si>
  <si>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</si>
  <si>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</si>
  <si>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</si>
  <si>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</si>
  <si>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</si>
  <si>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</si>
  <si>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</si>
  <si>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</si>
  <si>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</si>
  <si>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</si>
  <si>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</si>
  <si>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</si>
  <si>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</si>
  <si>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</si>
  <si>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</si>
  <si>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</si>
  <si>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</si>
  <si>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</si>
  <si>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</si>
  <si>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</si>
  <si>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</si>
  <si>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</si>
  <si>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</si>
  <si>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</si>
  <si>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</si>
  <si>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</si>
  <si>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</si>
  <si>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</si>
  <si>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</si>
  <si>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</si>
  <si>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</si>
  <si>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</si>
  <si>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</si>
  <si>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</si>
  <si>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</si>
  <si>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</si>
  <si>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</si>
  <si>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</si>
  <si>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</si>
  <si>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</si>
  <si>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</si>
  <si>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</si>
  <si>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</si>
  <si>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</si>
  <si>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</si>
  <si>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</si>
  <si>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</si>
  <si>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</si>
  <si>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</si>
  <si>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</si>
  <si>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</si>
  <si>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</si>
  <si>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</si>
  <si>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</si>
  <si>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</si>
  <si>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</si>
  <si>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</si>
  <si>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</si>
  <si>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</si>
  <si>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</si>
  <si>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</si>
  <si>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</si>
  <si>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</si>
  <si>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</si>
  <si>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</si>
  <si>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</si>
  <si>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</si>
  <si>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</si>
  <si>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</si>
  <si>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</si>
  <si>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</si>
  <si>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</si>
  <si>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</si>
  <si>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</si>
  <si>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</si>
  <si>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</si>
  <si>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</si>
  <si>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</si>
  <si>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</si>
  <si>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</si>
  <si>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</si>
  <si>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</si>
  <si>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</si>
  <si>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</si>
  <si>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</si>
  <si>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</si>
  <si>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</si>
  <si>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</si>
  <si>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</si>
  <si>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</si>
  <si>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</si>
  <si>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</si>
  <si>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</si>
  <si>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</si>
  <si>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</si>
  <si>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</si>
  <si>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</si>
  <si>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</si>
  <si>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</si>
  <si>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</si>
  <si>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</si>
  <si>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</si>
  <si>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</si>
  <si>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</si>
  <si>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</si>
  <si>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</si>
  <si>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</si>
  <si>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</si>
  <si>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</si>
  <si>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</si>
  <si>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</si>
  <si>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</si>
  <si>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</si>
  <si>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</si>
  <si>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</si>
  <si>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</si>
  <si>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</si>
  <si>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</si>
  <si>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</si>
  <si>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</si>
  <si>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</si>
  <si>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</si>
  <si>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</si>
  <si>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</si>
  <si>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</si>
  <si>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</si>
  <si>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</si>
  <si>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</si>
  <si>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</si>
  <si>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</si>
  <si>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</si>
  <si>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</si>
  <si>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</si>
  <si>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</si>
  <si>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</si>
  <si>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</si>
  <si>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</si>
  <si>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</si>
  <si>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</si>
  <si>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</si>
  <si>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</si>
  <si>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</si>
  <si>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</si>
  <si>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</si>
  <si>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</si>
  <si>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</si>
  <si>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</si>
  <si>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</si>
  <si>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</si>
  <si>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</si>
  <si>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</si>
  <si>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</si>
  <si>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</si>
  <si>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</si>
  <si>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</si>
  <si>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</si>
  <si>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</si>
  <si>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</si>
  <si>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</si>
  <si>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</si>
  <si>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</si>
  <si>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</si>
  <si>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</si>
  <si>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</si>
  <si>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</si>
  <si>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</si>
  <si>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</si>
  <si>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</si>
  <si>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</si>
  <si>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</si>
  <si>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</si>
  <si>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</si>
  <si>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</si>
  <si>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</si>
  <si>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</si>
  <si>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</si>
  <si>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</si>
  <si>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</si>
  <si>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</si>
  <si>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</si>
  <si>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</si>
  <si>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</si>
  <si>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</si>
  <si>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</si>
  <si>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</si>
  <si>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</si>
  <si>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</si>
  <si>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</si>
  <si>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</si>
  <si>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</si>
  <si>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</si>
  <si>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</si>
  <si>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</si>
  <si>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</si>
  <si>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</si>
  <si>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</si>
  <si>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</si>
  <si>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</si>
  <si>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</si>
  <si>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</si>
  <si>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</si>
  <si>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</si>
  <si>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</si>
  <si>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</si>
  <si>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</si>
  <si>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</si>
  <si>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</si>
  <si>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</si>
  <si>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</si>
  <si>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</si>
  <si>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</si>
  <si>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</si>
  <si>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</si>
  <si>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</si>
  <si>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</si>
  <si>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</si>
  <si>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</si>
  <si>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</si>
  <si>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</si>
  <si>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</si>
  <si>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</si>
  <si>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</si>
  <si>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</si>
  <si>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</si>
  <si>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</si>
  <si>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</si>
  <si>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</si>
  <si>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</si>
  <si>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</si>
  <si>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</si>
  <si>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</si>
  <si>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</si>
  <si>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</si>
  <si>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</si>
  <si>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</si>
  <si>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</si>
  <si>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</si>
  <si>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</si>
  <si>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</si>
  <si>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</si>
  <si>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</si>
  <si>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</si>
  <si>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</si>
  <si>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</si>
  <si>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</si>
  <si>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</si>
  <si>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</si>
  <si>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</si>
  <si>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</si>
  <si>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</si>
  <si>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</si>
  <si>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</si>
  <si>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</si>
  <si>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</si>
  <si>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</si>
  <si>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</si>
  <si>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</si>
  <si>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</si>
  <si>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</si>
  <si>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</si>
  <si>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</si>
  <si>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</si>
  <si>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</si>
  <si>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</si>
  <si>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</si>
  <si>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</si>
  <si>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</si>
  <si>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</si>
  <si>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</si>
  <si>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</si>
  <si>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</si>
  <si>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</si>
  <si>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</si>
  <si>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</si>
  <si>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</si>
  <si>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</si>
  <si>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</si>
  <si>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</si>
  <si>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</si>
  <si>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</si>
  <si>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</si>
  <si>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</si>
  <si>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</si>
  <si>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</si>
  <si>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</si>
  <si>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</si>
  <si>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</si>
  <si>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</si>
  <si>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</si>
  <si>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</si>
  <si>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</si>
  <si>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</si>
  <si>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</si>
  <si>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</si>
  <si>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</si>
  <si>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</si>
  <si>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</si>
  <si>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</si>
  <si>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</si>
  <si>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</si>
  <si>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</si>
  <si>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</si>
  <si>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</si>
  <si>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</si>
  <si>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</si>
  <si>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</si>
  <si>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</si>
  <si>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</si>
  <si>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</si>
  <si>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</si>
  <si>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</si>
  <si>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</si>
  <si>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</si>
  <si>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</si>
  <si>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</si>
  <si>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</si>
  <si>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</si>
  <si>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</si>
  <si>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</si>
  <si>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</si>
  <si>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</si>
  <si>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</si>
  <si>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</si>
  <si>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</si>
  <si>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</si>
  <si>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</si>
  <si>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</si>
  <si>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</si>
  <si>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</si>
  <si>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</si>
  <si>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</si>
  <si>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</si>
  <si>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</si>
  <si>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</si>
  <si>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</si>
  <si>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</si>
  <si>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</si>
  <si>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</si>
  <si>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</si>
  <si>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</si>
  <si>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</si>
  <si>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</si>
  <si>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</si>
  <si>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</si>
  <si>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</si>
  <si>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</si>
  <si>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</si>
  <si>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</si>
  <si>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</si>
  <si>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</si>
  <si>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</si>
  <si>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</si>
  <si>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</si>
  <si>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</si>
  <si>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</si>
  <si>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</si>
  <si>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</si>
  <si>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</si>
  <si>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</si>
  <si>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</si>
  <si>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</si>
  <si>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</si>
  <si>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</si>
  <si>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</si>
  <si>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</si>
  <si>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</si>
  <si>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</si>
  <si>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</si>
  <si>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</si>
  <si>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</si>
  <si>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</si>
  <si>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</si>
  <si>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</si>
  <si>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</si>
  <si>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</si>
  <si>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</si>
  <si>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</si>
  <si>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</si>
  <si>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</si>
  <si>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</si>
  <si>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</si>
  <si>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</si>
  <si>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</si>
  <si>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</si>
  <si>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</si>
  <si>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</si>
  <si>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</si>
  <si>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</si>
  <si>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</si>
  <si>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</si>
  <si>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</si>
  <si>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</si>
  <si>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</si>
  <si>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</si>
  <si>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</si>
  <si>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</si>
  <si>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</si>
  <si>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</si>
  <si>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</si>
  <si>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</si>
  <si>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</si>
  <si>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</si>
  <si>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</si>
  <si>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</si>
  <si>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</si>
  <si>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</si>
  <si>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</si>
  <si>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</si>
  <si>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</si>
  <si>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</si>
  <si>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</si>
  <si>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</si>
  <si>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</si>
  <si>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</si>
  <si>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</si>
  <si>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</si>
  <si>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</si>
  <si>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</si>
  <si>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</si>
  <si>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</si>
  <si>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</si>
  <si>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</si>
  <si>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</si>
  <si>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</si>
  <si>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</si>
  <si>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</si>
  <si>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</si>
  <si>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</si>
  <si>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</si>
  <si>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</si>
  <si>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</si>
  <si>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</si>
  <si>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</si>
  <si>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</si>
  <si>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</si>
  <si>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</si>
  <si>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</si>
  <si>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</si>
  <si>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</si>
  <si>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</si>
  <si>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</si>
  <si>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</si>
  <si>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</si>
  <si>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</si>
  <si>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</si>
  <si>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</si>
  <si>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</si>
  <si>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</si>
  <si>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</si>
  <si>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</si>
  <si>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</si>
  <si>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</si>
  <si>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</si>
  <si>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</si>
  <si>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</si>
  <si>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</si>
  <si>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</si>
  <si>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</si>
  <si>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</si>
  <si>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</si>
  <si>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</si>
  <si>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</si>
  <si>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</si>
  <si>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</si>
  <si>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</si>
  <si>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</si>
  <si>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</si>
  <si>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</si>
  <si>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</si>
  <si>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</si>
  <si>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</si>
  <si>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</si>
  <si>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</si>
  <si>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</si>
  <si>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</si>
  <si>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</si>
  <si>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</si>
  <si>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</si>
  <si>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</si>
  <si>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</si>
  <si>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</si>
  <si>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</si>
  <si>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</si>
  <si>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</si>
  <si>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</si>
  <si>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</si>
  <si>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</si>
  <si>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</si>
  <si>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</si>
  <si>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</si>
  <si>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</si>
  <si>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</si>
  <si>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</si>
  <si>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</si>
  <si>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</si>
  <si>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</si>
  <si>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</si>
  <si>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</si>
  <si>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</si>
  <si>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</si>
  <si>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</si>
  <si>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</si>
  <si>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</si>
  <si>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</si>
  <si>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</si>
  <si>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</si>
  <si>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</si>
  <si>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</si>
  <si>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</si>
  <si>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</si>
  <si>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</si>
  <si>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</si>
  <si>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</si>
  <si>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</si>
  <si>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</si>
  <si>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</si>
  <si>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</si>
  <si>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</si>
  <si>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</si>
  <si>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</si>
  <si>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</si>
  <si>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</si>
  <si>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</si>
  <si>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</si>
  <si>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</si>
  <si>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</si>
  <si>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</si>
  <si>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</si>
  <si>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</si>
  <si>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</si>
  <si>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</si>
  <si>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</si>
  <si>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</si>
  <si>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</si>
  <si>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</si>
  <si>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</si>
  <si>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</si>
  <si>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</si>
  <si>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</si>
  <si>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</si>
  <si>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</si>
  <si>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</si>
  <si>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</si>
  <si>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</si>
  <si>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</si>
  <si>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</si>
  <si>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</si>
  <si>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</si>
  <si>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</si>
  <si>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</si>
  <si>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</si>
  <si>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</si>
  <si>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</si>
  <si>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</si>
  <si>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</si>
  <si>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</si>
  <si>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</si>
  <si>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</si>
  <si>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</si>
  <si>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</si>
  <si>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</si>
  <si>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</si>
  <si>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</si>
  <si>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</si>
  <si>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</si>
  <si>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</si>
  <si>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</si>
  <si>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</si>
  <si>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</si>
  <si>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</si>
  <si>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</si>
  <si>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</si>
  <si>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</si>
  <si>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</si>
  <si>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</si>
  <si>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</si>
  <si>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</si>
  <si>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</si>
  <si>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</si>
  <si>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</si>
  <si>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</si>
  <si>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</si>
  <si>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</si>
  <si>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</si>
  <si>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</si>
  <si>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</si>
  <si>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</si>
  <si>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</si>
  <si>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</si>
  <si>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</si>
  <si>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</si>
  <si>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</si>
  <si>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</si>
  <si>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</si>
  <si>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</si>
  <si>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</si>
  <si>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</si>
  <si>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</si>
  <si>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</si>
  <si>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</si>
  <si>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</si>
  <si>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</si>
  <si>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</si>
  <si>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</si>
  <si>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</si>
  <si>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</si>
  <si>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</si>
  <si>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</si>
  <si>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</si>
  <si>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</si>
  <si>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</si>
  <si>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</si>
  <si>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</si>
  <si>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</si>
  <si>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</si>
  <si>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</si>
  <si>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</si>
  <si>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</si>
  <si>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</si>
  <si>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</si>
  <si>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</si>
  <si>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</si>
  <si>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</si>
  <si>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</si>
  <si>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</si>
  <si>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</si>
  <si>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</si>
  <si>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</si>
  <si>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</si>
  <si>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</si>
  <si>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</si>
  <si>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</si>
  <si>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</si>
  <si>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</si>
  <si>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</si>
  <si>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</si>
  <si>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</si>
  <si>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</si>
  <si>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</si>
  <si>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</si>
  <si>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</si>
  <si>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</si>
  <si>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</si>
  <si>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</si>
  <si>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</si>
  <si>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</si>
  <si>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</si>
  <si>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</si>
  <si>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</si>
  <si>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</si>
  <si>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</si>
  <si>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</si>
  <si>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</si>
  <si>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</si>
  <si>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</si>
  <si>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</si>
  <si>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</si>
  <si>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</si>
  <si>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</si>
  <si>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</si>
  <si>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</si>
  <si>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</si>
  <si>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</si>
  <si>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</si>
  <si>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</si>
  <si>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</si>
  <si>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</si>
  <si>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</si>
  <si>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</si>
  <si>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</si>
  <si>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</si>
  <si>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</si>
  <si>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</si>
  <si>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</si>
  <si>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</si>
  <si>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</si>
  <si>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</si>
  <si>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</si>
  <si>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</si>
  <si>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</si>
  <si>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</si>
  <si>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</si>
  <si>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</si>
  <si>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</si>
  <si>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</si>
  <si>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</si>
  <si>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</si>
  <si>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</si>
  <si>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</si>
  <si>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</si>
  <si>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</si>
  <si>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</si>
  <si>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</si>
  <si>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</si>
  <si>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</si>
  <si>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</si>
  <si>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</si>
  <si>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</si>
  <si>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</si>
  <si>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</si>
  <si>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</si>
  <si>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</si>
  <si>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</si>
  <si>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</si>
  <si>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</si>
  <si>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</si>
  <si>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</si>
  <si>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</si>
  <si>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</si>
  <si>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</si>
  <si>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</si>
  <si>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</si>
  <si>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</si>
  <si>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</si>
  <si>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</si>
  <si>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</si>
  <si>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</si>
  <si>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</si>
  <si>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</si>
  <si>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</si>
  <si>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</si>
  <si>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</si>
  <si>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</si>
  <si>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</si>
  <si>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</si>
  <si>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</si>
  <si>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</si>
  <si>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</si>
  <si>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</si>
  <si>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</si>
  <si>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</si>
  <si>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</si>
  <si>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</si>
  <si>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</si>
  <si>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</si>
  <si>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</si>
  <si>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</si>
  <si>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</si>
  <si>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</si>
  <si>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</si>
  <si>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</si>
  <si>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</si>
  <si>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</si>
  <si>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</si>
  <si>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</si>
  <si>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</si>
  <si>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</si>
  <si>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</si>
  <si>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</si>
  <si>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</si>
  <si>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</si>
  <si>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</si>
  <si>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</si>
  <si>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</si>
  <si>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</si>
  <si>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</si>
  <si>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</si>
  <si>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</si>
  <si>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</si>
  <si>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</si>
  <si>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</si>
  <si>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</si>
  <si>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</si>
  <si>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</si>
  <si>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</si>
  <si>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</si>
  <si>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</si>
  <si>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</si>
  <si>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</si>
  <si>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</si>
  <si>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</si>
  <si>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</si>
  <si>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</si>
  <si>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</si>
  <si>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</si>
  <si>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</si>
  <si>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</si>
  <si>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</si>
  <si>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</si>
  <si>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</si>
  <si>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</si>
  <si>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</si>
  <si>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</si>
  <si>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</si>
  <si>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</si>
  <si>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</si>
  <si>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</si>
  <si>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</si>
  <si>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</si>
  <si>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</si>
  <si>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</si>
  <si>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</si>
  <si>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</si>
  <si>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</si>
  <si>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</si>
  <si>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</si>
  <si>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</si>
  <si>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</si>
  <si>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</si>
  <si>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</si>
  <si>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</si>
  <si>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</si>
  <si>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</si>
  <si>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</si>
  <si>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</si>
  <si>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</si>
  <si>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</si>
  <si>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</si>
  <si>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</si>
  <si>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</si>
  <si>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</si>
  <si>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</si>
  <si>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</si>
  <si>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</si>
  <si>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</si>
  <si>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</si>
  <si>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</si>
  <si>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</si>
  <si>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</si>
  <si>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</si>
  <si>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</si>
  <si>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</si>
  <si>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</si>
  <si>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</si>
  <si>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</si>
  <si>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</si>
  <si>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</si>
  <si>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</si>
  <si>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</si>
  <si>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</si>
  <si>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</si>
  <si>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</si>
  <si>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</si>
  <si>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</si>
  <si>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</si>
  <si>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</si>
  <si>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</si>
  <si>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</si>
  <si>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</si>
  <si>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</si>
  <si>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</si>
  <si>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</si>
  <si>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</si>
  <si>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</si>
  <si>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</si>
  <si>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</si>
  <si>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</si>
  <si>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</si>
  <si>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</si>
  <si>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</si>
  <si>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</si>
  <si>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</si>
  <si>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</si>
  <si>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</si>
  <si>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</si>
  <si>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</si>
  <si>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</si>
  <si>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</si>
  <si>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</si>
  <si>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</si>
  <si>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</si>
  <si>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</si>
  <si>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</si>
  <si>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</si>
  <si>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</si>
  <si>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</si>
  <si>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</si>
  <si>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</si>
  <si>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</si>
  <si>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</si>
  <si>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</si>
  <si>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</si>
  <si>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</si>
  <si>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</si>
  <si>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</si>
  <si>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</si>
  <si>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</si>
  <si>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</si>
  <si>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</si>
  <si>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</si>
  <si>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</si>
  <si>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</si>
  <si>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</si>
  <si>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</si>
  <si>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</si>
  <si>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</si>
  <si>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</si>
  <si>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</si>
  <si>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</si>
  <si>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</si>
  <si>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</si>
  <si>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</si>
  <si>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</si>
  <si>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</si>
  <si>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</si>
  <si>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</si>
  <si>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</si>
  <si>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</si>
  <si>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</si>
  <si>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</si>
  <si>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</si>
  <si>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</si>
  <si>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</si>
  <si>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</si>
  <si>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</si>
  <si>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</si>
  <si>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</si>
  <si>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</si>
  <si>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</si>
  <si>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</si>
  <si>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</si>
  <si>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</si>
  <si>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</si>
  <si>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</si>
  <si>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</si>
  <si>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</si>
  <si>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</si>
  <si>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</si>
  <si>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</si>
  <si>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</si>
  <si>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</si>
  <si>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</si>
  <si>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</si>
  <si>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</si>
  <si>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</si>
  <si>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</si>
  <si>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</si>
  <si>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</si>
  <si>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</si>
  <si>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</si>
  <si>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</si>
  <si>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</si>
  <si>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</si>
  <si>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</si>
  <si>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</si>
  <si>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</si>
  <si>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</si>
  <si>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</si>
  <si>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</si>
  <si>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</si>
  <si>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</si>
  <si>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</si>
  <si>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</si>
  <si>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</si>
  <si>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</si>
  <si>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</si>
  <si>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</si>
  <si>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</si>
  <si>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</si>
  <si>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</si>
  <si>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</si>
  <si>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</si>
  <si>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</si>
  <si>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</si>
  <si>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</si>
  <si>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</si>
  <si>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</si>
  <si>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</si>
  <si>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</si>
  <si>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</si>
  <si>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</si>
  <si>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</si>
  <si>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</si>
  <si>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</si>
  <si>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</si>
  <si>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</si>
  <si>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</si>
  <si>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</si>
  <si>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</si>
  <si>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</si>
  <si>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</si>
  <si>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</si>
  <si>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</si>
  <si>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</si>
  <si>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</si>
  <si>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</si>
  <si>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</si>
  <si>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</si>
  <si>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</si>
  <si>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</si>
  <si>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</si>
  <si>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</si>
  <si>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</si>
  <si>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</si>
  <si>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</si>
  <si>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</si>
  <si>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</si>
  <si>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</si>
  <si>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</si>
  <si>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</si>
  <si>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</si>
  <si>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</si>
  <si>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</si>
  <si>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</si>
  <si>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</si>
  <si>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</si>
  <si>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</si>
  <si>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</si>
  <si>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</si>
  <si>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</si>
  <si>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</si>
  <si>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</si>
  <si>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</si>
  <si>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</si>
  <si>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</si>
  <si>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</si>
  <si>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</si>
  <si>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</si>
  <si>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</si>
  <si>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</si>
  <si>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</si>
  <si>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</si>
  <si>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</si>
  <si>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</si>
  <si>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</si>
  <si>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</si>
  <si>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</si>
  <si>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</si>
  <si>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</si>
  <si>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</si>
  <si>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</si>
  <si>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</si>
  <si>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</si>
  <si>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</si>
  <si>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</si>
  <si>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</si>
  <si>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</si>
  <si>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</si>
  <si>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</si>
  <si>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</si>
  <si>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</si>
  <si>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</si>
  <si>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</si>
  <si>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</si>
  <si>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</si>
  <si>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</si>
  <si>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</si>
  <si>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</si>
  <si>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</si>
  <si>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</si>
  <si>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</si>
  <si>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</si>
  <si>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</si>
  <si>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</si>
  <si>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</si>
  <si>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</si>
  <si>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</si>
  <si>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</si>
  <si>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</si>
  <si>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</si>
  <si>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</si>
  <si>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</si>
  <si>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</si>
  <si>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</si>
  <si>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</si>
  <si>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</si>
  <si>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</si>
  <si>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</si>
  <si>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</si>
  <si>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</si>
  <si>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</si>
  <si>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</si>
  <si>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</si>
  <si>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</si>
  <si>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</si>
  <si>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</si>
  <si>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</si>
  <si>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</si>
  <si>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</si>
  <si>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</si>
  <si>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</si>
  <si>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</si>
  <si>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</si>
  <si>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</si>
  <si>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</si>
  <si>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</si>
  <si>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</si>
  <si>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</si>
  <si>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</si>
  <si>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</si>
  <si>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</si>
  <si>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</si>
  <si>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</si>
  <si>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</si>
  <si>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</si>
  <si>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</si>
  <si>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</si>
  <si>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</si>
  <si>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</si>
  <si>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</si>
  <si>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</si>
  <si>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</si>
  <si>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</si>
  <si>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</si>
  <si>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</si>
  <si>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</si>
  <si>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</si>
  <si>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</si>
  <si>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</si>
  <si>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</si>
  <si>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</si>
  <si>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</si>
  <si>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</si>
  <si>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</si>
  <si>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</si>
  <si>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</si>
  <si>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</si>
  <si>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</si>
  <si>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</si>
  <si>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</si>
  <si>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</si>
  <si>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</si>
  <si>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</si>
  <si>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</si>
  <si>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</si>
  <si>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</si>
  <si>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</si>
  <si>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</si>
  <si>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</si>
  <si>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</si>
  <si>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</si>
  <si>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</si>
  <si>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</si>
  <si>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</si>
  <si>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</si>
  <si>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</si>
  <si>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</si>
  <si>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</si>
  <si>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</si>
  <si>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</si>
  <si>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</si>
  <si>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</si>
  <si>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</si>
  <si>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</si>
  <si>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</si>
  <si>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</si>
  <si>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</si>
  <si>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</si>
  <si>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</si>
  <si>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</si>
  <si>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</si>
  <si>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</si>
  <si>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</si>
  <si>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</si>
  <si>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</si>
  <si>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</si>
  <si>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</si>
  <si>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</si>
  <si>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</si>
  <si>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</si>
  <si>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</si>
  <si>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</si>
  <si>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</si>
  <si>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</si>
  <si>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</si>
  <si>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</si>
  <si>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</si>
  <si>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</si>
  <si>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</si>
  <si>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</si>
  <si>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</si>
  <si>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</si>
  <si>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</si>
  <si>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</si>
  <si>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</si>
  <si>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</si>
  <si>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</si>
  <si>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</si>
  <si>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</si>
  <si>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</si>
  <si>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</si>
  <si>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</si>
  <si>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</si>
  <si>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</si>
  <si>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</si>
  <si>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</si>
  <si>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</si>
  <si>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</si>
  <si>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</si>
  <si>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</si>
  <si>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</si>
  <si>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</si>
  <si>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</si>
  <si>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</si>
  <si>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</si>
  <si>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</si>
  <si>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</si>
  <si>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</si>
  <si>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</si>
  <si>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</si>
  <si>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</si>
  <si>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</si>
  <si>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</si>
  <si>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</si>
  <si>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</si>
  <si>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</si>
  <si>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</si>
  <si>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</si>
  <si>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</si>
  <si>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</si>
  <si>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</si>
  <si>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</si>
  <si>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</si>
  <si>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</si>
  <si>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</si>
  <si>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</si>
  <si>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</si>
  <si>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</si>
  <si>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</si>
  <si>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</si>
  <si>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</si>
  <si>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</si>
  <si>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</si>
  <si>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</si>
  <si>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</si>
  <si>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</si>
  <si>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</si>
  <si>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</si>
  <si>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</si>
  <si>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</si>
  <si>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</si>
  <si>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</si>
  <si>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</si>
  <si>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</si>
  <si>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</si>
  <si>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</si>
  <si>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</si>
  <si>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</si>
  <si>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</si>
  <si>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</si>
  <si>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</si>
  <si>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</si>
  <si>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</si>
  <si>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</si>
  <si>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</si>
  <si>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</si>
  <si>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</si>
  <si>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</si>
  <si>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</si>
  <si>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</si>
  <si>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</si>
  <si>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</si>
  <si>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</si>
  <si>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</si>
  <si>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</si>
  <si>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</si>
  <si>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</si>
  <si>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</si>
  <si>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</si>
  <si>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</si>
  <si>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</si>
  <si>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</si>
  <si>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</si>
  <si>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</si>
  <si>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</si>
  <si>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</si>
  <si>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</si>
  <si>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</si>
  <si>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</si>
  <si>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</si>
  <si>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</si>
  <si>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</si>
  <si>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</si>
  <si>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</si>
  <si>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</si>
  <si>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</si>
  <si>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</si>
  <si>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</si>
  <si>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</si>
  <si>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</si>
  <si>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</si>
  <si>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</si>
  <si>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</si>
  <si>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</si>
  <si>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</si>
  <si>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</si>
  <si>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</si>
  <si>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</si>
  <si>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</si>
  <si>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</si>
  <si>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</si>
  <si>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</si>
  <si>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</si>
  <si>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</si>
  <si>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</si>
  <si>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</si>
  <si>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</si>
  <si>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</si>
  <si>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</si>
  <si>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</si>
  <si>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</si>
  <si>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</si>
  <si>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</si>
  <si>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</si>
  <si>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</si>
  <si>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</si>
  <si>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</si>
  <si>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</si>
  <si>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</si>
  <si>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</si>
  <si>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</si>
  <si>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</si>
  <si>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</si>
  <si>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</si>
  <si>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</si>
  <si>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</si>
  <si>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</si>
  <si>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</si>
  <si>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</si>
  <si>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</si>
  <si>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</si>
  <si>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</si>
  <si>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</si>
  <si>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</si>
  <si>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</si>
  <si>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</si>
  <si>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</si>
  <si>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</si>
  <si>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</si>
  <si>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</si>
  <si>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</si>
  <si>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</si>
  <si>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</si>
  <si>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</si>
  <si>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</si>
  <si>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</si>
  <si>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</si>
  <si>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</si>
  <si>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</si>
  <si>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</si>
  <si>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</si>
  <si>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</si>
  <si>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</si>
  <si>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</si>
  <si>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</si>
  <si>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</si>
  <si>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</si>
  <si>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</si>
  <si>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</si>
  <si>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</si>
  <si>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</si>
  <si>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</si>
  <si>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</si>
  <si>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</si>
  <si>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</si>
  <si>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</si>
  <si>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</si>
  <si>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</si>
  <si>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</si>
  <si>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</si>
  <si>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</si>
  <si>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</si>
  <si>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</si>
  <si>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</si>
  <si>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</si>
  <si>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</si>
  <si>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</si>
  <si>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</si>
  <si>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</si>
  <si>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</si>
  <si>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</si>
  <si>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</si>
  <si>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</si>
  <si>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</si>
  <si>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</si>
  <si>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</si>
  <si>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</si>
  <si>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</si>
  <si>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</si>
  <si>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</si>
  <si>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</si>
  <si>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</si>
  <si>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</si>
  <si>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</si>
  <si>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</si>
  <si>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</si>
  <si>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</si>
  <si>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</si>
  <si>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</si>
  <si>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</si>
  <si>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</si>
  <si>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</si>
  <si>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</si>
  <si>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</si>
  <si>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</si>
  <si>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</si>
  <si>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</si>
  <si>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</si>
  <si>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</si>
  <si>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</si>
  <si>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</si>
  <si>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</si>
  <si>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</si>
  <si>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</si>
  <si>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</si>
  <si>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</si>
  <si>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</si>
  <si>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</si>
  <si>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</si>
  <si>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</si>
  <si>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</si>
  <si>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</si>
  <si>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</si>
  <si>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</si>
  <si>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</si>
  <si>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</si>
  <si>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</si>
  <si>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</si>
  <si>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</si>
  <si>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</si>
  <si>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</si>
  <si>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</si>
  <si>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</si>
  <si>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</si>
  <si>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</si>
  <si>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</si>
  <si>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</si>
  <si>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</si>
  <si>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</si>
  <si>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</si>
  <si>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</si>
  <si>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</si>
  <si>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</si>
  <si>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</si>
  <si>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</si>
  <si>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</si>
  <si>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</si>
  <si>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</si>
  <si>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</si>
  <si>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</si>
  <si>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</si>
  <si>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</si>
  <si>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</si>
  <si>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</si>
  <si>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</si>
  <si>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</si>
  <si>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</si>
  <si>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</si>
  <si>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</si>
  <si>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</si>
  <si>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</si>
  <si>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</si>
  <si>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</si>
  <si>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</si>
  <si>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</si>
  <si>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</si>
  <si>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</si>
  <si>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</si>
  <si>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</si>
  <si>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</si>
  <si>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</si>
  <si>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</si>
  <si>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</si>
  <si>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</si>
  <si>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</si>
  <si>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</si>
  <si>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</si>
  <si>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</si>
  <si>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</si>
  <si>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</si>
  <si>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</si>
  <si>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</si>
  <si>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</si>
  <si>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</si>
  <si>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</si>
  <si>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</si>
  <si>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</si>
  <si>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</si>
  <si>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</si>
  <si>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</si>
  <si>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</si>
  <si>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</si>
  <si>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</si>
  <si>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</si>
  <si>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</si>
  <si>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</si>
  <si>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</si>
  <si>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</si>
  <si>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</si>
  <si>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</si>
  <si>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</si>
  <si>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</si>
  <si>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</si>
  <si>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</si>
  <si>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</si>
  <si>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</si>
  <si>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</si>
  <si>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</si>
  <si>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</si>
  <si>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</si>
  <si>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</si>
  <si>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</si>
  <si>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</si>
  <si>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</si>
  <si>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</si>
  <si>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</si>
  <si>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</si>
  <si>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</si>
  <si>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</si>
  <si>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</si>
  <si>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</si>
  <si>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</si>
  <si>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</si>
  <si>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</si>
  <si>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</si>
  <si>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</si>
  <si>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</si>
  <si>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</si>
  <si>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</si>
  <si>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山东省</t>
    <phoneticPr fontId="6" type="noConversion"/>
  </si>
  <si>
    <t>青岛市城阳街道大北曲后社区青岛北曲后汇豪置业有限公司</t>
    <phoneticPr fontId="6" type="noConversion"/>
  </si>
  <si>
    <t>企业</t>
  </si>
  <si>
    <t>青岛北曲后汇豪置业有限公司</t>
    <phoneticPr fontId="6" type="noConversion"/>
  </si>
  <si>
    <t>批发零售</t>
    <phoneticPr fontId="6" type="noConversion"/>
  </si>
  <si>
    <t>出让</t>
  </si>
  <si>
    <t>商业</t>
  </si>
  <si>
    <t>否</t>
  </si>
  <si>
    <t>商业项目</t>
  </si>
  <si>
    <t>场地平整</t>
  </si>
  <si>
    <t>通路</t>
  </si>
  <si>
    <t>通电</t>
  </si>
  <si>
    <t>通讯</t>
  </si>
  <si>
    <t>通上水</t>
  </si>
  <si>
    <t>通下水</t>
  </si>
  <si>
    <t>燃气</t>
  </si>
  <si>
    <t>地上</t>
  </si>
  <si>
    <t>地下</t>
  </si>
  <si>
    <t>车库</t>
  </si>
  <si>
    <t>商业</t>
    <phoneticPr fontId="3" type="noConversion"/>
  </si>
  <si>
    <t>项目全部</t>
  </si>
  <si>
    <t>土地</t>
  </si>
  <si>
    <t>比较法-住宅、综合</t>
  </si>
  <si>
    <t>剩余法-待开发</t>
  </si>
  <si>
    <t>商业</t>
    <phoneticPr fontId="26" type="noConversion"/>
  </si>
  <si>
    <t>较好</t>
  </si>
  <si>
    <t>一般</t>
  </si>
  <si>
    <t>七通</t>
  </si>
  <si>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</si>
  <si>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</si>
  <si>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</si>
  <si>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</si>
  <si>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</si>
  <si>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</si>
  <si>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正阳中路</t>
    <phoneticPr fontId="26" type="noConversion"/>
  </si>
  <si>
    <t>土地（套用方法）</t>
  </si>
  <si>
    <t>自定义</t>
  </si>
  <si>
    <t>押一</t>
  </si>
  <si>
    <t>按租金收入计税</t>
  </si>
  <si>
    <t>钢混</t>
  </si>
  <si>
    <t>商业</t>
    <phoneticPr fontId="7" type="noConversion"/>
  </si>
  <si>
    <t>地下车库</t>
    <phoneticPr fontId="7"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</si>
  <si>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</si>
  <si>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地下车库</t>
    </r>
    <r>
      <rPr>
        <sz val="11"/>
        <color theme="1"/>
        <rFont val="Arial"/>
        <family val="2"/>
      </rPr>
      <t>)</t>
    </r>
    <phoneticPr fontId="14" type="noConversion"/>
  </si>
  <si>
    <t>不动产收益法 (地下车库)</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</si>
  <si>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</si>
  <si>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</si>
  <si>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</si>
  <si>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</si>
  <si>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</si>
  <si>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</si>
  <si>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</si>
  <si>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</si>
  <si>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</si>
  <si>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</si>
  <si>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</si>
  <si>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</si>
  <si>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</si>
  <si>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城阳区城阳街道正阳路南侧、黑龙江北路西侧</t>
  </si>
  <si>
    <t>青岛市</t>
  </si>
  <si>
    <t>商业/办公用地</t>
  </si>
  <si>
    <t>＞1且≤1.6</t>
  </si>
  <si>
    <t>拍卖</t>
  </si>
  <si>
    <t>2018-08-20</t>
  </si>
  <si>
    <t>青岛恒海峰置业有限公司</t>
  </si>
  <si>
    <t>城阳区流亭街道双流高架西、胶州湾高速北</t>
  </si>
  <si>
    <t>≥1且≤2.4</t>
  </si>
  <si>
    <t>青岛青特置业有限公司</t>
  </si>
  <si>
    <t>≥1且≤1.8</t>
  </si>
  <si>
    <t>高新区南一路一支路以南、田海路以北、支十三号线以东、支十六号线以西</t>
  </si>
  <si>
    <t>≤1</t>
  </si>
  <si>
    <t>2018-05-03</t>
  </si>
  <si>
    <t>首创钜大营运有限公司,上海钜礐投资管理有限公司</t>
  </si>
  <si>
    <t>高新区智力岛路以北、岙东路以东、和融路以西、广博路以南</t>
  </si>
  <si>
    <t>≤3</t>
  </si>
  <si>
    <t>2018-02-11</t>
  </si>
  <si>
    <t>青岛中腾双创产业发展有限公司</t>
  </si>
  <si>
    <t>≤3.5</t>
  </si>
  <si>
    <t>2018-01-02</t>
  </si>
  <si>
    <t>青岛网信荣创创新置业有限公司</t>
  </si>
  <si>
    <t>高新区华中路以西、胶州湾高速路以北、海月路以东A地块</t>
  </si>
  <si>
    <t>≤4.4</t>
  </si>
  <si>
    <t>高新区泰瑞路以南、宝源路以东</t>
  </si>
  <si>
    <t>＞1且≤3.5</t>
  </si>
  <si>
    <t>2017-12-04</t>
  </si>
  <si>
    <t>凱喜有限公司</t>
  </si>
  <si>
    <t>高新区智力岛西路以东、智力岛3号线以南、智力岛中路以西、环岛路以北</t>
  </si>
  <si>
    <t>≤2</t>
  </si>
  <si>
    <t>2017-05-11</t>
  </si>
  <si>
    <t>青岛海尔地产集团有限公司,青岛海尔特种电器有限公司</t>
  </si>
  <si>
    <t>高新区智力岛西路以东、智力岛3号线以北、智力岛中路以西、智力岛路以南</t>
  </si>
  <si>
    <t>高新区规划东33号线以北、泰祥路以南、华东路以西</t>
  </si>
  <si>
    <t>≤0.5</t>
  </si>
  <si>
    <t>挂牌</t>
  </si>
  <si>
    <t>2017-05-10</t>
  </si>
  <si>
    <t>青岛大昌源实业有限公司</t>
  </si>
  <si>
    <t>红岛经济区火炬路以南、青威路延长线以东</t>
  </si>
  <si>
    <t>＜1.25</t>
  </si>
  <si>
    <t>2016-03-23</t>
  </si>
  <si>
    <t>青岛国信红岛国际会议展览中心有限公司</t>
  </si>
  <si>
    <t>红岛经济区高新区聚贤桥路以东、新业路以南</t>
  </si>
  <si>
    <t>≤1.2</t>
  </si>
  <si>
    <t>2016-02-24</t>
  </si>
  <si>
    <t>青岛鹿港东方置业有限公司</t>
  </si>
  <si>
    <t>城阳区兴阳路北、黑龙江高架桥西侧</t>
  </si>
  <si>
    <t>＞1.0且≤3.0</t>
  </si>
  <si>
    <t>2016-01-29</t>
  </si>
  <si>
    <t>青岛鲁昊置业有限公司</t>
  </si>
  <si>
    <t>40</t>
    <phoneticPr fontId="26" type="noConversion"/>
  </si>
  <si>
    <t>楼面地价</t>
  </si>
  <si>
    <t>吴薇</t>
  </si>
  <si>
    <t>赵雯</t>
  </si>
  <si>
    <t>中粮信托有限责任公司</t>
    <phoneticPr fontId="6" type="noConversion"/>
  </si>
  <si>
    <t>《不动产权证书》[青房地权市字第201174701号]</t>
    <phoneticPr fontId="6" type="noConversion"/>
  </si>
  <si>
    <t>估价对象位于青岛市城阳区，周边商业氛围较成熟，人流量较大，商业繁华度较好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</si>
  <si>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</si>
  <si>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</si>
  <si>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估价对象所在区域基础设施水平达到七通</t>
    <phoneticPr fontId="3" type="noConversion"/>
  </si>
  <si>
    <t>主干道—正阳中路</t>
    <phoneticPr fontId="21" type="noConversion"/>
  </si>
  <si>
    <t>高新区智力岛路以北、岙东路以东、和融路以西、广博路以南</t>
    <phoneticPr fontId="233" type="noConversion"/>
  </si>
  <si>
    <r>
      <rPr>
        <sz val="10"/>
        <rFont val="宋体"/>
        <family val="3"/>
        <charset val="134"/>
      </rPr>
      <t>高新区华中路以西、胶州湾高速路以北、海月路以东</t>
    </r>
    <r>
      <rPr>
        <sz val="10"/>
        <rFont val="Arial"/>
        <family val="2"/>
      </rPr>
      <t>B</t>
    </r>
    <r>
      <rPr>
        <sz val="10"/>
        <rFont val="宋体"/>
        <family val="3"/>
        <charset val="134"/>
      </rPr>
      <t>地块</t>
    </r>
    <phoneticPr fontId="233" type="noConversion"/>
  </si>
  <si>
    <t>一般</t>
    <phoneticPr fontId="21"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</si>
  <si>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</si>
  <si>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</si>
  <si>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</si>
  <si>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</si>
  <si>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</si>
  <si>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</si>
  <si>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</si>
  <si>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</si>
  <si>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</si>
  <si>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</si>
  <si>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</si>
  <si>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</si>
  <si>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</si>
  <si>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</si>
  <si>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</si>
  <si>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</si>
  <si>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差</t>
    <phoneticPr fontId="26" type="noConversion"/>
  </si>
  <si>
    <t>城阳区流亭街道双流高架西、胶州湾高速南</t>
    <phoneticPr fontId="233" type="noConversion"/>
  </si>
  <si>
    <t>1层</t>
    <phoneticPr fontId="233" type="noConversion"/>
  </si>
  <si>
    <t>2层</t>
    <phoneticPr fontId="233" type="noConversion"/>
  </si>
  <si>
    <t>3层</t>
    <phoneticPr fontId="233" type="noConversion"/>
  </si>
  <si>
    <t>4层</t>
    <phoneticPr fontId="233" type="noConversion"/>
  </si>
  <si>
    <t>5层</t>
    <phoneticPr fontId="233" type="noConversion"/>
  </si>
  <si>
    <t>地下1层</t>
    <phoneticPr fontId="233" type="noConversion"/>
  </si>
  <si>
    <t>影院夹层</t>
    <phoneticPr fontId="233" type="noConversion"/>
  </si>
  <si>
    <t>屋顶层</t>
    <phoneticPr fontId="233" type="noConversion"/>
  </si>
  <si>
    <t>楼层</t>
    <phoneticPr fontId="233" type="noConversion"/>
  </si>
  <si>
    <t>面积</t>
    <phoneticPr fontId="233" type="noConversion"/>
  </si>
  <si>
    <t>租金单价</t>
    <phoneticPr fontId="233" type="noConversion"/>
  </si>
  <si>
    <t>不临街6米可建夹层37000</t>
    <phoneticPr fontId="233" type="noConversion"/>
  </si>
  <si>
    <r>
      <t>临街小面积6米可建夹层</t>
    </r>
    <r>
      <rPr>
        <sz val="11"/>
        <color theme="1"/>
        <rFont val="宋体"/>
        <family val="3"/>
        <charset val="134"/>
        <scheme val="minor"/>
      </rPr>
      <t>43000</t>
    </r>
    <phoneticPr fontId="233" type="noConversion"/>
  </si>
  <si>
    <t>临主街（正阳中路）只租不售，1-2层租金4-5块，400平米</t>
    <phoneticPr fontId="233" type="noConversion"/>
  </si>
  <si>
    <t>二层位置好的30000，差的20000</t>
    <phoneticPr fontId="233" type="noConversion"/>
  </si>
  <si>
    <r>
      <t>三层1</t>
    </r>
    <r>
      <rPr>
        <sz val="11"/>
        <color theme="1"/>
        <rFont val="宋体"/>
        <family val="3"/>
        <charset val="134"/>
        <scheme val="minor"/>
      </rPr>
      <t>5000-20000</t>
    </r>
    <phoneticPr fontId="233" type="noConversion"/>
  </si>
  <si>
    <r>
      <t>有返祖3年</t>
    </r>
    <r>
      <rPr>
        <sz val="11"/>
        <color theme="1"/>
        <rFont val="宋体"/>
        <family val="3"/>
        <charset val="134"/>
        <scheme val="minor"/>
      </rPr>
      <t>19%，5年26%，6年30%。</t>
    </r>
    <phoneticPr fontId="233" type="noConversion"/>
  </si>
  <si>
    <t>一层35000-40000</t>
    <phoneticPr fontId="233" type="noConversion"/>
  </si>
  <si>
    <r>
      <t>折扣二层位置好的2</t>
    </r>
    <r>
      <rPr>
        <sz val="11"/>
        <color theme="1"/>
        <rFont val="宋体"/>
        <family val="3"/>
        <charset val="134"/>
        <scheme val="minor"/>
      </rPr>
      <t>1000-23000</t>
    </r>
    <phoneticPr fontId="233" type="noConversion"/>
  </si>
  <si>
    <t>正阳路主街1层街铺 租金5-6块</t>
    <phoneticPr fontId="233" type="noConversion"/>
  </si>
  <si>
    <t>城市快速路</t>
  </si>
  <si>
    <t>黑龙江北路</t>
    <phoneticPr fontId="26" type="noConversion"/>
  </si>
  <si>
    <t>较差</t>
  </si>
  <si>
    <t>岙东路</t>
    <phoneticPr fontId="26" type="noConversion"/>
  </si>
  <si>
    <t>城市支路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</si>
</sst>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127" fillId="6" borderId="0" xfId="15" applyFont="1" applyFill="1"/>
    <xf numFmtId="0" fontId="86" fillId="8" borderId="0" xfId="15" applyFill="1"/>
    <xf numFmtId="0" fontId="0" fillId="8" borderId="0" xfId="0" applyFill="1">
      <alignment vertical="center"/>
    </xf>
    <xf numFmtId="0" fontId="81"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11</xdr:row>
      <xdr:rowOff>76200</xdr:rowOff>
    </xdr:from>
    <xdr:to>
      <xdr:col>10</xdr:col>
      <xdr:colOff>266700</xdr:colOff>
      <xdr:row>36</xdr:row>
      <xdr:rowOff>89067</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1962150"/>
          <a:ext cx="7172325" cy="4299117"/>
        </a:xfrm>
        <a:prstGeom prst="rect">
          <a:avLst/>
        </a:prstGeom>
      </xdr:spPr>
    </xdr:pic>
    <xdr:clientData/>
  </xdr:twoCellAnchor>
  <xdr:twoCellAnchor editAs="oneCell">
    <xdr:from>
      <xdr:col>0</xdr:col>
      <xdr:colOff>295275</xdr:colOff>
      <xdr:row>36</xdr:row>
      <xdr:rowOff>95250</xdr:rowOff>
    </xdr:from>
    <xdr:to>
      <xdr:col>10</xdr:col>
      <xdr:colOff>288725</xdr:colOff>
      <xdr:row>59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6267450"/>
          <a:ext cx="7108625" cy="396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12</xdr:col>
      <xdr:colOff>497473</xdr:colOff>
      <xdr:row>8</xdr:row>
      <xdr:rowOff>57151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151"/>
          <a:ext cx="8727073" cy="1371600"/>
        </a:xfrm>
        <a:prstGeom prst="rect">
          <a:avLst/>
        </a:prstGeom>
      </xdr:spPr>
    </xdr:pic>
    <xdr:clientData/>
  </xdr:twoCellAnchor>
  <xdr:twoCellAnchor editAs="oneCell">
    <xdr:from>
      <xdr:col>0</xdr:col>
      <xdr:colOff>85725</xdr:colOff>
      <xdr:row>8</xdr:row>
      <xdr:rowOff>161925</xdr:rowOff>
    </xdr:from>
    <xdr:to>
      <xdr:col>13</xdr:col>
      <xdr:colOff>276225</xdr:colOff>
      <xdr:row>36</xdr:row>
      <xdr:rowOff>131784</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5" y="1533525"/>
          <a:ext cx="9105900" cy="4770459"/>
        </a:xfrm>
        <a:prstGeom prst="rect">
          <a:avLst/>
        </a:prstGeom>
      </xdr:spPr>
    </xdr:pic>
    <xdr:clientData/>
  </xdr:twoCellAnchor>
  <xdr:twoCellAnchor editAs="oneCell">
    <xdr:from>
      <xdr:col>0</xdr:col>
      <xdr:colOff>314325</xdr:colOff>
      <xdr:row>36</xdr:row>
      <xdr:rowOff>161925</xdr:rowOff>
    </xdr:from>
    <xdr:to>
      <xdr:col>10</xdr:col>
      <xdr:colOff>515488</xdr:colOff>
      <xdr:row>67</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314325" y="6334125"/>
          <a:ext cx="7059163" cy="5305425"/>
        </a:xfrm>
        <a:prstGeom prst="rect">
          <a:avLst/>
        </a:prstGeom>
      </xdr:spPr>
    </xdr:pic>
    <xdr:clientData/>
  </xdr:twoCellAnchor>
  <xdr:twoCellAnchor editAs="oneCell">
    <xdr:from>
      <xdr:col>10</xdr:col>
      <xdr:colOff>600074</xdr:colOff>
      <xdr:row>36</xdr:row>
      <xdr:rowOff>85725</xdr:rowOff>
    </xdr:from>
    <xdr:to>
      <xdr:col>21</xdr:col>
      <xdr:colOff>494173</xdr:colOff>
      <xdr:row>64</xdr:row>
      <xdr:rowOff>167721</xdr:rowOff>
    </xdr:to>
    <xdr:pic>
      <xdr:nvPicPr>
        <xdr:cNvPr id="5" name="图片 4"/>
        <xdr:cNvPicPr>
          <a:picLocks noChangeAspect="1"/>
        </xdr:cNvPicPr>
      </xdr:nvPicPr>
      <xdr:blipFill>
        <a:blip xmlns:r="http://schemas.openxmlformats.org/officeDocument/2006/relationships" r:embed="rId4"/>
        <a:stretch>
          <a:fillRect/>
        </a:stretch>
      </xdr:blipFill>
      <xdr:spPr>
        <a:xfrm>
          <a:off x="7458074" y="6257925"/>
          <a:ext cx="7437899" cy="4882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1047750</xdr:colOff>
      <xdr:row>16</xdr:row>
      <xdr:rowOff>142875</xdr:rowOff>
    </xdr:from>
    <xdr:to>
      <xdr:col>13</xdr:col>
      <xdr:colOff>284477</xdr:colOff>
      <xdr:row>50</xdr:row>
      <xdr:rowOff>123099</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0" y="2886075"/>
          <a:ext cx="10190477" cy="5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H37" sqref="H37"/>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2658</v>
      </c>
      <c r="B1" s="2892" t="s">
        <v>2755</v>
      </c>
    </row>
    <row r="2" spans="1:55" s="2896" customFormat="1" ht="15" thickTop="1">
      <c r="A2" s="2894" t="s">
        <v>2662</v>
      </c>
      <c r="B2" s="2895" t="str">
        <f>'预评函-封皮'!B37</f>
        <v>山东省青岛市城阳街道大北曲后社区青岛北曲后汇豪置业有限公司出让国有建设用地使用权抵押价格预评估</v>
      </c>
      <c r="AX2" s="2897"/>
      <c r="AZ2" s="2897"/>
      <c r="BA2" s="2898"/>
      <c r="BC2" s="2898"/>
    </row>
    <row r="3" spans="1:55" s="2899" customFormat="1">
      <c r="A3" s="2878" t="s">
        <v>2663</v>
      </c>
      <c r="B3" s="2881" t="str">
        <f>'预评函-封皮'!B40</f>
        <v>青岛北曲后汇豪置业有限公司</v>
      </c>
    </row>
    <row r="4" spans="1:55" s="2880" customFormat="1">
      <c r="A4" s="2878" t="s">
        <v>2664</v>
      </c>
      <c r="B4" s="2879" t="str">
        <f>'预评函-封皮'!B46</f>
        <v>吴薇、赵雯</v>
      </c>
      <c r="N4" s="2880" t="str">
        <f>'预评函-1'!A28</f>
        <v/>
      </c>
    </row>
    <row r="5" spans="1:55" s="2893" customFormat="1" ht="15" thickBot="1">
      <c r="A5" s="2900" t="s">
        <v>2665</v>
      </c>
      <c r="B5" s="2901" t="str">
        <f>'预评函-封皮'!B49</f>
        <v>康正预评字号</v>
      </c>
    </row>
    <row r="6" spans="1:55" s="2902" customFormat="1" ht="15" thickTop="1">
      <c r="A6" s="2894" t="s">
        <v>2707</v>
      </c>
      <c r="B6" s="2895" t="str">
        <f>'预评函-1'!A4</f>
        <v>受贵公司委托，我公司对山东省青岛市城阳街道大北曲后社区青岛北曲后汇豪置业有限公司出让国有建设用地使用权抵押价格进行了预评估。</v>
      </c>
      <c r="AM6" s="2903"/>
    </row>
    <row r="7" spans="1:55" s="2877" customFormat="1">
      <c r="A7" s="2878" t="s">
        <v>2659</v>
      </c>
      <c r="B7" s="2879" t="str">
        <f>'预评函-1'!A6</f>
        <v>估价对象为青岛北曲后汇豪置业有限公司使用的、位于山东省青岛市城阳街道大北曲后社区青岛北曲后汇豪置业有限公司出让国有建设用地使用权。根据《国有土地使用证》[]，估价对象（分摊）出让国有建设用地使用权面积为31518.19平方米。根据《建设工程规划许可证》[]、《出让合同》[]，估价对象规划建筑面积为124676.06平方米。</v>
      </c>
    </row>
    <row r="8" spans="1:55" s="2877" customFormat="1">
      <c r="A8" s="2878" t="s">
        <v>2660</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2710</v>
      </c>
      <c r="B9" s="2879" t="str">
        <f>'预评函-1'!A9</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2661</v>
      </c>
      <c r="B10" s="2879" t="str">
        <f>'预评函-1'!A11</f>
        <v>2018年8月30日（评估专业人员勘察现场之日）</v>
      </c>
    </row>
    <row r="11" spans="1:55" s="2877" customFormat="1">
      <c r="A11" s="2878" t="s">
        <v>2667</v>
      </c>
      <c r="B11" s="2879" t="str">
        <f>'预评函-1'!A14</f>
        <v>根据《不动产权证书》[青房地权市字第201174701号]，本次评估估价对象证载（地类）用途为批发零售。</v>
      </c>
    </row>
    <row r="12" spans="1:55" s="2877" customFormat="1">
      <c r="A12" s="2878" t="s">
        <v>2668</v>
      </c>
      <c r="B12" s="2879" t="str">
        <f>'预评函-1'!A15</f>
        <v>本次评估设定用途即为证载用途。</v>
      </c>
    </row>
    <row r="13" spans="1:55" s="2877" customFormat="1">
      <c r="A13" s="2878" t="s">
        <v>2669</v>
      </c>
      <c r="B13" s="2879" t="str">
        <f>'预评函-1'!A17</f>
        <v>根据委托估价方介绍及评估专业人员现场勘查，本次评估估价对象实际土地开发程度为红线外市政基础设施达“六通”（即通路、通电、通讯、通上水、通下水、燃气）、宗地红线内场地平整。</v>
      </c>
    </row>
    <row r="14" spans="1:55" s="2877" customFormat="1">
      <c r="A14" s="2878" t="s">
        <v>2670</v>
      </c>
      <c r="B14" s="2879" t="str">
        <f>'预评函-1'!A18</f>
        <v>本次评估设定土地开发程度为红线外市政基础设施达“六通”、宗地红线内场地平整。</v>
      </c>
    </row>
    <row r="15" spans="1:55" s="2877" customFormat="1">
      <c r="A15" s="2878" t="s">
        <v>2666</v>
      </c>
      <c r="B15" s="2879" t="str">
        <f>'预评函-1'!A20</f>
        <v>根据《国有土地使用证》[]，估价对象（分摊）出让国有建设用地使用权面积为31518.19平方米。根据《建设工程规划许可证》[]、《出让合同》[]，估价对象规划建筑面积为124676.06平方米。</v>
      </c>
    </row>
    <row r="16" spans="1:55" s="2877" customFormat="1">
      <c r="A16" s="2878" t="s">
        <v>2671</v>
      </c>
      <c r="B16" s="2879" t="str">
        <f>'预评函-1'!A22</f>
        <v>本次估价对象为出让国有建设用地使用权，依据《不动产权证书》[青房地权市字第201174701号]、《国有建设用地使用权出让合同》[]及附件、《北京市规划委员会关于同意XX项目的规划设计方案的规划意见复函》[]以及《建设工程规划许可证》[]，土地终止日期为商业2051年4月21日地下车库2061年4月21日。截至估价期日，出让国有建设用地使用权剩余土地使用年限为。</v>
      </c>
    </row>
    <row r="17" spans="1:48" s="2877" customFormat="1">
      <c r="A17" s="2878" t="s">
        <v>2672</v>
      </c>
      <c r="B17" s="2879" t="str">
        <f>'预评函-1'!A23</f>
        <v>本次评估设定估价对象剩余土地使用年限为。</v>
      </c>
    </row>
    <row r="18" spans="1:48" s="2877" customFormat="1">
      <c r="A18" s="2878" t="s">
        <v>2673</v>
      </c>
      <c r="B18" s="2879" t="str">
        <f>'预评函-1'!A25</f>
        <v>本次估价的“出让国有建设用地使用权价格”是指在估价对象土地所有权为国家所有，使用权性质为出让，在公开市场条件下、于估价期日2018年8月30日，在规划利用条件下、设定土地开发程度为红线外“六通”、宗地内场地，设定用途为，剩余土地使用年限为的出让国有建设用地使用权价格。</v>
      </c>
    </row>
    <row r="19" spans="1:48" s="2877" customFormat="1">
      <c r="A19" s="2878" t="s">
        <v>2674</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2675</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2676</v>
      </c>
      <c r="B21" s="2901" t="str">
        <f>'预评函-1'!A28</f>
        <v/>
      </c>
    </row>
    <row r="22" spans="1:48" ht="15" thickTop="1">
      <c r="A22" s="2889" t="s">
        <v>2677</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2678</v>
      </c>
      <c r="B23" s="2879" t="str">
        <f>'预评函-2'!K2</f>
        <v>估价期日：2018年8月30日</v>
      </c>
    </row>
    <row r="24" spans="1:48">
      <c r="A24" s="2878" t="s">
        <v>2679</v>
      </c>
      <c r="B24" s="2879" t="str">
        <f>'预评函-2'!R2</f>
        <v>估价期日的国有建设用地使用权性质：出让</v>
      </c>
    </row>
    <row r="25" spans="1:48">
      <c r="A25" s="2878" t="s">
        <v>2735</v>
      </c>
      <c r="B25" s="2879" t="str">
        <f>'预评函-2'!A3</f>
        <v>估价期日土地使用者</v>
      </c>
    </row>
    <row r="26" spans="1:48">
      <c r="A26" s="2878" t="s">
        <v>2711</v>
      </c>
      <c r="B26" s="2879" t="str">
        <f>'预评函-2'!A5</f>
        <v>中信开发</v>
      </c>
    </row>
    <row r="27" spans="1:48">
      <c r="A27" s="2878" t="s">
        <v>2736</v>
      </c>
      <c r="B27" s="2879" t="str">
        <f>'预评函-2'!B3</f>
        <v>宗地编号/不动产单元号</v>
      </c>
    </row>
    <row r="28" spans="1:48">
      <c r="A28" s="2878" t="s">
        <v>2712</v>
      </c>
      <c r="B28" s="2879" t="str">
        <f>'预评函-2'!B5</f>
        <v>11111111111</v>
      </c>
    </row>
    <row r="29" spans="1:48">
      <c r="A29" s="2878" t="s">
        <v>2738</v>
      </c>
      <c r="B29" s="2879">
        <f>'预评函-2'!C5</f>
        <v>22</v>
      </c>
    </row>
    <row r="30" spans="1:48">
      <c r="A30" s="2878" t="s">
        <v>2739</v>
      </c>
      <c r="B30" s="2879" t="str">
        <f>'预评函-2'!D3</f>
        <v>土地使用证编号/不动产权证书编号</v>
      </c>
    </row>
    <row r="31" spans="1:48">
      <c r="A31" s="2878" t="s">
        <v>2713</v>
      </c>
      <c r="B31" s="2879" t="str">
        <f>'预评函-2'!D5</f>
        <v>京国土字第111号</v>
      </c>
    </row>
    <row r="32" spans="1:48">
      <c r="A32" s="2878" t="s">
        <v>2714</v>
      </c>
      <c r="B32" s="2879" t="str">
        <f>'预评函-2'!E5</f>
        <v>批发零售</v>
      </c>
      <c r="AV32" s="2883"/>
    </row>
    <row r="33" spans="1:2">
      <c r="A33" s="2878" t="s">
        <v>2715</v>
      </c>
      <c r="B33" s="2879">
        <f>'预评函-2'!F5</f>
        <v>258</v>
      </c>
    </row>
    <row r="34" spans="1:2">
      <c r="A34" s="2878" t="s">
        <v>2716</v>
      </c>
      <c r="B34" s="2879">
        <f>'预评函-2'!G5</f>
        <v>0</v>
      </c>
    </row>
    <row r="35" spans="1:2">
      <c r="A35" s="2878" t="s">
        <v>2717</v>
      </c>
      <c r="B35" s="2879">
        <f>'预评函-2'!H5</f>
        <v>1.5</v>
      </c>
    </row>
    <row r="36" spans="1:2">
      <c r="A36" s="2878" t="s">
        <v>2718</v>
      </c>
      <c r="B36" s="2879">
        <f>'预评函-2'!I5</f>
        <v>1.5</v>
      </c>
    </row>
    <row r="37" spans="1:2">
      <c r="A37" s="2878" t="s">
        <v>2719</v>
      </c>
      <c r="B37" s="2879">
        <f>'预评函-2'!J5</f>
        <v>1.5</v>
      </c>
    </row>
    <row r="38" spans="1:2">
      <c r="A38" s="2878" t="s">
        <v>2720</v>
      </c>
      <c r="B38" s="2879" t="str">
        <f>'预评函-2'!K5</f>
        <v>红线外六通、宗地红线内场地平整</v>
      </c>
    </row>
    <row r="39" spans="1:2">
      <c r="A39" s="2878" t="s">
        <v>2721</v>
      </c>
      <c r="B39" s="2879" t="str">
        <f>'预评函-2'!L5</f>
        <v>红线外六通、宗地红线内场地</v>
      </c>
    </row>
    <row r="40" spans="1:2">
      <c r="A40" s="2878" t="s">
        <v>2740</v>
      </c>
      <c r="B40" s="2879" t="str">
        <f>'预评函-2'!M3</f>
        <v>（剩余）土地使用年限/年</v>
      </c>
    </row>
    <row r="41" spans="1:2">
      <c r="A41" s="2878" t="s">
        <v>2722</v>
      </c>
      <c r="B41" s="2879">
        <f>'预评函-2'!M5</f>
        <v>0</v>
      </c>
    </row>
    <row r="42" spans="1:2">
      <c r="A42" s="2878" t="s">
        <v>2741</v>
      </c>
      <c r="B42" s="2879" t="str">
        <f>'预评函-2'!N3</f>
        <v>（分摊）出让国有建设用地使用权面积/㎡</v>
      </c>
    </row>
    <row r="43" spans="1:2">
      <c r="A43" s="2878" t="s">
        <v>2723</v>
      </c>
      <c r="B43" s="2879">
        <f>'预评函-2'!N5</f>
        <v>31518.19</v>
      </c>
    </row>
    <row r="44" spans="1:2">
      <c r="A44" s="2878" t="s">
        <v>2742</v>
      </c>
      <c r="B44" s="2879" t="str">
        <f>'预评函-2'!O3</f>
        <v>规划建筑面积/㎡</v>
      </c>
    </row>
    <row r="45" spans="1:2">
      <c r="A45" s="2878" t="s">
        <v>2724</v>
      </c>
      <c r="B45" s="2879">
        <f>'预评函-2'!O5</f>
        <v>124676.06000000001</v>
      </c>
    </row>
    <row r="46" spans="1:2">
      <c r="A46" s="2878" t="s">
        <v>2725</v>
      </c>
      <c r="B46" s="2879">
        <f ca="1">'预评函-2'!P5</f>
        <v>8711</v>
      </c>
    </row>
    <row r="47" spans="1:2">
      <c r="A47" s="2878" t="s">
        <v>2726</v>
      </c>
      <c r="B47" s="2879">
        <f ca="1">'预评函-2'!Q5</f>
        <v>2202</v>
      </c>
    </row>
    <row r="48" spans="1:2">
      <c r="A48" s="2878" t="s">
        <v>2727</v>
      </c>
      <c r="B48" s="2879">
        <f ca="1">'预评函-2'!R5</f>
        <v>27455</v>
      </c>
    </row>
    <row r="49" spans="1:2">
      <c r="A49" s="2878" t="s">
        <v>2743</v>
      </c>
      <c r="B49" s="2879" t="str">
        <f>'预评函-2'!A6</f>
        <v>抵押价格</v>
      </c>
    </row>
    <row r="50" spans="1:2">
      <c r="A50" s="2878" t="s">
        <v>2728</v>
      </c>
      <c r="B50" s="2879">
        <f ca="1">'预评函-2'!R6</f>
        <v>27455</v>
      </c>
    </row>
    <row r="51" spans="1:2">
      <c r="A51" s="2878" t="s">
        <v>2744</v>
      </c>
      <c r="B51" s="2879" t="str">
        <f>'预评函-2'!A7</f>
        <v>——</v>
      </c>
    </row>
    <row r="52" spans="1:2">
      <c r="A52" s="2878" t="s">
        <v>2729</v>
      </c>
      <c r="B52" s="2879" t="str">
        <f>'预评函-2'!R7</f>
        <v>——</v>
      </c>
    </row>
    <row r="53" spans="1:2">
      <c r="A53" s="2878" t="s">
        <v>2745</v>
      </c>
      <c r="B53" s="2879" t="str">
        <f>'预评函-2'!A8</f>
        <v>——</v>
      </c>
    </row>
    <row r="54" spans="1:2" s="2893" customFormat="1" ht="15" thickBot="1">
      <c r="A54" s="2900" t="s">
        <v>2730</v>
      </c>
      <c r="B54" s="2901" t="str">
        <f>'预评函-2'!R8</f>
        <v>——</v>
      </c>
    </row>
    <row r="55" spans="1:2" ht="15" thickTop="1">
      <c r="A55" s="2889" t="s">
        <v>2680</v>
      </c>
      <c r="B55" s="2890" t="str">
        <f>'预评函-3'!A2</f>
        <v>1.权利限制：根据估价对象《不动产权证书》复印件、《国有土地使用权》——，截至估价期日，估价对象抵押权未见登记。未设定租赁等其他他项权利。</v>
      </c>
    </row>
    <row r="56" spans="1:2">
      <c r="A56" s="2878" t="s">
        <v>2681</v>
      </c>
      <c r="B56" s="2879" t="str">
        <f>'预评函-3'!A3</f>
        <v>2.基础设施条件：估价对象实际开发程度为红线外六通、宗地红线内场地平整；本次评估设定开发程度为红线外六通、宗地红线内场地。</v>
      </c>
    </row>
    <row r="57" spans="1:2">
      <c r="A57" s="2878" t="s">
        <v>2682</v>
      </c>
      <c r="B57" s="2879" t="str">
        <f>'预评函-3'!A4</f>
        <v>3.估价规划限制条件：详见《建设工程规划许可证》[]、《出让合同》[]。</v>
      </c>
    </row>
    <row r="58" spans="1:2" s="2893" customFormat="1" ht="15" thickBot="1">
      <c r="A58" s="2900" t="s">
        <v>2731</v>
      </c>
      <c r="B58" s="2901" t="str">
        <f>'预评函-3'!A5</f>
        <v>4.影响价格的其他限定条件：无。</v>
      </c>
    </row>
    <row r="59" spans="1:2" ht="15" thickTop="1">
      <c r="A59" s="2889" t="s">
        <v>2683</v>
      </c>
      <c r="B59" s="2890" t="str">
        <f>'预评函-3'!A8</f>
        <v>2.本《评估意见函》仅供金融机构进行内部审核使用，不做其他目的之用。</v>
      </c>
    </row>
    <row r="60" spans="1:2">
      <c r="A60" s="2878" t="s">
        <v>2684</v>
      </c>
      <c r="B60" s="2879" t="str">
        <f>'预评函-3'!A9</f>
        <v>3.抵押双方在办理抵押登记手续时，应使用本公司出具的正式《土地估价报告》，特提请报告使用者注意。</v>
      </c>
    </row>
    <row r="61" spans="1:2">
      <c r="A61" s="2878" t="s">
        <v>2686</v>
      </c>
      <c r="B61" s="2879" t="str">
        <f>'预评函-3'!A10</f>
        <v>4.估价师所知悉的法定优先受偿款情况为：</v>
      </c>
    </row>
    <row r="62" spans="1:2">
      <c r="A62" s="2878" t="s">
        <v>2685</v>
      </c>
      <c r="B62" s="2879" t="str">
        <f>'预评函-3'!A11</f>
        <v>（1）根据估价对象《不动产权证书》复印件、《国有土地使用权》——，截至估价期日，估价对象抵押权未见登记。</v>
      </c>
    </row>
    <row r="63" spans="1:2">
      <c r="A63" s="2878" t="s">
        <v>2687</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2688</v>
      </c>
      <c r="B64" s="2884" t="str">
        <f>'预评函-3'!A13</f>
        <v>（3）。</v>
      </c>
    </row>
    <row r="65" spans="1:2">
      <c r="A65" s="2878" t="s">
        <v>2689</v>
      </c>
      <c r="B65" s="2885" t="str">
        <f>'预评函-3'!A14</f>
        <v>综上，本次评估不存在估价师知悉的法定优先受偿款</v>
      </c>
    </row>
    <row r="66" spans="1:2">
      <c r="A66" s="2878" t="s">
        <v>2690</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2691</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2694</v>
      </c>
      <c r="B68" s="2904">
        <f>'预评函-3'!D30</f>
        <v>42558</v>
      </c>
    </row>
    <row r="69" spans="1:2" ht="15" thickTop="1">
      <c r="A69" s="2889" t="s">
        <v>2692</v>
      </c>
      <c r="B69" s="2890" t="str">
        <f>'预评函-3'!A20</f>
        <v>吴薇</v>
      </c>
    </row>
    <row r="70" spans="1:2">
      <c r="A70" s="2878" t="s">
        <v>2692</v>
      </c>
      <c r="B70" s="2885">
        <f ca="1">'预评函-3'!B20</f>
        <v>2002110125</v>
      </c>
    </row>
    <row r="71" spans="1:2">
      <c r="A71" s="2878" t="s">
        <v>2693</v>
      </c>
      <c r="B71" s="2879" t="str">
        <f>'预评函-3'!A21</f>
        <v>赵雯</v>
      </c>
    </row>
    <row r="72" spans="1:2" s="2893" customFormat="1" ht="15" thickBot="1">
      <c r="A72" s="2900" t="s">
        <v>2693</v>
      </c>
      <c r="B72" s="2906">
        <f ca="1">'预评函-3'!B21</f>
        <v>2011110090</v>
      </c>
    </row>
    <row r="73" spans="1:2" ht="15" thickTop="1">
      <c r="A73" s="2889" t="s">
        <v>2752</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2753</v>
      </c>
      <c r="B74" s="2886" t="str">
        <f>'预评函-1 (储备)'!A18</f>
        <v>由于本次评估估价目的是评估储备国有建设用地使用权的“抵押价格”，因此本次评估设定土地开发程度为红线外市政基础设施达“六通”、宗地红线内场地平整。</v>
      </c>
    </row>
    <row r="75" spans="1:2" s="2893" customFormat="1" ht="15" thickBot="1">
      <c r="A75" s="2900" t="s">
        <v>2754</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45" t="str">
        <f>IF(B10="北京市","北京市",C10)&amp;F10&amp;B16&amp;"国有建设用地使用权"&amp;B9&amp;"预评估"</f>
        <v>山东省青岛市城阳街道大北曲后社区青岛北曲后汇豪置业有限公司出让国有建设用地使用权抵押价格预评估</v>
      </c>
      <c r="C1" s="3246"/>
      <c r="D1" s="3246"/>
      <c r="E1" s="3246"/>
      <c r="F1" s="3246"/>
      <c r="G1" s="3246"/>
      <c r="H1" s="3246"/>
      <c r="I1" s="3247"/>
      <c r="J1" s="1693"/>
      <c r="K1" s="2455" t="str">
        <f>IF(B10="北京市","北京市",C10)&amp;F10&amp;B16&amp;"国有建设用地使用权"&amp;B9</f>
        <v>山东省青岛市城阳街道大北曲后社区青岛北曲后汇豪置业有限公司出让国有建设用地使用权抵押价格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55" t="str">
        <f>IF(B10="北京市","北京市",C10)&amp;F10&amp;B16&amp;"国有建设用地使用权"</f>
        <v>山东省青岛市城阳街道大北曲后社区青岛北曲后汇豪置业有限公司出让国有建设用地使用权</v>
      </c>
      <c r="L2" s="1722"/>
      <c r="M2" s="1722"/>
      <c r="N2" s="1693"/>
      <c r="O2" s="1694"/>
      <c r="P2" s="1693"/>
      <c r="Q2" s="1693"/>
      <c r="R2" s="1693"/>
      <c r="S2" s="1693"/>
      <c r="T2" s="1693"/>
      <c r="U2" s="1693"/>
    </row>
    <row r="3" spans="1:21">
      <c r="A3" s="1661" t="s">
        <v>1942</v>
      </c>
      <c r="B3" s="1662">
        <v>43342</v>
      </c>
      <c r="C3" s="1663" t="s">
        <v>1997</v>
      </c>
      <c r="D3" s="1662">
        <f>B3</f>
        <v>43342</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3098</v>
      </c>
      <c r="C4" s="1845">
        <f ca="1">SUMIF(土地估价师,B4,估价师及机构信息!E3:E24)</f>
        <v>2002110125</v>
      </c>
      <c r="D4" s="1842" t="s">
        <v>3099</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吴薇、赵雯</v>
      </c>
      <c r="L4" s="1722"/>
      <c r="M4" s="1722"/>
      <c r="N4" s="1693"/>
      <c r="O4" s="1694"/>
      <c r="P4" s="1693"/>
      <c r="Q4" s="1693"/>
      <c r="R4" s="1693"/>
      <c r="S4" s="1693"/>
      <c r="T4" s="1693"/>
      <c r="U4" s="1693"/>
    </row>
    <row r="5" spans="1:21" ht="15" thickTop="1">
      <c r="A5" s="1665" t="s">
        <v>1944</v>
      </c>
      <c r="B5" s="1788" t="s">
        <v>2991</v>
      </c>
      <c r="C5" s="1666"/>
      <c r="D5" s="1667"/>
      <c r="E5" s="1693"/>
      <c r="F5" s="1693"/>
      <c r="G5" s="1693"/>
      <c r="H5" s="1660"/>
      <c r="I5" s="1694"/>
      <c r="J5" s="1693"/>
      <c r="K5" s="1773"/>
      <c r="L5" s="1722"/>
      <c r="M5" s="1722"/>
      <c r="N5" s="1693"/>
      <c r="O5" s="1694"/>
      <c r="P5" s="1693"/>
      <c r="Q5" s="1693"/>
      <c r="R5" s="1693"/>
      <c r="S5" s="1693"/>
      <c r="T5" s="1693"/>
      <c r="U5" s="1693"/>
    </row>
    <row r="6" spans="1:21" ht="26.25">
      <c r="A6" s="1663" t="s">
        <v>2708</v>
      </c>
      <c r="B6" s="1788" t="s">
        <v>3100</v>
      </c>
      <c r="C6" s="1760"/>
      <c r="D6" s="1668"/>
      <c r="E6" s="1693"/>
      <c r="F6" s="1693"/>
      <c r="G6" s="1693"/>
      <c r="H6" s="1660"/>
      <c r="I6" s="1694"/>
      <c r="J6" s="1693"/>
      <c r="K6" s="3056" t="str">
        <f>IF(COUNTIF(B6,"*上海银行*"),"上海银行","")</f>
        <v/>
      </c>
      <c r="L6" s="1722"/>
      <c r="M6" s="1722"/>
      <c r="N6" s="1693"/>
      <c r="O6" s="1694"/>
      <c r="P6" s="1693"/>
      <c r="Q6" s="1693"/>
      <c r="R6" s="1693"/>
      <c r="S6" s="1693"/>
      <c r="T6" s="1693"/>
      <c r="U6" s="1693"/>
    </row>
    <row r="7" spans="1:21">
      <c r="A7" s="1669" t="s">
        <v>2709</v>
      </c>
      <c r="B7" s="1788" t="str">
        <f>B5</f>
        <v>青岛北曲后汇豪置业有限公司</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2985</v>
      </c>
      <c r="C8" s="1671"/>
      <c r="D8" s="3251" t="s">
        <v>1947</v>
      </c>
      <c r="E8" s="1843" t="s">
        <v>2986</v>
      </c>
      <c r="F8" s="1672"/>
      <c r="G8" s="1660"/>
      <c r="H8" s="1660"/>
      <c r="I8" s="1706"/>
      <c r="J8" s="1693"/>
      <c r="K8" s="1773"/>
      <c r="L8" s="1722"/>
      <c r="M8" s="1722"/>
      <c r="N8" s="1693"/>
      <c r="O8" s="1694"/>
      <c r="P8" s="1693"/>
      <c r="Q8" s="1693"/>
      <c r="R8" s="1693"/>
      <c r="S8" s="1693"/>
      <c r="T8" s="1693"/>
      <c r="U8" s="1693"/>
    </row>
    <row r="9" spans="1:21" ht="15" thickBot="1">
      <c r="A9" s="1673" t="s">
        <v>1946</v>
      </c>
      <c r="B9" s="1674" t="s">
        <v>2986</v>
      </c>
      <c r="C9" s="1675"/>
      <c r="D9" s="3252"/>
      <c r="E9" s="1674" t="s">
        <v>952</v>
      </c>
      <c r="F9" s="1746"/>
      <c r="G9" s="1741"/>
      <c r="H9" s="1741"/>
      <c r="I9" s="1742"/>
      <c r="J9" s="1693"/>
      <c r="K9" s="1773"/>
      <c r="L9" s="1722"/>
      <c r="M9" s="1722"/>
      <c r="N9" s="1693"/>
      <c r="O9" s="1694"/>
      <c r="P9" s="1693"/>
      <c r="Q9" s="1693"/>
      <c r="R9" s="1693"/>
      <c r="S9" s="1693"/>
      <c r="T9" s="1693"/>
      <c r="U9" s="1693"/>
    </row>
    <row r="10" spans="1:21" ht="15" thickTop="1">
      <c r="A10" s="1743" t="s">
        <v>2001</v>
      </c>
      <c r="B10" s="1718" t="s">
        <v>2987</v>
      </c>
      <c r="C10" s="1676" t="s">
        <v>2988</v>
      </c>
      <c r="D10" s="1667"/>
      <c r="E10" s="1677" t="s">
        <v>1949</v>
      </c>
      <c r="F10" s="1678" t="s">
        <v>2989</v>
      </c>
      <c r="G10" s="1744"/>
      <c r="H10" s="1745"/>
      <c r="I10" s="1667"/>
      <c r="J10" s="1693"/>
      <c r="K10" s="1773"/>
      <c r="L10" s="1722"/>
      <c r="M10" s="1722"/>
      <c r="N10" s="1693"/>
      <c r="O10" s="1694"/>
      <c r="P10" s="1693"/>
      <c r="Q10" s="1693"/>
      <c r="R10" s="1693"/>
      <c r="S10" s="1693"/>
      <c r="T10" s="1693"/>
      <c r="U10" s="1693"/>
    </row>
    <row r="11" spans="1:21">
      <c r="A11" s="1696" t="s">
        <v>2002</v>
      </c>
      <c r="B11" s="1697" t="s">
        <v>2990</v>
      </c>
      <c r="C11" s="3185" t="str">
        <f>B5</f>
        <v>青岛北曲后汇豪置业有限公司</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48" t="s">
        <v>2992</v>
      </c>
      <c r="C12" s="3249"/>
      <c r="D12" s="3250"/>
      <c r="E12" s="1698" t="s">
        <v>2063</v>
      </c>
      <c r="F12" s="3266" t="s">
        <v>3101</v>
      </c>
      <c r="G12" s="3267"/>
      <c r="H12" s="3267"/>
      <c r="I12" s="3268"/>
      <c r="J12" s="1693"/>
      <c r="K12" s="1773"/>
      <c r="L12" s="1722"/>
      <c r="M12" s="1722"/>
      <c r="N12" s="1693"/>
      <c r="O12" s="1694"/>
      <c r="P12" s="1693"/>
      <c r="Q12" s="1693"/>
      <c r="R12" s="1693"/>
      <c r="S12" s="1693"/>
      <c r="T12" s="1693"/>
      <c r="U12" s="1693"/>
    </row>
    <row r="13" spans="1:21">
      <c r="A13" s="1686" t="s">
        <v>2061</v>
      </c>
      <c r="B13" s="3248"/>
      <c r="C13" s="3249"/>
      <c r="D13" s="3250"/>
      <c r="E13" s="1698" t="s">
        <v>2063</v>
      </c>
      <c r="F13" s="3266" t="s">
        <v>2891</v>
      </c>
      <c r="G13" s="3267"/>
      <c r="H13" s="3267"/>
      <c r="I13" s="3268"/>
      <c r="J13" s="1693"/>
      <c r="K13" s="1773"/>
      <c r="L13" s="1722"/>
      <c r="M13" s="1722"/>
      <c r="N13" s="1693"/>
      <c r="O13" s="1694"/>
      <c r="P13" s="1693"/>
      <c r="Q13" s="1693"/>
      <c r="R13" s="1693"/>
      <c r="S13" s="1693"/>
      <c r="T13" s="1693"/>
      <c r="U13" s="1693"/>
    </row>
    <row r="14" spans="1:21">
      <c r="A14" s="1661" t="s">
        <v>2064</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2993</v>
      </c>
      <c r="C16" s="1698" t="s">
        <v>1951</v>
      </c>
      <c r="D16" s="2646" t="s">
        <v>1952</v>
      </c>
      <c r="E16" s="1721" t="s">
        <v>2994</v>
      </c>
      <c r="F16" s="1721"/>
      <c r="G16" s="1721" t="s">
        <v>35</v>
      </c>
      <c r="H16" s="1721"/>
      <c r="I16" s="1685" t="s">
        <v>1957</v>
      </c>
      <c r="J16" s="1693"/>
      <c r="K16" s="2456" t="str">
        <f>IF(D17="","",D16&amp;TEXT(D17,"yyyy年m月d日;;"))</f>
        <v/>
      </c>
      <c r="L16" s="1698" t="str">
        <f>IF(OR(K16="",M16=""),"","、")</f>
        <v/>
      </c>
      <c r="M16" s="2456" t="str">
        <f>IF(E17="","",E16&amp;TEXT(E17,"yyyy年m月d日;;"))</f>
        <v>商业2051年4月21日</v>
      </c>
      <c r="N16" s="1698" t="str">
        <f>IF(OR(M16="",O16=""),"","、")</f>
        <v/>
      </c>
      <c r="O16" s="2456" t="str">
        <f>IF(F17="","",F16&amp;TEXT(F17,"yyyy年m月d日;;"))</f>
        <v/>
      </c>
      <c r="P16" s="1698" t="str">
        <f>IF(OR(O16="",Q16=""),"","、")</f>
        <v/>
      </c>
      <c r="Q16" s="2456" t="str">
        <f>IF(G17="","",G16&amp;TEXT(G17,"yyyy年m月d日;;"))</f>
        <v>地下车库2061年4月21日</v>
      </c>
      <c r="R16" s="1698" t="str">
        <f>IF(OR(Q16="",S16=""),"","、")</f>
        <v/>
      </c>
      <c r="S16" s="2456" t="str">
        <f>IF(H17="","",H16&amp;TEXT(H17,"yyyy年m月d日;;"))</f>
        <v/>
      </c>
      <c r="T16" s="1698" t="str">
        <f>IF(OR(S16="",U16=""),"","、")</f>
        <v/>
      </c>
      <c r="U16" s="2456" t="str">
        <f>IF(I17="","",I16&amp;TEXT(I17,"yyyy年m月d日;;"))</f>
        <v/>
      </c>
    </row>
    <row r="17" spans="1:21">
      <c r="A17" s="1762"/>
      <c r="B17" s="1681"/>
      <c r="C17" s="1682" t="s">
        <v>1958</v>
      </c>
      <c r="D17" s="1699"/>
      <c r="E17" s="1699">
        <v>55264</v>
      </c>
      <c r="F17" s="1699"/>
      <c r="G17" s="1699">
        <v>58917</v>
      </c>
      <c r="H17" s="1699"/>
      <c r="I17" s="1699"/>
      <c r="J17" s="1693"/>
      <c r="K17" s="2455" t="str">
        <f>CONCATENATE(K16,L16,M16,N16,O16,P16,Q16,R16,S16,T16,,U16)</f>
        <v>商业2051年4月21日地下车库2061年4月21日</v>
      </c>
      <c r="L17" s="1722"/>
      <c r="M17" s="1722"/>
      <c r="N17" s="1693"/>
      <c r="O17" s="1694"/>
      <c r="P17" s="1693"/>
      <c r="Q17" s="1693"/>
      <c r="R17" s="1693"/>
      <c r="S17" s="1693"/>
      <c r="T17" s="1693"/>
      <c r="U17" s="1693"/>
    </row>
    <row r="18" spans="1:21">
      <c r="A18" s="1762"/>
      <c r="B18" s="1681"/>
      <c r="C18" s="1682" t="s">
        <v>1959</v>
      </c>
      <c r="D18" s="1683"/>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60" t="s">
        <v>1960</v>
      </c>
      <c r="D19" s="1757" t="str">
        <f>IF(B16="出让",IF(D17="","",ROUNDDOWN(MIN((D17-$D$3)/365,D18),2)),D18)</f>
        <v/>
      </c>
      <c r="E19" s="1684">
        <f>IF(B16="出让",IF(E17="","",ROUNDDOWN(MIN((E17-$D$3)/365,E18),2)),E18)</f>
        <v>32.659999999999997</v>
      </c>
      <c r="F19" s="1684" t="str">
        <f>IF(B16="出让",IF(F17="","",ROUNDDOWN(MIN((F17-$D$3)/365,F18),2)),F18)</f>
        <v/>
      </c>
      <c r="G19" s="1684">
        <f>IF(B16="出让",IF(G17="","",ROUNDDOWN(MIN((G17-$D$3)/365,G18),2)),G18)</f>
        <v>42.67</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63"/>
      <c r="E20" s="3264"/>
      <c r="F20" s="3264"/>
      <c r="G20" s="3264"/>
      <c r="H20" s="3264"/>
      <c r="I20" s="3265"/>
      <c r="J20" s="1693"/>
      <c r="K20" s="1773"/>
      <c r="L20" s="1722"/>
      <c r="M20" s="1722"/>
      <c r="N20" s="1693"/>
      <c r="O20" s="1694"/>
      <c r="P20" s="1693"/>
      <c r="Q20" s="1693"/>
      <c r="R20" s="1693"/>
      <c r="S20" s="1693"/>
      <c r="T20" s="1693"/>
      <c r="U20" s="1693"/>
    </row>
    <row r="21" spans="1:21">
      <c r="A21" s="1762" t="s">
        <v>1961</v>
      </c>
      <c r="B21" s="1763" t="s">
        <v>1962</v>
      </c>
      <c r="C21" s="1758">
        <f>'数据-汇总表'!E3</f>
        <v>124676.06000000001</v>
      </c>
      <c r="D21" s="1759" t="s">
        <v>1963</v>
      </c>
      <c r="E21" s="3253" t="s">
        <v>2000</v>
      </c>
      <c r="F21" s="3254"/>
      <c r="G21" s="3254"/>
      <c r="H21" s="3254"/>
      <c r="I21" s="3255"/>
      <c r="J21" s="1693"/>
      <c r="K21" s="1773"/>
      <c r="L21" s="1722"/>
      <c r="M21" s="1722"/>
      <c r="N21" s="1693"/>
      <c r="O21" s="1694"/>
      <c r="P21" s="1693"/>
      <c r="Q21" s="1693"/>
      <c r="R21" s="1693"/>
      <c r="S21" s="1693"/>
      <c r="T21" s="1693"/>
      <c r="U21" s="1693"/>
    </row>
    <row r="22" spans="1:21">
      <c r="A22" s="3148" t="s">
        <v>952</v>
      </c>
      <c r="B22" s="1661" t="s">
        <v>1964</v>
      </c>
      <c r="C22" s="1685">
        <f>'数据-汇总表'!D3</f>
        <v>31518.19</v>
      </c>
      <c r="D22" s="1686" t="s">
        <v>1963</v>
      </c>
      <c r="E22" s="3253" t="s">
        <v>2892</v>
      </c>
      <c r="F22" s="3254"/>
      <c r="G22" s="3254"/>
      <c r="H22" s="3254"/>
      <c r="I22" s="3255"/>
      <c r="J22" s="1693"/>
      <c r="K22" s="1773"/>
      <c r="L22" s="1722"/>
      <c r="M22" s="1722"/>
      <c r="N22" s="1693"/>
      <c r="O22" s="1694"/>
      <c r="P22" s="1693"/>
      <c r="Q22" s="1693"/>
      <c r="R22" s="1693"/>
      <c r="S22" s="1693"/>
      <c r="T22" s="1693"/>
      <c r="U22" s="1693"/>
    </row>
    <row r="23" spans="1:21" ht="43.5" thickBot="1">
      <c r="A23" s="1764" t="s">
        <v>1965</v>
      </c>
      <c r="B23" s="1700" t="s">
        <v>1966</v>
      </c>
      <c r="C23" s="1701" t="s">
        <v>2995</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6" t="s">
        <v>1969</v>
      </c>
      <c r="C24" s="3257"/>
      <c r="D24" s="3258" t="s">
        <v>1970</v>
      </c>
      <c r="E24" s="3259"/>
      <c r="F24" s="1707" t="s">
        <v>1971</v>
      </c>
      <c r="G24" s="1693"/>
      <c r="H24" s="1693"/>
      <c r="I24" s="1706"/>
      <c r="J24" s="1693"/>
      <c r="K24" s="3244" t="s">
        <v>1972</v>
      </c>
      <c r="L24" s="2457"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952</v>
      </c>
      <c r="F25" s="1711"/>
      <c r="G25" s="1693"/>
      <c r="H25" s="1693"/>
      <c r="I25" s="1706"/>
      <c r="J25" s="1693"/>
      <c r="K25" s="3244"/>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952</v>
      </c>
      <c r="D26" s="1660"/>
      <c r="E26" s="1660"/>
      <c r="F26" s="1687"/>
      <c r="G26" s="1693"/>
      <c r="H26" s="1693"/>
      <c r="I26" s="1706"/>
      <c r="J26" s="1693"/>
      <c r="K26" s="3244"/>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51"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52"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52"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53"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30" t="s">
        <v>2003</v>
      </c>
      <c r="B31" s="1763" t="s">
        <v>2004</v>
      </c>
      <c r="C31" s="3269" t="s">
        <v>2996</v>
      </c>
      <c r="D31" s="3270"/>
      <c r="E31" s="1693"/>
      <c r="F31" s="1693"/>
      <c r="G31" s="1693"/>
      <c r="H31" s="1693"/>
      <c r="I31" s="1706"/>
      <c r="J31" s="1693"/>
      <c r="K31" s="2458"/>
      <c r="L31" s="1693"/>
      <c r="M31" s="1693"/>
      <c r="N31" s="1693"/>
      <c r="O31" s="1693"/>
      <c r="P31" s="1693"/>
      <c r="Q31" s="1693"/>
      <c r="R31" s="1693"/>
      <c r="S31" s="1693"/>
      <c r="T31" s="1693"/>
      <c r="U31" s="1693"/>
    </row>
    <row r="32" spans="1:21">
      <c r="A32" s="3230"/>
      <c r="B32" s="1661" t="s">
        <v>2005</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30"/>
      <c r="B33" s="1661" t="s">
        <v>2006</v>
      </c>
      <c r="C33" s="1720" t="s">
        <v>2995</v>
      </c>
      <c r="D33" s="1837"/>
      <c r="E33" s="1693"/>
      <c r="F33" s="1693"/>
      <c r="G33" s="1693"/>
      <c r="H33" s="1693"/>
      <c r="I33" s="1706"/>
      <c r="J33" s="1693"/>
      <c r="K33" s="2458"/>
      <c r="L33" s="1693"/>
      <c r="M33" s="1693"/>
      <c r="N33" s="1693"/>
      <c r="O33" s="1693"/>
      <c r="P33" s="1693"/>
      <c r="Q33" s="1693"/>
      <c r="R33" s="1693"/>
      <c r="S33" s="1693"/>
      <c r="T33" s="1693"/>
      <c r="U33" s="1693"/>
    </row>
    <row r="34" spans="1:21">
      <c r="A34" s="3231"/>
      <c r="B34" s="1661" t="s">
        <v>2007</v>
      </c>
      <c r="C34" s="3232"/>
      <c r="D34" s="3233"/>
      <c r="E34" s="1693"/>
      <c r="F34" s="1693"/>
      <c r="G34" s="1693"/>
      <c r="H34" s="1693"/>
      <c r="I34" s="1706"/>
      <c r="J34" s="1693"/>
      <c r="K34" s="2458"/>
      <c r="L34" s="1693"/>
      <c r="M34" s="1693"/>
      <c r="N34" s="1693"/>
      <c r="O34" s="1693"/>
      <c r="P34" s="1693"/>
      <c r="Q34" s="1693"/>
      <c r="R34" s="1693"/>
      <c r="S34" s="1693"/>
      <c r="T34" s="1693"/>
      <c r="U34" s="1693"/>
    </row>
    <row r="35" spans="1:21">
      <c r="A35" s="3234" t="s">
        <v>847</v>
      </c>
      <c r="B35" s="1721" t="s">
        <v>2997</v>
      </c>
      <c r="C35" s="1775" t="str">
        <f>IF(B35="场地平整","——","具体情况：")</f>
        <v>——</v>
      </c>
      <c r="D35" s="3236"/>
      <c r="E35" s="3237"/>
      <c r="F35" s="3237"/>
      <c r="G35" s="3237"/>
      <c r="H35" s="3237"/>
      <c r="I35" s="3238"/>
      <c r="J35" s="1693"/>
      <c r="K35" s="1774"/>
      <c r="L35" s="1722"/>
      <c r="M35" s="1722"/>
      <c r="N35" s="1693"/>
      <c r="O35" s="1694"/>
      <c r="P35" s="1693"/>
      <c r="Q35" s="1693"/>
      <c r="R35" s="1693"/>
      <c r="S35" s="1693"/>
      <c r="T35" s="1693"/>
      <c r="U35" s="1693"/>
    </row>
    <row r="36" spans="1:21">
      <c r="A36" s="3230"/>
      <c r="B36" s="3239" t="s">
        <v>2056</v>
      </c>
      <c r="C36" s="3240"/>
      <c r="D36" s="1791"/>
      <c r="E36" s="3241"/>
      <c r="F36" s="3241"/>
      <c r="G36" s="1686" t="str">
        <f>IF(B35="场地未平整","估价结果处理","")</f>
        <v/>
      </c>
      <c r="H36" s="3242"/>
      <c r="I36" s="3242"/>
      <c r="J36" s="1693"/>
      <c r="K36" s="1774"/>
      <c r="L36" s="1722"/>
      <c r="M36" s="1722"/>
      <c r="N36" s="1693"/>
      <c r="O36" s="1694"/>
      <c r="P36" s="1693"/>
      <c r="Q36" s="1693"/>
      <c r="R36" s="1693"/>
      <c r="S36" s="1693"/>
      <c r="T36" s="1693"/>
      <c r="U36" s="1693"/>
    </row>
    <row r="37" spans="1:21" ht="28.5">
      <c r="A37" s="3230"/>
      <c r="B37" s="326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0"/>
      <c r="B38" s="3261"/>
      <c r="C38" s="1669"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31"/>
      <c r="B39" s="326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2998</v>
      </c>
      <c r="C40" s="1689" t="s">
        <v>2999</v>
      </c>
      <c r="D40" s="1689" t="s">
        <v>3000</v>
      </c>
      <c r="E40" s="1689" t="s">
        <v>3001</v>
      </c>
      <c r="F40" s="1689" t="s">
        <v>3002</v>
      </c>
      <c r="G40" s="1689" t="s">
        <v>3003</v>
      </c>
      <c r="H40" s="1689" t="s">
        <v>952</v>
      </c>
      <c r="I40" s="1706"/>
      <c r="J40" s="1693"/>
      <c r="K40" s="1729">
        <f>COUNTIF(B40:H40,"——")</f>
        <v>1</v>
      </c>
      <c r="L40" s="1698" t="s">
        <v>1980</v>
      </c>
      <c r="M40" s="1695" t="s">
        <v>1981</v>
      </c>
      <c r="N40" s="1695" t="s">
        <v>1982</v>
      </c>
      <c r="O40" s="1695" t="s">
        <v>1983</v>
      </c>
      <c r="P40" s="1695" t="s">
        <v>1984</v>
      </c>
      <c r="Q40" s="1695" t="s">
        <v>1985</v>
      </c>
      <c r="R40" s="1695" t="s">
        <v>1986</v>
      </c>
      <c r="S40" s="3243" t="s">
        <v>1987</v>
      </c>
      <c r="T40" s="1730" t="str">
        <f>NUMBERSTRING(7-K40,1)&amp;"通"</f>
        <v>六通</v>
      </c>
      <c r="U40" s="1693"/>
    </row>
    <row r="41" spans="1:21">
      <c r="A41" s="1663"/>
      <c r="B41" s="3235" t="s">
        <v>1722</v>
      </c>
      <c r="C41" s="3235"/>
      <c r="D41" s="3235"/>
      <c r="E41" s="3235"/>
      <c r="F41" s="1731" t="str">
        <f>C10</f>
        <v>山东省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43"/>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2893</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3" sqref="F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31518.19</v>
      </c>
      <c r="B3" s="22">
        <f>IF(C3="否",G5-AT5,G5)</f>
        <v>124676.06000000001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124676.06000000001</v>
      </c>
      <c r="H5" s="27">
        <f t="shared" ref="H5:AT5" si="0">SUM(H13:H641)</f>
        <v>122740.64000000001</v>
      </c>
      <c r="I5" s="27">
        <f t="shared" si="0"/>
        <v>77782.010000000009</v>
      </c>
      <c r="J5" s="27">
        <f t="shared" si="0"/>
        <v>0</v>
      </c>
      <c r="K5" s="27">
        <f t="shared" si="0"/>
        <v>9958.630000000001</v>
      </c>
      <c r="L5" s="27">
        <f t="shared" si="0"/>
        <v>0</v>
      </c>
      <c r="M5" s="27">
        <f t="shared" si="0"/>
        <v>35000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1935.42</v>
      </c>
      <c r="AD5" s="27">
        <f t="shared" si="0"/>
        <v>0</v>
      </c>
      <c r="AE5" s="27">
        <f t="shared" si="0"/>
        <v>0</v>
      </c>
      <c r="AF5" s="27">
        <f t="shared" si="0"/>
        <v>0</v>
      </c>
      <c r="AG5" s="27">
        <f t="shared" si="0"/>
        <v>0</v>
      </c>
      <c r="AH5" s="27">
        <f t="shared" si="0"/>
        <v>0</v>
      </c>
      <c r="AI5" s="27">
        <f t="shared" si="0"/>
        <v>0</v>
      </c>
      <c r="AJ5" s="27">
        <f t="shared" si="0"/>
        <v>0</v>
      </c>
      <c r="AK5" s="27">
        <f t="shared" si="0"/>
        <v>0</v>
      </c>
      <c r="AL5" s="27">
        <f t="shared" si="0"/>
        <v>545.29</v>
      </c>
      <c r="AM5" s="27">
        <f t="shared" si="0"/>
        <v>0</v>
      </c>
      <c r="AN5" s="27">
        <f t="shared" si="0"/>
        <v>1390.13</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124676.06000000001</v>
      </c>
      <c r="BA5" s="29">
        <f t="shared" si="1"/>
        <v>122740.64000000001</v>
      </c>
      <c r="BB5" s="29">
        <f t="shared" si="1"/>
        <v>77782.010000000009</v>
      </c>
      <c r="BC5" s="29">
        <f t="shared" si="1"/>
        <v>9958.630000000001</v>
      </c>
      <c r="BD5" s="29">
        <f t="shared" si="1"/>
        <v>35000</v>
      </c>
      <c r="BE5" s="29">
        <f t="shared" si="1"/>
        <v>0</v>
      </c>
      <c r="BF5" s="29">
        <f t="shared" si="1"/>
        <v>0</v>
      </c>
      <c r="BG5" s="29">
        <f t="shared" si="1"/>
        <v>0</v>
      </c>
      <c r="BH5" s="29">
        <f t="shared" si="1"/>
        <v>0</v>
      </c>
      <c r="BI5" s="29">
        <f t="shared" si="1"/>
        <v>0</v>
      </c>
      <c r="BJ5" s="29">
        <f t="shared" si="1"/>
        <v>0</v>
      </c>
      <c r="BK5" s="29">
        <f t="shared" si="1"/>
        <v>0</v>
      </c>
      <c r="BL5" s="29">
        <f t="shared" si="1"/>
        <v>1935.42</v>
      </c>
      <c r="BM5" s="29">
        <f t="shared" si="1"/>
        <v>0</v>
      </c>
      <c r="BN5" s="29">
        <f t="shared" si="1"/>
        <v>0</v>
      </c>
      <c r="BO5" s="29">
        <f t="shared" si="1"/>
        <v>0</v>
      </c>
      <c r="BP5" s="29">
        <f t="shared" si="1"/>
        <v>0</v>
      </c>
      <c r="BQ5" s="29">
        <f t="shared" si="1"/>
        <v>545.29</v>
      </c>
      <c r="BR5" s="29">
        <f t="shared" si="1"/>
        <v>1390.13</v>
      </c>
      <c r="BS5" s="29">
        <f t="shared" si="1"/>
        <v>0</v>
      </c>
      <c r="BT5" s="30">
        <f t="shared" si="1"/>
        <v>0</v>
      </c>
    </row>
    <row r="6" spans="1:72" s="37" customFormat="1" ht="12.75">
      <c r="A6" s="26" t="s">
        <v>169</v>
      </c>
      <c r="B6" s="31"/>
      <c r="C6" s="31"/>
      <c r="D6" s="32"/>
      <c r="E6" s="27">
        <f>H6+AC6+AT6</f>
        <v>31518.19</v>
      </c>
      <c r="F6" s="27" t="s">
        <v>1</v>
      </c>
      <c r="G6" s="27" t="s">
        <v>2</v>
      </c>
      <c r="H6" s="33">
        <f>SUMIF(I$12:AB$12,"总值",I6:AB6)</f>
        <v>31028.91</v>
      </c>
      <c r="I6" s="27">
        <f t="shared" ref="I6:AB6" si="2">ROUND($A$3*I5/$B$3,2)</f>
        <v>19663.34</v>
      </c>
      <c r="J6" s="27">
        <f t="shared" si="2"/>
        <v>0</v>
      </c>
      <c r="K6" s="27">
        <f t="shared" si="2"/>
        <v>2517.5500000000002</v>
      </c>
      <c r="L6" s="27">
        <f t="shared" si="2"/>
        <v>0</v>
      </c>
      <c r="M6" s="27">
        <f t="shared" si="2"/>
        <v>8848.02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489.28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137.85</v>
      </c>
      <c r="AM6" s="27">
        <f t="shared" si="3"/>
        <v>0</v>
      </c>
      <c r="AN6" s="27">
        <f t="shared" si="3"/>
        <v>351.43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31518.19</v>
      </c>
      <c r="AZ6" s="27" t="s">
        <v>3</v>
      </c>
      <c r="BA6" s="27">
        <f>ROUND($AY$6*BA5/$AZ$5,2)</f>
        <v>31028.91</v>
      </c>
      <c r="BB6" s="27">
        <f>ROUND($AY$6*BB5/$AZ$5,2)</f>
        <v>19663.34</v>
      </c>
      <c r="BC6" s="27">
        <f t="shared" ref="BC6:BH6" si="4">ROUND($AY$6*BC5/$AZ$5,2)</f>
        <v>2517.5500000000002</v>
      </c>
      <c r="BD6" s="27">
        <f t="shared" si="4"/>
        <v>8848.02</v>
      </c>
      <c r="BE6" s="27">
        <f t="shared" si="4"/>
        <v>0</v>
      </c>
      <c r="BF6" s="27">
        <f t="shared" si="4"/>
        <v>0</v>
      </c>
      <c r="BG6" s="27">
        <f t="shared" si="4"/>
        <v>0</v>
      </c>
      <c r="BH6" s="27">
        <f t="shared" si="4"/>
        <v>0</v>
      </c>
      <c r="BI6" s="27">
        <f t="shared" ref="BI6:BT6" si="5">ROUND($AY$6*BI5/$AZ$5,2)</f>
        <v>0</v>
      </c>
      <c r="BJ6" s="27">
        <f t="shared" si="5"/>
        <v>0</v>
      </c>
      <c r="BK6" s="27">
        <f t="shared" si="5"/>
        <v>0</v>
      </c>
      <c r="BL6" s="27">
        <f t="shared" si="5"/>
        <v>489.28</v>
      </c>
      <c r="BM6" s="27">
        <f t="shared" si="5"/>
        <v>0</v>
      </c>
      <c r="BN6" s="27">
        <f t="shared" si="5"/>
        <v>0</v>
      </c>
      <c r="BO6" s="27">
        <f t="shared" si="5"/>
        <v>0</v>
      </c>
      <c r="BP6" s="27">
        <f t="shared" si="5"/>
        <v>0</v>
      </c>
      <c r="BQ6" s="27">
        <f t="shared" si="5"/>
        <v>137.85</v>
      </c>
      <c r="BR6" s="27">
        <f t="shared" si="5"/>
        <v>351.43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3004</v>
      </c>
      <c r="J9" s="51"/>
      <c r="K9" s="3019" t="s">
        <v>3005</v>
      </c>
      <c r="L9" s="51"/>
      <c r="M9" s="3019" t="s">
        <v>3005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2994</v>
      </c>
      <c r="J10" s="51"/>
      <c r="K10" s="3021" t="s">
        <v>2994</v>
      </c>
      <c r="L10" s="51"/>
      <c r="M10" s="3021" t="s">
        <v>3006</v>
      </c>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3007</v>
      </c>
      <c r="D13" s="3015" t="s">
        <v>1679</v>
      </c>
      <c r="E13" s="27">
        <f t="shared" ref="E13:E20" si="6">IF($C$3="是",ROUND($A$3*G13/$B$3,2),ROUND($A$3*(G13-AT13)/$B$3,2))</f>
        <v>31518.19</v>
      </c>
      <c r="F13" s="81"/>
      <c r="G13" s="82">
        <f t="shared" ref="G13:G20" si="7">H13+AC13+AT13</f>
        <v>124676.06000000001</v>
      </c>
      <c r="H13" s="33">
        <f t="shared" ref="H13:H20" si="8">SUMIF(I$12:AB$12,"总值",I13:AB13)</f>
        <v>122740.64000000001</v>
      </c>
      <c r="I13" s="3018">
        <f>78327.3-AL13</f>
        <v>77782.010000000009</v>
      </c>
      <c r="J13" s="3018"/>
      <c r="K13" s="3018">
        <f>46348.76-M13-AN13</f>
        <v>9958.630000000001</v>
      </c>
      <c r="L13" s="3018"/>
      <c r="M13" s="3018">
        <f>40*875</f>
        <v>35000</v>
      </c>
      <c r="N13" s="83"/>
      <c r="O13" s="83"/>
      <c r="P13" s="83"/>
      <c r="Q13" s="83"/>
      <c r="R13" s="83"/>
      <c r="S13" s="83"/>
      <c r="T13" s="83"/>
      <c r="U13" s="83"/>
      <c r="V13" s="83"/>
      <c r="W13" s="83"/>
      <c r="X13" s="83"/>
      <c r="Y13" s="83"/>
      <c r="Z13" s="83"/>
      <c r="AA13" s="83"/>
      <c r="AB13" s="83"/>
      <c r="AC13" s="27">
        <f t="shared" ref="AC13:AC20" si="9">SUMIF(AD$12:AS$12,"总值",AD13:AS13)</f>
        <v>1935.42</v>
      </c>
      <c r="AD13" s="3022"/>
      <c r="AE13" s="3022"/>
      <c r="AF13" s="3022"/>
      <c r="AG13" s="3022"/>
      <c r="AH13" s="3022"/>
      <c r="AI13" s="3022"/>
      <c r="AJ13" s="3022"/>
      <c r="AK13" s="3022"/>
      <c r="AL13" s="3022">
        <f>366.79+178.5</f>
        <v>545.29</v>
      </c>
      <c r="AM13" s="3022"/>
      <c r="AN13" s="3022">
        <f>798.84+231.61+359.68</f>
        <v>1390.13</v>
      </c>
      <c r="AO13" s="3022"/>
      <c r="AP13" s="3022"/>
      <c r="AQ13" s="3022"/>
      <c r="AR13" s="3022"/>
      <c r="AS13" s="3022"/>
      <c r="AT13" s="3023"/>
      <c r="AU13" s="3024"/>
      <c r="AV13" s="17">
        <f t="shared" ref="AV13:AX20" si="10">A13</f>
        <v>0</v>
      </c>
      <c r="AW13" s="17">
        <f t="shared" si="10"/>
        <v>0</v>
      </c>
      <c r="AX13" s="17" t="str">
        <f t="shared" si="10"/>
        <v>商业</v>
      </c>
      <c r="AY13" s="996">
        <f t="shared" ref="AY13:AY20" si="11">ROUND($AY$6*AZ13/$AZ$5,2)</f>
        <v>31518.19</v>
      </c>
      <c r="AZ13" s="27">
        <f t="shared" ref="AZ13:AZ20" si="12">BA13+BL13</f>
        <v>124676.06000000001</v>
      </c>
      <c r="BA13" s="27">
        <f t="shared" ref="BA13:BA20" si="13">SUM(BB13:BK13)</f>
        <v>122740.64000000001</v>
      </c>
      <c r="BB13" s="27">
        <f t="shared" ref="BB13:BB20" si="14">IF($D13="是",I13-J13,0)</f>
        <v>77782.010000000009</v>
      </c>
      <c r="BC13" s="27">
        <f t="shared" ref="BC13:BC20" si="15">IF($D13="是",K13-L13,0)</f>
        <v>9958.630000000001</v>
      </c>
      <c r="BD13" s="27">
        <f t="shared" ref="BD13:BD20" si="16">IF($D13="是",M13-N13,0)</f>
        <v>35000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1935.42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545.29</v>
      </c>
      <c r="BR13" s="27">
        <f t="shared" ref="BR13:BR20" si="30">IF($D13="是",AN13-AO13,0)</f>
        <v>1390.13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2" t="s">
        <v>203</v>
      </c>
      <c r="B2" s="3282"/>
      <c r="C2" s="3282"/>
      <c r="D2" s="1975" t="s">
        <v>204</v>
      </c>
      <c r="E2" s="106" t="s">
        <v>205</v>
      </c>
      <c r="F2" s="1984"/>
      <c r="G2" s="1198"/>
      <c r="H2" s="1199"/>
      <c r="I2" s="1200" t="s">
        <v>857</v>
      </c>
      <c r="J2" s="1984"/>
      <c r="K2" s="1984"/>
      <c r="L2" s="1984"/>
    </row>
    <row r="3" spans="1:16" ht="15.75" thickBot="1">
      <c r="A3" s="3283" t="s">
        <v>206</v>
      </c>
      <c r="B3" s="3283"/>
      <c r="C3" s="3283"/>
      <c r="D3" s="107">
        <f>'数据-基础表'!AY6</f>
        <v>31518.19</v>
      </c>
      <c r="E3" s="107">
        <f>'数据-基础表'!AZ5</f>
        <v>124676.06000000001</v>
      </c>
      <c r="F3" s="1984"/>
      <c r="G3" s="280" t="s">
        <v>858</v>
      </c>
      <c r="H3" s="275" t="s">
        <v>859</v>
      </c>
      <c r="I3" s="1976">
        <f>ROUND('数据-基础表'!B3/'数据-基础表'!A3,2)</f>
        <v>3.96</v>
      </c>
      <c r="J3" s="1984"/>
      <c r="K3" s="1984"/>
      <c r="L3" s="1984"/>
    </row>
    <row r="4" spans="1:16" ht="15">
      <c r="A4" s="3284"/>
      <c r="B4" s="3285"/>
      <c r="C4" s="3286"/>
      <c r="D4" s="108" t="s">
        <v>204</v>
      </c>
      <c r="E4" s="109" t="s">
        <v>205</v>
      </c>
      <c r="F4" s="1984"/>
      <c r="G4" s="1201"/>
      <c r="H4" s="275" t="s">
        <v>860</v>
      </c>
      <c r="I4" s="1976">
        <f>ROUND(SUMIF('数据-基础表'!I9:AS9,"地上",'数据-基础表'!I5:AS5)/'数据-基础表'!A3,2)</f>
        <v>2.4900000000000002</v>
      </c>
      <c r="J4" s="1984"/>
      <c r="K4" s="1984"/>
      <c r="L4" s="1984"/>
    </row>
    <row r="5" spans="1:16">
      <c r="A5" s="110" t="s">
        <v>207</v>
      </c>
      <c r="B5" s="3287" t="s">
        <v>230</v>
      </c>
      <c r="C5" s="3287"/>
      <c r="D5" s="111">
        <f>ROUND($D$3*E5/$E$3,2)</f>
        <v>0</v>
      </c>
      <c r="E5" s="112">
        <f>SUMIF('数据-基础表'!$11:$11,"住宅",'数据-基础表'!$5:$5)</f>
        <v>0</v>
      </c>
      <c r="F5" s="1984"/>
      <c r="G5" s="280" t="s">
        <v>861</v>
      </c>
      <c r="H5" s="275" t="s">
        <v>859</v>
      </c>
      <c r="I5" s="1976">
        <f>ROUND(E31/D31,2)</f>
        <v>3.96</v>
      </c>
      <c r="J5" s="1984"/>
      <c r="K5" s="1984"/>
      <c r="L5" s="1984"/>
    </row>
    <row r="6" spans="1:16" ht="15" thickBot="1">
      <c r="A6" s="113"/>
      <c r="B6" s="3287" t="s">
        <v>208</v>
      </c>
      <c r="C6" s="3287"/>
      <c r="D6" s="111">
        <f>ROUND($D$3*E6/$E$3,2)</f>
        <v>31518.19</v>
      </c>
      <c r="E6" s="112">
        <f>E3-E5</f>
        <v>124676.06000000001</v>
      </c>
      <c r="F6" s="1984"/>
      <c r="G6" s="1201"/>
      <c r="H6" s="275" t="s">
        <v>860</v>
      </c>
      <c r="I6" s="1976">
        <f>ROUND(F31/D31,2)</f>
        <v>2.4900000000000002</v>
      </c>
      <c r="J6" s="1984"/>
      <c r="K6" s="1984"/>
      <c r="L6" s="1984"/>
    </row>
    <row r="7" spans="1:16" ht="15">
      <c r="A7" s="3279"/>
      <c r="B7" s="3280"/>
      <c r="C7" s="3281"/>
      <c r="D7" s="108" t="s">
        <v>204</v>
      </c>
      <c r="E7" s="114" t="s">
        <v>231</v>
      </c>
      <c r="F7" s="1984"/>
      <c r="G7" s="1156" t="s">
        <v>1646</v>
      </c>
      <c r="H7" s="1157"/>
      <c r="I7" s="1846"/>
      <c r="J7" s="1984"/>
      <c r="K7" s="1984"/>
      <c r="L7" s="1984"/>
    </row>
    <row r="8" spans="1:16">
      <c r="A8" s="110" t="s">
        <v>209</v>
      </c>
      <c r="B8" s="115" t="s">
        <v>210</v>
      </c>
      <c r="C8" s="111" t="s">
        <v>211</v>
      </c>
      <c r="D8" s="111">
        <f t="shared" ref="D8:D15" si="0">ROUND($D$3*E8/$E$3,2)</f>
        <v>19663.34</v>
      </c>
      <c r="E8" s="116">
        <f>SUMIF('数据-基础表'!BB10:BK10,"地上",'数据-基础表'!BB5:BK5)</f>
        <v>77782.010000000009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2517.5500000000002</v>
      </c>
      <c r="E10" s="116">
        <f>SUMPRODUCT(('数据-基础表'!BB10:BK10="地下")*('数据-基础表'!BB11:BK11="商业")*('数据-基础表'!BB5:BK5))</f>
        <v>9958.630000000001</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8848.02</v>
      </c>
      <c r="E13" s="116">
        <f>SUMPRODUCT(('数据-基础表'!BB10:BK10="地下")*('数据-基础表'!BB11:BK11="车库")*('数据-基础表'!BB5:BK5))</f>
        <v>35000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31028.91</v>
      </c>
      <c r="E16" s="120">
        <f>SUM(E8:E15)</f>
        <v>122740.64000000001</v>
      </c>
      <c r="F16" s="1984"/>
      <c r="G16" s="1986"/>
      <c r="H16" s="968" t="s">
        <v>219</v>
      </c>
      <c r="I16" s="969"/>
      <c r="J16" s="1984"/>
      <c r="K16" s="3273" t="s">
        <v>2568</v>
      </c>
      <c r="L16" s="3274"/>
      <c r="M16" s="3274"/>
      <c r="N16" s="3274"/>
      <c r="O16" s="3274"/>
      <c r="P16" s="3275"/>
    </row>
    <row r="17" spans="1:19" ht="15">
      <c r="A17" s="121" t="s">
        <v>216</v>
      </c>
      <c r="B17" s="122" t="s">
        <v>217</v>
      </c>
      <c r="C17" s="2298" t="s">
        <v>2315</v>
      </c>
      <c r="D17" s="108" t="s">
        <v>204</v>
      </c>
      <c r="E17" s="124" t="s">
        <v>205</v>
      </c>
      <c r="F17" s="125"/>
      <c r="G17" s="1366"/>
      <c r="H17" s="970" t="s">
        <v>218</v>
      </c>
      <c r="I17" s="971" t="s">
        <v>2314</v>
      </c>
      <c r="J17" s="1984"/>
      <c r="K17" s="3276" t="s">
        <v>2569</v>
      </c>
      <c r="L17" s="3277"/>
      <c r="M17" s="3278"/>
      <c r="N17" s="3276" t="s">
        <v>2570</v>
      </c>
      <c r="O17" s="3277"/>
      <c r="P17" s="3278"/>
      <c r="R17" s="2299" t="s">
        <v>2313</v>
      </c>
      <c r="S17" s="144"/>
    </row>
    <row r="18" spans="1:19" ht="15">
      <c r="A18" s="117"/>
      <c r="B18" s="128"/>
      <c r="C18" s="129"/>
      <c r="D18" s="2642"/>
      <c r="E18" s="130" t="s">
        <v>220</v>
      </c>
      <c r="F18" s="131" t="s">
        <v>221</v>
      </c>
      <c r="G18" s="1367" t="s">
        <v>222</v>
      </c>
      <c r="H18" s="972" t="s">
        <v>223</v>
      </c>
      <c r="I18" s="973" t="s">
        <v>224</v>
      </c>
      <c r="J18" s="1984"/>
      <c r="K18" s="2605" t="s">
        <v>2571</v>
      </c>
      <c r="L18" s="2606" t="s">
        <v>2572</v>
      </c>
      <c r="M18" s="2607" t="s">
        <v>2573</v>
      </c>
      <c r="N18" s="2605" t="s">
        <v>2571</v>
      </c>
      <c r="O18" s="2606" t="s">
        <v>2572</v>
      </c>
      <c r="P18" s="2607" t="s">
        <v>2573</v>
      </c>
      <c r="R18" s="2300" t="s">
        <v>2311</v>
      </c>
      <c r="S18" s="2300" t="s">
        <v>2312</v>
      </c>
    </row>
    <row r="19" spans="1:19">
      <c r="A19" s="133"/>
      <c r="B19" s="115" t="s">
        <v>225</v>
      </c>
      <c r="C19" s="3025" t="s">
        <v>3028</v>
      </c>
      <c r="D19" s="111">
        <f t="shared" ref="D19:D26" si="1">ROUND($D$3*E19/$E$3,2)</f>
        <v>22180.89</v>
      </c>
      <c r="E19" s="134">
        <f t="shared" ref="E19:E26" si="2">SUM(F19:G19)</f>
        <v>87740.640000000014</v>
      </c>
      <c r="F19" s="135">
        <f>'数据-基础表'!I13</f>
        <v>77782.010000000009</v>
      </c>
      <c r="G19" s="1368">
        <f>'数据-基础表'!K13</f>
        <v>9958.630000000001</v>
      </c>
      <c r="H19" s="974">
        <f>ROUND($D$3*I19/$E$3,2)</f>
        <v>349.76</v>
      </c>
      <c r="I19" s="116">
        <f>IF($I$17="自定义",P19,M19)</f>
        <v>1383.53</v>
      </c>
      <c r="J19" s="1984"/>
      <c r="K19" s="2608">
        <f t="shared" ref="K19:K26" si="3">ROUND(E$28*E19/E$27,2)</f>
        <v>1383.53</v>
      </c>
      <c r="L19" s="275">
        <f t="shared" ref="L19:L26" si="4">ROUND(IF(COUNTIF(C19,"*住宅*")&gt;0,E$29*E19/E$32,0),2)</f>
        <v>0</v>
      </c>
      <c r="M19" s="2609">
        <f>K19+L19</f>
        <v>1383.53</v>
      </c>
      <c r="N19" s="2610"/>
      <c r="O19" s="2611"/>
      <c r="P19" s="2612">
        <f>N19+O19</f>
        <v>0</v>
      </c>
      <c r="R19" s="275">
        <f t="shared" ref="R19:S26" si="5">D19+H19</f>
        <v>22530.649999999998</v>
      </c>
      <c r="S19" s="2301">
        <f t="shared" si="5"/>
        <v>89124.170000000013</v>
      </c>
    </row>
    <row r="20" spans="1:19">
      <c r="A20" s="138"/>
      <c r="B20" s="115" t="s">
        <v>226</v>
      </c>
      <c r="C20" s="3025" t="s">
        <v>3029</v>
      </c>
      <c r="D20" s="111">
        <f t="shared" si="1"/>
        <v>8848.02</v>
      </c>
      <c r="E20" s="134">
        <f t="shared" si="2"/>
        <v>35000</v>
      </c>
      <c r="F20" s="135"/>
      <c r="G20" s="1368">
        <f>'数据-基础表'!M13</f>
        <v>35000</v>
      </c>
      <c r="H20" s="974">
        <f t="shared" ref="H20:H26" si="6">ROUND($D$3*I20/$E$3,2)</f>
        <v>139.52000000000001</v>
      </c>
      <c r="I20" s="116">
        <f t="shared" ref="I20:I26" si="7">IF($I$17="自定义",P20,M20)</f>
        <v>551.89</v>
      </c>
      <c r="J20" s="1984"/>
      <c r="K20" s="2608">
        <f t="shared" si="3"/>
        <v>551.89</v>
      </c>
      <c r="L20" s="275">
        <f t="shared" si="4"/>
        <v>0</v>
      </c>
      <c r="M20" s="2609">
        <f t="shared" ref="M20:M26" si="8">K20+L20</f>
        <v>551.89</v>
      </c>
      <c r="N20" s="2610"/>
      <c r="O20" s="2611"/>
      <c r="P20" s="2612">
        <f t="shared" ref="P20:P26" si="9">N20+O20</f>
        <v>0</v>
      </c>
      <c r="R20" s="275">
        <f t="shared" si="5"/>
        <v>8987.5400000000009</v>
      </c>
      <c r="S20" s="2301">
        <f t="shared" si="5"/>
        <v>35551.89</v>
      </c>
    </row>
    <row r="21" spans="1:19">
      <c r="A21" s="138"/>
      <c r="B21" s="115" t="s">
        <v>226</v>
      </c>
      <c r="C21" s="3025"/>
      <c r="D21" s="111">
        <f t="shared" si="1"/>
        <v>0</v>
      </c>
      <c r="E21" s="134">
        <f t="shared" si="2"/>
        <v>0</v>
      </c>
      <c r="F21" s="135"/>
      <c r="G21" s="1368"/>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31028.91</v>
      </c>
      <c r="E27" s="143">
        <f>IF(SUM(E19:E26)='数据-基础表'!BA5,SUM(E19:E26),IF(F27="地上面积有误","面积有误","地下面积有误"))</f>
        <v>122740.64000000001</v>
      </c>
      <c r="F27" s="134">
        <f>IF(SUM(F19:F26)=E8,SUM(F19:F26),"地上面积有误")</f>
        <v>77782.010000000009</v>
      </c>
      <c r="G27" s="112">
        <f>SUM(G19:G26)</f>
        <v>44958.630000000005</v>
      </c>
      <c r="H27" s="975">
        <f>SUM(H19:H26)</f>
        <v>489.28</v>
      </c>
      <c r="I27" s="976">
        <f>SUM(I19:I26)</f>
        <v>1935.42</v>
      </c>
      <c r="J27" s="1984"/>
      <c r="K27" s="2617">
        <f>SUM(K19:K26)</f>
        <v>1935.42</v>
      </c>
      <c r="L27" s="2618">
        <f>SUM(L19:L26)</f>
        <v>0</v>
      </c>
      <c r="M27" s="2619">
        <f>SUM(M19:M26)</f>
        <v>1935.42</v>
      </c>
      <c r="N27" s="2617">
        <f t="shared" ref="N27:O27" si="10">SUM(N19:N26)</f>
        <v>0</v>
      </c>
      <c r="O27" s="2618">
        <f t="shared" si="10"/>
        <v>0</v>
      </c>
      <c r="P27" s="2620">
        <f>SUM(P19:P26)</f>
        <v>0</v>
      </c>
      <c r="R27" s="2305">
        <f>IF(SUM(R19:R26)=$D$3,SUM(R19:R26),SUM(R19:R26)&amp;"误差"&amp;ROUND(SUM(R19:R26)-$D$3,2))</f>
        <v>31518.19</v>
      </c>
      <c r="S27" s="275">
        <f>IF(SUM(S19:S26)=$E$3,SUM(S19:S26),SUM(S19:S26)&amp;"误差"&amp;ROUND(SUM(S19:S26)-E3,2))</f>
        <v>124676.06000000001</v>
      </c>
    </row>
    <row r="28" spans="1:19">
      <c r="A28" s="138"/>
      <c r="B28" s="115" t="s">
        <v>227</v>
      </c>
      <c r="C28" s="136" t="s">
        <v>228</v>
      </c>
      <c r="D28" s="111">
        <f>ROUND($D$3*E28/$E$3,2)</f>
        <v>489.28</v>
      </c>
      <c r="E28" s="134">
        <f>SUM(F28:G28)</f>
        <v>1935.42</v>
      </c>
      <c r="F28" s="144">
        <f>'数据-基础表'!BQ5+'数据-基础表'!BS5</f>
        <v>545.29</v>
      </c>
      <c r="G28" s="145">
        <f>'数据-基础表'!BR5+'数据-基础表'!BT5</f>
        <v>1390.13</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489.28</v>
      </c>
      <c r="E30" s="134">
        <f>SUM(E28:E29)</f>
        <v>1935.42</v>
      </c>
      <c r="F30" s="134">
        <f>SUM(F28:F29)</f>
        <v>545.29</v>
      </c>
      <c r="G30" s="112">
        <f>SUM(G28:G29)</f>
        <v>1390.13</v>
      </c>
      <c r="H30" s="1984"/>
      <c r="I30" s="1984"/>
      <c r="J30" s="1984"/>
      <c r="K30" s="1984"/>
      <c r="L30" s="1984"/>
    </row>
    <row r="31" spans="1:19" ht="32.25" customHeight="1" thickBot="1">
      <c r="A31" s="1370"/>
      <c r="B31" s="1371" t="s">
        <v>229</v>
      </c>
      <c r="C31" s="2330" t="s">
        <v>2324</v>
      </c>
      <c r="D31" s="1372">
        <f>D27+D30</f>
        <v>31518.19</v>
      </c>
      <c r="E31" s="1372">
        <f>E27+E30</f>
        <v>124676.06000000001</v>
      </c>
      <c r="F31" s="1373">
        <f>F27+F30</f>
        <v>78327.3</v>
      </c>
      <c r="G31" s="1374">
        <f>G27+G30</f>
        <v>46348.76</v>
      </c>
      <c r="H31" s="1984"/>
      <c r="I31" s="1984"/>
      <c r="J31" s="1984"/>
      <c r="K31" s="1984"/>
      <c r="L31" s="1984"/>
    </row>
    <row r="32" spans="1:19">
      <c r="A32" s="1984"/>
      <c r="B32" s="2363" t="s">
        <v>2323</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43342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2574</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2325</v>
      </c>
      <c r="AI5" s="171" t="s">
        <v>2294</v>
      </c>
      <c r="AJ5" s="171" t="s">
        <v>258</v>
      </c>
      <c r="AK5" s="159" t="s">
        <v>259</v>
      </c>
      <c r="AL5" s="159" t="s">
        <v>260</v>
      </c>
      <c r="AM5" s="172" t="s">
        <v>261</v>
      </c>
      <c r="AN5" s="2391"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2994</v>
      </c>
      <c r="D6" s="2308">
        <f>SUMIF(项目基本情况!D$15:I$15,C6,项目基本情况!D$18:I$18)</f>
        <v>40</v>
      </c>
      <c r="E6" s="2309">
        <f>IF(B6="","",SUMIF(项目基本情况!D$15:I$15,C6,项目基本情况!D$17:I$17))</f>
        <v>55264</v>
      </c>
      <c r="F6" s="174">
        <f>SUMIF(项目基本情况!D$15:I$15,C6,项目基本情况!D$19:I$19)</f>
        <v>32.659999999999997</v>
      </c>
      <c r="G6" s="175">
        <f>IF(ISERROR(ROUND(POWER(1+H6,D6-F6)*(POWER(1+H6,F6)-1)/(POWER(1+H6,D6)-1),3)),0,ROUND(POWER(1+H6,D6-F6)*(POWER(1+H6,F6)-1)/(POWER(1+H6,D6)-1),3))</f>
        <v>0.92100000000000004</v>
      </c>
      <c r="H6" s="3026">
        <v>4.4999999999999998E-2</v>
      </c>
      <c r="I6" s="3026">
        <v>0.06</v>
      </c>
      <c r="J6" s="176">
        <v>8.5000000000000006E-2</v>
      </c>
      <c r="K6" s="179">
        <f>SUMIF('数据-汇总表'!C$19:C$33,'数据-取费表'!A6,'数据-汇总表'!E$19:E$33)</f>
        <v>87740.640000000014</v>
      </c>
      <c r="L6" s="3027">
        <v>3000</v>
      </c>
      <c r="M6" s="177">
        <f t="shared" ref="M6:M14" si="0">ROUND(K6*L6/10000,0)</f>
        <v>26322</v>
      </c>
      <c r="N6" s="3028">
        <v>0</v>
      </c>
      <c r="O6" s="177">
        <f>IF($N$5="成新度","——",ROUND(M6*N6,0))</f>
        <v>0</v>
      </c>
      <c r="P6" s="178">
        <f>IF($N$5="成新度","——",M6-O6)</f>
        <v>26322</v>
      </c>
      <c r="Q6" s="3029">
        <v>0.25</v>
      </c>
      <c r="R6" s="179">
        <f>SUMIF('数据-汇总表'!C$19:C$33,A6,'数据-汇总表'!R$19:R$33)</f>
        <v>22530.649999999998</v>
      </c>
      <c r="S6" s="132">
        <f>IF('数据-汇总表'!$I$17="按面积比例",SUMIF('数据-汇总表'!C$19:C$33,A6,'数据-汇总表'!K$19:K$33),SUMIF('数据-汇总表'!C$19:C$33,A6,'数据-汇总表'!N$19:N$33))</f>
        <v>1383.53</v>
      </c>
      <c r="T6" s="2234">
        <f>IF($T$4="按面积比例",IF(ISERROR(ROUND($M$14*S6/S$16,0)),"0",ROUND($M$14*S6/S$16,0)),"需自行计算录入")</f>
        <v>277</v>
      </c>
      <c r="U6" s="180">
        <f>Sheet2!C10</f>
        <v>2.5099999999999998</v>
      </c>
      <c r="V6" s="181">
        <v>0.03</v>
      </c>
      <c r="W6" s="181">
        <v>0.1</v>
      </c>
      <c r="X6" s="2321"/>
      <c r="Y6" s="182">
        <f>N6</f>
        <v>0</v>
      </c>
      <c r="Z6" s="183"/>
      <c r="AA6" s="176"/>
      <c r="AB6" s="176"/>
      <c r="AC6" s="2324"/>
      <c r="AD6" s="184"/>
      <c r="AE6" s="972">
        <f ca="1">IF(AN6="",0,SUMIF(INDIRECT("'"&amp;AN6&amp;"'"&amp;"!E:E"),$AE$5,INDIRECT("'"&amp;AN6&amp;"'"&amp;"!F:F")))</f>
        <v>30.659999999999997</v>
      </c>
      <c r="AF6" s="141"/>
      <c r="AG6" s="1213">
        <f>IF(AF6="",0,AE6-AF6)</f>
        <v>0</v>
      </c>
      <c r="AH6" s="141"/>
      <c r="AI6" s="187">
        <v>365</v>
      </c>
      <c r="AJ6" s="188"/>
      <c r="AK6" s="189">
        <v>1.4999999999999999E-2</v>
      </c>
      <c r="AL6" s="190">
        <v>2E-3</v>
      </c>
      <c r="AM6" s="3040">
        <v>0.02</v>
      </c>
      <c r="AN6" s="2392" t="s">
        <v>3030</v>
      </c>
      <c r="AO6" s="2000"/>
      <c r="AP6" s="1204">
        <f>ROUND(1-1/(1+H6)^F6,3)</f>
        <v>0.76300000000000001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地下车库</v>
      </c>
      <c r="B7" s="2337" t="str">
        <f t="shared" ref="B7:B13" si="1">IF(A7=0,"","经营性")</f>
        <v>经营性</v>
      </c>
      <c r="C7" s="173" t="s">
        <v>3006</v>
      </c>
      <c r="D7" s="2308">
        <f>SUMIF(项目基本情况!D$15:I$15,C7,项目基本情况!D$18:I$18)</f>
        <v>50</v>
      </c>
      <c r="E7" s="2309">
        <f>IF(B7="","",SUMIF(项目基本情况!D$15:I$15,C7,项目基本情况!D$17:I$17))</f>
        <v>58917</v>
      </c>
      <c r="F7" s="174">
        <f>SUMIF(项目基本情况!D$15:I$15,C7,项目基本情况!D$19:I$19)</f>
        <v>42.67</v>
      </c>
      <c r="G7" s="175">
        <f t="shared" ref="G7:G11" si="2">IF(ISERROR(ROUND(POWER(1+H7,D7-F7)*(POWER(1+H7,F7)-1)/(POWER(1+H7,D7)-1),3)),0,ROUND(POWER(1+H7,D7-F7)*(POWER(1+H7,F7)-1)/(POWER(1+H7,D7)-1),3))</f>
        <v>0.95299999999999996</v>
      </c>
      <c r="H7" s="3026">
        <v>4.4999999999999998E-2</v>
      </c>
      <c r="I7" s="3026">
        <v>0.05</v>
      </c>
      <c r="J7" s="176">
        <v>8.5000000000000006E-2</v>
      </c>
      <c r="K7" s="179">
        <f>SUMIF('数据-汇总表'!C$19:C$33,'数据-取费表'!A7,'数据-汇总表'!E$19:E$33)</f>
        <v>35000</v>
      </c>
      <c r="L7" s="3027">
        <v>2000</v>
      </c>
      <c r="M7" s="177">
        <f t="shared" si="0"/>
        <v>7000</v>
      </c>
      <c r="N7" s="3028">
        <v>0</v>
      </c>
      <c r="O7" s="177">
        <f t="shared" ref="O7:O14" si="3">IF($N$5="成新度","——",ROUND(M7*N7,0))</f>
        <v>0</v>
      </c>
      <c r="P7" s="178">
        <f t="shared" ref="P7:P14" si="4">IF($N$5="成新度","——",M7-O7)</f>
        <v>7000</v>
      </c>
      <c r="Q7" s="3029">
        <v>0.05</v>
      </c>
      <c r="R7" s="179">
        <f>SUMIF('数据-汇总表'!C$19:C$33,A7,'数据-汇总表'!R$19:R$33)</f>
        <v>8987.5400000000009</v>
      </c>
      <c r="S7" s="132">
        <f>IF('数据-汇总表'!$I$17="按面积比例",SUMIF('数据-汇总表'!C$19:C$33,A7,'数据-汇总表'!K$19:K$33),SUMIF('数据-汇总表'!C$19:C$33,A7,'数据-汇总表'!N$19:N$33))</f>
        <v>551.89</v>
      </c>
      <c r="T7" s="2234">
        <f t="shared" ref="T7:T13" si="5">IF($T$4="按面积比例",IF(ISERROR(ROUND($M$14*S7/S$16,0)),"0",ROUND($M$14*S7/S$16,0)),"需自行计算录入")</f>
        <v>110</v>
      </c>
      <c r="U7" s="180">
        <v>400</v>
      </c>
      <c r="V7" s="181">
        <v>0.03</v>
      </c>
      <c r="W7" s="181">
        <v>0.1</v>
      </c>
      <c r="X7" s="2321"/>
      <c r="Y7" s="182">
        <f>N7</f>
        <v>0</v>
      </c>
      <c r="Z7" s="183"/>
      <c r="AA7" s="176"/>
      <c r="AB7" s="176"/>
      <c r="AC7" s="2324"/>
      <c r="AD7" s="184"/>
      <c r="AE7" s="972">
        <f t="shared" ref="AE7:AE13" ca="1" si="6">IF(AN7="",0,SUMIF(INDIRECT("'"&amp;AN7&amp;"'"&amp;"!E:E"),$AE$5,INDIRECT("'"&amp;AN7&amp;"'"&amp;"!F:F")))</f>
        <v>40.67</v>
      </c>
      <c r="AF7" s="141"/>
      <c r="AG7" s="1213">
        <f t="shared" ref="AG7:AG13" si="7">IF(AF7="",0,AE7-AF7)</f>
        <v>0</v>
      </c>
      <c r="AH7" s="141">
        <v>875</v>
      </c>
      <c r="AI7" s="187">
        <v>12</v>
      </c>
      <c r="AJ7" s="188"/>
      <c r="AK7" s="189">
        <v>1.4999999999999999E-2</v>
      </c>
      <c r="AL7" s="190">
        <v>1.5E-3</v>
      </c>
      <c r="AM7" s="2390">
        <v>0.01</v>
      </c>
      <c r="AN7" s="2392" t="s">
        <v>3032</v>
      </c>
      <c r="AO7" s="2000"/>
      <c r="AP7" s="1204">
        <f t="shared" ref="AP7:AP13" si="8">ROUND(1-1/(1+H7)^F7,3)</f>
        <v>0.84699999999999998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1680</v>
      </c>
      <c r="C14" s="2307" t="s">
        <v>2316</v>
      </c>
      <c r="D14" s="2308"/>
      <c r="E14" s="2309"/>
      <c r="F14" s="174"/>
      <c r="G14" s="175"/>
      <c r="H14" s="2310"/>
      <c r="I14" s="2310"/>
      <c r="J14" s="2310"/>
      <c r="K14" s="179">
        <f>SUMIF('数据-汇总表'!C$19:C$33,'数据-取费表'!A14,'数据-汇总表'!E$19:E$33)</f>
        <v>1935.42</v>
      </c>
      <c r="L14" s="193">
        <v>2000</v>
      </c>
      <c r="M14" s="177">
        <f t="shared" si="0"/>
        <v>387</v>
      </c>
      <c r="N14" s="194">
        <v>0</v>
      </c>
      <c r="O14" s="177">
        <f t="shared" si="3"/>
        <v>0</v>
      </c>
      <c r="P14" s="178">
        <f t="shared" si="4"/>
        <v>387</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1680</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0.93</v>
      </c>
      <c r="H16" s="203">
        <f>ROUND(SUMPRODUCT(H6:H13,K6:K13)/SUMPRODUCT((H6:H13&gt;0)*(K6:K13)),3)</f>
        <v>4.4999999999999998E-2</v>
      </c>
      <c r="I16" s="204"/>
      <c r="J16" s="204"/>
      <c r="K16" s="205">
        <f>SUM(K6:K15)</f>
        <v>124676.06000000001</v>
      </c>
      <c r="L16" s="206">
        <f>ROUND(M16*10000/SUM(K6:K14),0)</f>
        <v>2704</v>
      </c>
      <c r="M16" s="206">
        <f>SUM(M6:M14)</f>
        <v>33709</v>
      </c>
      <c r="N16" s="207">
        <f>ROUND(SUMPRODUCT(M6:M14,N6:N14)/M16,3)</f>
        <v>0</v>
      </c>
      <c r="O16" s="206">
        <f>SUM(O6:O14)</f>
        <v>0</v>
      </c>
      <c r="P16" s="206">
        <f>SUM(P6:P14)</f>
        <v>33709</v>
      </c>
      <c r="Q16" s="208">
        <f>ROUND(SUMPRODUCT(Q6:Q13,K6:K13)/SUMPRODUCT((Q6:Q13&gt;0)*(K6:K13)),2)</f>
        <v>0.19</v>
      </c>
      <c r="R16" s="2311">
        <f>SUM(R6:R13)</f>
        <v>31518.19</v>
      </c>
      <c r="S16" s="209">
        <f>SUM(S6:S13)</f>
        <v>1935.42</v>
      </c>
      <c r="T16" s="210">
        <f>IF(SUMIF(T6:T13,"&lt;9E307")=M14,SUMIF(T6:T13,"&lt;9E307"),"有误，请检查")</f>
        <v>387</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0.78700000000000003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120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3"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2458</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2459</v>
      </c>
      <c r="B40" s="2481">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2905</v>
      </c>
      <c r="D53" s="3078"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2907</v>
      </c>
      <c r="B54" s="186">
        <v>5</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2908</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2909</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2910</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2911</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2912</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9" sqref="C19"/>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8" t="s">
        <v>1664</v>
      </c>
      <c r="B1" s="3289"/>
      <c r="C1" s="3289"/>
      <c r="D1" s="3289"/>
      <c r="E1" s="3289"/>
      <c r="F1" s="3289"/>
      <c r="G1" s="328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2923</v>
      </c>
      <c r="D3" s="2009"/>
      <c r="E3" s="1229" t="s">
        <v>1667</v>
      </c>
      <c r="F3" s="1230" t="s">
        <v>1655</v>
      </c>
      <c r="G3" s="3085" t="s">
        <v>2922</v>
      </c>
      <c r="H3" s="2008"/>
      <c r="I3" s="2008"/>
      <c r="J3" s="2008"/>
      <c r="K3" s="2008"/>
      <c r="L3" s="2008"/>
      <c r="M3" s="2008"/>
      <c r="N3" s="2008"/>
      <c r="O3" s="2008"/>
      <c r="P3" s="2008"/>
      <c r="Q3" s="2008"/>
      <c r="R3" s="2008"/>
    </row>
    <row r="4" spans="1:18" ht="54">
      <c r="A4" s="1229"/>
      <c r="B4" s="1231" t="s">
        <v>1668</v>
      </c>
      <c r="C4" s="3192" t="s">
        <v>3102</v>
      </c>
      <c r="D4" s="2009"/>
      <c r="E4" s="1232"/>
      <c r="F4" s="1233" t="s">
        <v>1669</v>
      </c>
      <c r="G4" s="3084" t="s">
        <v>2919</v>
      </c>
      <c r="H4" s="2008"/>
      <c r="I4" s="2008"/>
      <c r="J4" s="2008"/>
      <c r="K4" s="2008"/>
      <c r="L4" s="2008"/>
      <c r="M4" s="2008"/>
      <c r="N4" s="2008"/>
      <c r="O4" s="2008"/>
      <c r="P4" s="2008"/>
      <c r="Q4" s="2008"/>
      <c r="R4" s="2008"/>
    </row>
    <row r="5" spans="1:18" ht="41.25">
      <c r="A5" s="1229"/>
      <c r="B5" s="1231" t="s">
        <v>1670</v>
      </c>
      <c r="C5" s="3083" t="s">
        <v>2924</v>
      </c>
      <c r="D5" s="2009"/>
      <c r="E5" s="1232"/>
      <c r="F5" s="1231" t="s">
        <v>2548</v>
      </c>
      <c r="G5" s="3084" t="s">
        <v>2920</v>
      </c>
      <c r="H5" s="2008"/>
      <c r="I5" s="2008"/>
      <c r="J5" s="2008"/>
      <c r="K5" s="2008"/>
      <c r="L5" s="2008"/>
      <c r="M5" s="2008"/>
      <c r="N5" s="2008"/>
      <c r="O5" s="2008"/>
      <c r="P5" s="2008"/>
      <c r="Q5" s="2008"/>
      <c r="R5" s="2008"/>
    </row>
    <row r="6" spans="1:18" ht="54">
      <c r="A6" s="1229"/>
      <c r="B6" s="1231" t="s">
        <v>1656</v>
      </c>
      <c r="C6" s="3193" t="s">
        <v>3103</v>
      </c>
      <c r="D6" s="2009"/>
      <c r="E6" s="1232"/>
      <c r="F6" s="1231" t="s">
        <v>2549</v>
      </c>
      <c r="G6" s="3084" t="s">
        <v>2917</v>
      </c>
      <c r="H6" s="2008"/>
      <c r="I6" s="2008"/>
      <c r="J6" s="2008"/>
      <c r="K6" s="2008"/>
      <c r="L6" s="2008"/>
      <c r="M6" s="2008"/>
      <c r="N6" s="2008"/>
      <c r="O6" s="2008"/>
      <c r="P6" s="2008"/>
      <c r="Q6" s="2008"/>
      <c r="R6" s="2008"/>
    </row>
    <row r="7" spans="1:18" ht="41.25" thickBot="1">
      <c r="A7" s="1229"/>
      <c r="B7" s="1231" t="s">
        <v>2548</v>
      </c>
      <c r="C7" s="3193" t="s">
        <v>3104</v>
      </c>
      <c r="D7" s="2010"/>
      <c r="E7" s="1234"/>
      <c r="F7" s="1235" t="s">
        <v>1671</v>
      </c>
      <c r="G7" s="3086" t="s">
        <v>2921</v>
      </c>
      <c r="H7" s="2008"/>
      <c r="I7" s="2008"/>
      <c r="J7" s="2008"/>
      <c r="K7" s="2008"/>
      <c r="L7" s="2008"/>
      <c r="M7" s="2008"/>
      <c r="N7" s="2008"/>
      <c r="O7" s="2008"/>
      <c r="P7" s="2008"/>
      <c r="Q7" s="2008"/>
      <c r="R7" s="2008"/>
    </row>
    <row r="8" spans="1:18" ht="27">
      <c r="A8" s="1229"/>
      <c r="B8" s="1231" t="s">
        <v>2549</v>
      </c>
      <c r="C8" s="3193" t="s">
        <v>3105</v>
      </c>
      <c r="D8" s="2010"/>
      <c r="E8" s="2010"/>
      <c r="F8" s="1554"/>
      <c r="G8" s="1554"/>
      <c r="H8" s="2008"/>
      <c r="I8" s="2008"/>
      <c r="J8" s="2008"/>
      <c r="K8" s="2008"/>
      <c r="L8" s="2008"/>
      <c r="M8" s="2008"/>
      <c r="N8" s="2008"/>
      <c r="O8" s="2008"/>
      <c r="P8" s="2008"/>
      <c r="Q8" s="2008"/>
      <c r="R8" s="2008"/>
    </row>
    <row r="9" spans="1:18" ht="40.5">
      <c r="A9" s="1229"/>
      <c r="B9" s="1231" t="s">
        <v>1657</v>
      </c>
      <c r="C9" s="3083" t="s">
        <v>2918</v>
      </c>
      <c r="D9" s="2009"/>
      <c r="E9" s="2010"/>
      <c r="F9" s="1554"/>
      <c r="G9" s="1554"/>
      <c r="H9" s="2008"/>
      <c r="I9" s="2008"/>
      <c r="J9" s="2008"/>
      <c r="K9" s="2008"/>
      <c r="L9" s="2008"/>
      <c r="M9" s="2008"/>
      <c r="N9" s="2008"/>
      <c r="O9" s="2008"/>
      <c r="P9" s="2008"/>
      <c r="Q9" s="2008"/>
      <c r="R9" s="2008"/>
    </row>
    <row r="10" spans="1:18" s="2016" customFormat="1" ht="14.25" thickBot="1">
      <c r="A10" s="1236"/>
      <c r="B10" s="1237" t="s">
        <v>1672</v>
      </c>
      <c r="C10" s="3194" t="s">
        <v>3106</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54">
      <c r="A16" s="2589"/>
      <c r="B16" s="1245" t="s">
        <v>1668</v>
      </c>
      <c r="C16" s="1246" t="str">
        <f>C4</f>
        <v>估价对象位于青岛市城阳区，周边商业氛围较成熟，人流量较大，商业繁华度较好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估价对象周边道路状况较好、公共交通通达情况较好、停车便捷程度较好，综合评价交通便捷度较好</v>
      </c>
      <c r="D18" s="2010"/>
      <c r="E18" s="2586"/>
      <c r="F18" s="1247" t="s">
        <v>1671</v>
      </c>
      <c r="G18" s="1005" t="str">
        <f>G7</f>
        <v>该园区内是否有污染型企业，绿化情况，卫生条件，整体环境状况判断</v>
      </c>
    </row>
    <row r="19" spans="1:7" ht="27">
      <c r="A19" s="2589"/>
      <c r="B19" s="1247" t="s">
        <v>1660</v>
      </c>
      <c r="C19" s="3198" t="s">
        <v>3109</v>
      </c>
      <c r="D19" s="2009"/>
      <c r="E19" s="2586"/>
      <c r="F19" s="1231" t="s">
        <v>2548</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2549</v>
      </c>
      <c r="G20" s="1005" t="str">
        <f>G6</f>
        <v>估价对象所在区域基础设施水平</v>
      </c>
    </row>
    <row r="21" spans="1:7" ht="27">
      <c r="A21" s="2589"/>
      <c r="B21" s="1231" t="s">
        <v>2548</v>
      </c>
      <c r="C21" s="1005" t="str">
        <f>C7</f>
        <v>估价对象所在区域公共配套设施齐备情况较好</v>
      </c>
      <c r="D21" s="2009"/>
      <c r="E21" s="2586"/>
      <c r="F21" s="1247" t="s">
        <v>1662</v>
      </c>
      <c r="G21" s="3087"/>
    </row>
    <row r="22" spans="1:7" ht="27">
      <c r="A22" s="2589"/>
      <c r="B22" s="1231" t="s">
        <v>2549</v>
      </c>
      <c r="C22" s="1005" t="str">
        <f>C8</f>
        <v>估价对象所在区域基础设施水平达到七通</v>
      </c>
      <c r="D22" s="2009"/>
      <c r="E22" s="2586"/>
      <c r="F22" s="1247" t="s">
        <v>1672</v>
      </c>
      <c r="G22" s="2794"/>
    </row>
    <row r="23" spans="1:7" ht="15" thickBot="1">
      <c r="A23" s="2589"/>
      <c r="B23" s="1247" t="s">
        <v>1662</v>
      </c>
      <c r="C23" s="3087"/>
      <c r="E23" s="2587"/>
      <c r="F23" s="1248" t="s">
        <v>1676</v>
      </c>
      <c r="G23" s="3088"/>
    </row>
    <row r="24" spans="1:7" ht="14.25" thickBot="1">
      <c r="A24" s="2590"/>
      <c r="B24" s="1248" t="s">
        <v>1663</v>
      </c>
      <c r="C24" s="1249" t="str">
        <f>C10</f>
        <v>主干道—正阳中路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2" sqref="G12"/>
    </sheetView>
  </sheetViews>
  <sheetFormatPr defaultColWidth="14.625" defaultRowHeight="13.5"/>
  <cols>
    <col min="1" max="1" width="24.375" customWidth="1"/>
  </cols>
  <sheetData>
    <row r="1" spans="1:9" ht="16.5">
      <c r="A1" s="3046" t="s">
        <v>2846</v>
      </c>
      <c r="B1" s="3046">
        <f>SUM(B14:B23)</f>
        <v>124676.06000000001</v>
      </c>
      <c r="C1" s="3047"/>
      <c r="D1" s="3047"/>
      <c r="E1" s="3047"/>
      <c r="F1" s="3047"/>
    </row>
    <row r="2" spans="1:9" ht="16.5">
      <c r="A2" s="3046" t="s">
        <v>2847</v>
      </c>
      <c r="B2" s="3046">
        <f>SUM(C14:C23)</f>
        <v>31518.19</v>
      </c>
      <c r="C2" s="3047"/>
      <c r="D2" s="3047"/>
      <c r="E2" s="3047"/>
      <c r="F2" s="3047"/>
    </row>
    <row r="3" spans="1:9" ht="16.5">
      <c r="A3" s="3046" t="s">
        <v>2848</v>
      </c>
      <c r="B3" s="3048">
        <f>项目基本情况!D3</f>
        <v>43342</v>
      </c>
      <c r="C3" s="3047"/>
      <c r="D3" s="3047"/>
      <c r="E3" s="3047"/>
      <c r="F3" s="3047"/>
    </row>
    <row r="4" spans="1:9" ht="33">
      <c r="A4" s="3046" t="s">
        <v>2849</v>
      </c>
      <c r="B4" s="3046" t="s">
        <v>2850</v>
      </c>
      <c r="C4" s="3046" t="s">
        <v>2851</v>
      </c>
      <c r="D4" s="3046" t="s">
        <v>2852</v>
      </c>
      <c r="E4" s="3047"/>
      <c r="F4" s="3047"/>
    </row>
    <row r="5" spans="1:9" ht="16.5">
      <c r="A5" s="3046" t="s">
        <v>2853</v>
      </c>
      <c r="B5" s="3046">
        <f ca="1">SUM(D14:D23)</f>
        <v>27455</v>
      </c>
      <c r="C5" s="3046">
        <f ca="1">ROUND(B5*10000/$B$1,0)</f>
        <v>2202</v>
      </c>
      <c r="D5" s="3046">
        <f ca="1">ROUND(B5*10000/$B$2,0)</f>
        <v>8711</v>
      </c>
      <c r="E5" s="3047"/>
      <c r="F5" s="3047"/>
    </row>
    <row r="6" spans="1:9" ht="16.5">
      <c r="A6" s="3046" t="s">
        <v>2854</v>
      </c>
      <c r="B6" s="3046">
        <f ca="1">SUM(G14:G23)</f>
        <v>27455</v>
      </c>
      <c r="C6" s="3046">
        <f t="shared" ref="C6:C8" ca="1" si="0">ROUND(B6*10000/$B$1,0)</f>
        <v>2202</v>
      </c>
      <c r="D6" s="3046">
        <f t="shared" ref="D6:D8" ca="1" si="1">ROUND(B6*10000/$B$2,0)</f>
        <v>8711</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124676.06000000001</v>
      </c>
      <c r="C14" s="3050">
        <f>结果表!K38</f>
        <v>31518.19</v>
      </c>
      <c r="D14" s="3050">
        <f ca="1">结果表!C42</f>
        <v>27455</v>
      </c>
      <c r="E14" s="3050">
        <f ca="1">ROUND(D14*10000/B14,0)</f>
        <v>2202</v>
      </c>
      <c r="F14" s="3050">
        <f ca="1">ROUND(D14*10000/C14,0)</f>
        <v>8711</v>
      </c>
      <c r="G14" s="3050">
        <f ca="1">结果表!C44</f>
        <v>27455</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3008</v>
      </c>
      <c r="E1" s="1805" t="s">
        <v>2059</v>
      </c>
      <c r="F1" s="1807" t="s">
        <v>3009</v>
      </c>
      <c r="G1" s="311"/>
      <c r="H1" s="311"/>
      <c r="I1" s="311"/>
      <c r="J1" s="2029"/>
      <c r="K1" s="2029"/>
      <c r="L1" s="2029"/>
      <c r="M1" s="2029"/>
      <c r="N1" s="2029"/>
      <c r="O1" s="2029"/>
      <c r="P1" s="2029"/>
      <c r="Q1" s="2029"/>
      <c r="R1" s="2029"/>
      <c r="S1" s="2029"/>
      <c r="T1" s="2029"/>
      <c r="U1" s="2029"/>
      <c r="V1" s="2029"/>
    </row>
    <row r="2" spans="1:22" ht="21.75" customHeight="1" thickBot="1">
      <c r="A2" s="3326" t="str">
        <f>项目基本情况!K2</f>
        <v>山东省青岛市城阳街道大北曲后社区青岛北曲后汇豪置业有限公司出让国有建设用地使用权</v>
      </c>
      <c r="B2" s="3327"/>
      <c r="C2" s="3328"/>
      <c r="D2" s="3328"/>
      <c r="E2" s="3328"/>
      <c r="F2" s="3328"/>
      <c r="G2" s="3327"/>
      <c r="H2" s="3327"/>
      <c r="I2" s="3329"/>
      <c r="J2" s="2030"/>
      <c r="K2" s="2029"/>
      <c r="L2" s="2029"/>
      <c r="M2" s="2029"/>
      <c r="N2" s="2029"/>
      <c r="O2" s="2029"/>
      <c r="P2" s="2029"/>
      <c r="Q2" s="2029"/>
      <c r="R2" s="2029"/>
      <c r="S2" s="2029"/>
      <c r="T2" s="2029"/>
      <c r="U2" s="2029"/>
      <c r="V2" s="2029"/>
    </row>
    <row r="3" spans="1:22" ht="14.25">
      <c r="A3" s="3319" t="s">
        <v>298</v>
      </c>
      <c r="B3" s="3320"/>
      <c r="C3" s="3320"/>
      <c r="D3" s="3320"/>
      <c r="E3" s="3320"/>
      <c r="F3" s="3320"/>
      <c r="G3" s="3320"/>
      <c r="H3" s="3320"/>
      <c r="I3" s="3320"/>
      <c r="J3" s="2030"/>
      <c r="K3" s="2029"/>
      <c r="L3" s="2029"/>
      <c r="M3" s="2029"/>
      <c r="N3" s="2029"/>
      <c r="O3" s="2029"/>
      <c r="P3" s="2029"/>
      <c r="Q3" s="2029"/>
      <c r="R3" s="2029"/>
      <c r="S3" s="2029"/>
      <c r="T3" s="2029"/>
      <c r="U3" s="2029"/>
      <c r="V3" s="2029"/>
    </row>
    <row r="4" spans="1:22" ht="14.25">
      <c r="A4" s="258" t="s">
        <v>299</v>
      </c>
      <c r="B4" s="259" t="s">
        <v>300</v>
      </c>
      <c r="C4" s="260" t="s">
        <v>3010</v>
      </c>
      <c r="D4" s="260" t="s">
        <v>3011</v>
      </c>
      <c r="E4" s="3291" t="s">
        <v>301</v>
      </c>
      <c r="F4" s="3292"/>
      <c r="G4" s="3292"/>
      <c r="H4" s="3292"/>
      <c r="I4" s="332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0" t="s">
        <v>302</v>
      </c>
      <c r="B5" s="3316">
        <v>25</v>
      </c>
      <c r="C5" s="3314"/>
      <c r="D5" s="3318"/>
      <c r="E5" s="261" t="s">
        <v>303</v>
      </c>
      <c r="F5" s="262"/>
      <c r="G5" s="262"/>
      <c r="H5" s="262"/>
      <c r="I5" s="263"/>
      <c r="J5" s="2030"/>
      <c r="K5" s="2029"/>
      <c r="L5" s="2029"/>
      <c r="M5" s="2029"/>
      <c r="N5" s="2029"/>
      <c r="O5" s="2029"/>
      <c r="P5" s="2029"/>
      <c r="Q5" s="2029"/>
      <c r="R5" s="2029"/>
      <c r="S5" s="2029"/>
      <c r="T5" s="2029"/>
      <c r="U5" s="2029"/>
      <c r="V5" s="2029"/>
    </row>
    <row r="6" spans="1:22" ht="14.25">
      <c r="A6" s="3290"/>
      <c r="B6" s="3316"/>
      <c r="C6" s="3317"/>
      <c r="D6" s="3318"/>
      <c r="E6" s="261" t="s">
        <v>304</v>
      </c>
      <c r="F6" s="262"/>
      <c r="G6" s="262"/>
      <c r="H6" s="262"/>
      <c r="I6" s="263"/>
      <c r="J6" s="2030"/>
      <c r="K6" s="2029"/>
      <c r="L6" s="2029"/>
      <c r="M6" s="2029"/>
      <c r="N6" s="2029"/>
      <c r="O6" s="2029"/>
      <c r="P6" s="2029"/>
      <c r="Q6" s="2029"/>
      <c r="R6" s="2029"/>
      <c r="S6" s="2029"/>
      <c r="T6" s="2029"/>
      <c r="U6" s="2029"/>
      <c r="V6" s="2029"/>
    </row>
    <row r="7" spans="1:22" ht="14.25">
      <c r="A7" s="3290"/>
      <c r="B7" s="3316"/>
      <c r="C7" s="3315"/>
      <c r="D7" s="3318"/>
      <c r="E7" s="261" t="s">
        <v>305</v>
      </c>
      <c r="F7" s="262"/>
      <c r="G7" s="262"/>
      <c r="H7" s="262"/>
      <c r="I7" s="263"/>
      <c r="J7" s="2030"/>
      <c r="K7" s="2029"/>
      <c r="L7" s="2029"/>
      <c r="M7" s="2029"/>
      <c r="N7" s="2029"/>
      <c r="O7" s="2029"/>
      <c r="P7" s="2029"/>
      <c r="Q7" s="2029"/>
      <c r="R7" s="2029"/>
      <c r="S7" s="2029"/>
      <c r="T7" s="2029"/>
      <c r="U7" s="2029"/>
      <c r="V7" s="2029"/>
    </row>
    <row r="8" spans="1:22" ht="14.25">
      <c r="A8" s="3290" t="s">
        <v>306</v>
      </c>
      <c r="B8" s="3316">
        <v>15</v>
      </c>
      <c r="C8" s="3314"/>
      <c r="D8" s="3318"/>
      <c r="E8" s="261" t="s">
        <v>307</v>
      </c>
      <c r="F8" s="262"/>
      <c r="G8" s="262"/>
      <c r="H8" s="262"/>
      <c r="I8" s="263"/>
      <c r="J8" s="2030"/>
      <c r="K8" s="2029"/>
      <c r="L8" s="2029"/>
      <c r="M8" s="2029"/>
      <c r="N8" s="2029"/>
      <c r="O8" s="2029"/>
      <c r="P8" s="2029"/>
      <c r="Q8" s="2029"/>
      <c r="R8" s="2029"/>
      <c r="S8" s="2029"/>
      <c r="T8" s="2029"/>
      <c r="U8" s="2029"/>
      <c r="V8" s="2029"/>
    </row>
    <row r="9" spans="1:22" ht="14.25">
      <c r="A9" s="3290"/>
      <c r="B9" s="3316"/>
      <c r="C9" s="3315"/>
      <c r="D9" s="3318"/>
      <c r="E9" s="261" t="s">
        <v>308</v>
      </c>
      <c r="F9" s="262"/>
      <c r="G9" s="262"/>
      <c r="H9" s="262"/>
      <c r="I9" s="263"/>
      <c r="J9" s="2030"/>
      <c r="K9" s="2029"/>
      <c r="L9" s="2029"/>
      <c r="M9" s="2029"/>
      <c r="N9" s="2029"/>
      <c r="O9" s="2029"/>
      <c r="P9" s="2029"/>
      <c r="Q9" s="2029"/>
      <c r="R9" s="2029"/>
      <c r="S9" s="2029"/>
      <c r="T9" s="2029"/>
      <c r="U9" s="2029"/>
      <c r="V9" s="2029"/>
    </row>
    <row r="10" spans="1:22" ht="14.25">
      <c r="A10" s="3290" t="s">
        <v>309</v>
      </c>
      <c r="B10" s="3316">
        <v>15</v>
      </c>
      <c r="C10" s="3314"/>
      <c r="D10" s="3318"/>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0"/>
      <c r="B11" s="3316"/>
      <c r="C11" s="3315"/>
      <c r="D11" s="3318"/>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0" t="s">
        <v>312</v>
      </c>
      <c r="B12" s="3316">
        <v>15</v>
      </c>
      <c r="C12" s="3314"/>
      <c r="D12" s="3318"/>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0"/>
      <c r="B13" s="3316"/>
      <c r="C13" s="3315"/>
      <c r="D13" s="3318"/>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0" t="s">
        <v>315</v>
      </c>
      <c r="B14" s="3316">
        <v>30</v>
      </c>
      <c r="C14" s="3314">
        <v>6</v>
      </c>
      <c r="D14" s="3318">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0"/>
      <c r="B15" s="3316"/>
      <c r="C15" s="3317"/>
      <c r="D15" s="3318"/>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0"/>
      <c r="B16" s="3316"/>
      <c r="C16" s="3315"/>
      <c r="D16" s="331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21686</v>
      </c>
      <c r="D19" s="271">
        <f ca="1">SUMIF(INDIRECT("'"&amp;D4&amp;"'"&amp;"!A:A"),结果表!B19,INDIRECT("'"&amp;D4&amp;"'"&amp;"!B:B"))</f>
        <v>36108</v>
      </c>
      <c r="E19" s="268" t="s">
        <v>323</v>
      </c>
      <c r="F19" s="269" t="s">
        <v>322</v>
      </c>
      <c r="G19" s="272">
        <f ca="1">ROUND(C19*$C$18+D19*$D$18,0)</f>
        <v>27455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1739</v>
      </c>
      <c r="D20" s="277">
        <f ca="1">SUMIF(INDIRECT("'"&amp;D4&amp;"'"&amp;"!A:A"),结果表!B20,INDIRECT("'"&amp;D4&amp;"'"&amp;"!B:B"))</f>
        <v>2896</v>
      </c>
      <c r="E20" s="274"/>
      <c r="F20" s="275" t="s">
        <v>325</v>
      </c>
      <c r="G20" s="278">
        <f ca="1">ROUND(C20*$C$18+D20*$D$18,0)</f>
        <v>2202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6880</v>
      </c>
      <c r="D21" s="151">
        <f ca="1">SUMIF(INDIRECT("'"&amp;D4&amp;"'"&amp;"!A:A"),结果表!B21,INDIRECT("'"&amp;D4&amp;"'"&amp;"!B:B"))</f>
        <v>11456</v>
      </c>
      <c r="E21" s="274"/>
      <c r="F21" s="280" t="s">
        <v>327</v>
      </c>
      <c r="G21" s="282">
        <f ca="1">ROUND(C21*$C$18+D21*$D$18,0)</f>
        <v>8710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0.6650373512865444</v>
      </c>
      <c r="E22" s="284"/>
      <c r="F22" s="285"/>
      <c r="G22" s="286">
        <f ca="1">ROUND(G19/('数据-汇总表'!D3/666.67),0)</f>
        <v>581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7"/>
      <c r="B25" s="1321" t="s">
        <v>331</v>
      </c>
      <c r="C25" s="290">
        <f>IF(B30=0,0,C30)</f>
        <v>0</v>
      </c>
      <c r="D25" s="291"/>
      <c r="E25" s="311"/>
      <c r="F25" s="311"/>
      <c r="G25" s="311"/>
      <c r="H25" s="311"/>
      <c r="I25" s="311"/>
      <c r="J25" s="2029"/>
      <c r="K25" s="1255" t="str">
        <f ca="1">项目基本情况!B16&amp;"国有建设用地使用权价格："&amp;O38&amp;"万元"</f>
        <v>出让国有建设用地使用权价格：27455万元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大写金额：人民币贰亿柒仟肆佰伍拾伍万元整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G19/'数据-汇总表'!F31*10000</f>
        <v>3505.1635891955934</v>
      </c>
      <c r="E27" s="311"/>
      <c r="F27" s="311"/>
      <c r="G27" s="311"/>
      <c r="H27" s="311"/>
      <c r="I27" s="311"/>
      <c r="J27" s="2029"/>
      <c r="K27" s="1258" t="str">
        <f ca="1">"单位面积地价："&amp;M38&amp;"元/平方米"</f>
        <v>单位面积地价：8711元/平方米</v>
      </c>
      <c r="L27" s="1252"/>
      <c r="M27" s="1252"/>
      <c r="N27" s="1252"/>
      <c r="O27" s="1251"/>
      <c r="P27" s="2029"/>
      <c r="Q27" s="2029"/>
      <c r="R27" s="2029"/>
      <c r="S27" s="2029"/>
      <c r="T27" s="2029"/>
      <c r="U27" s="2029"/>
      <c r="V27" s="2029"/>
    </row>
    <row r="28" spans="1:26" ht="18.75" customHeight="1">
      <c r="A28" s="293"/>
      <c r="B28" s="294"/>
      <c r="C28" s="294"/>
      <c r="D28" s="295">
        <f ca="1">G19/'剩余法-待开发'!C6</f>
        <v>0.26006194883064476</v>
      </c>
      <c r="E28" s="311"/>
      <c r="F28" s="311"/>
      <c r="G28" s="311"/>
      <c r="H28" s="311"/>
      <c r="I28" s="311"/>
      <c r="J28" s="2029"/>
      <c r="K28" s="1258" t="str">
        <f ca="1">"楼面地价："&amp;N38&amp;"元/平方米"</f>
        <v>楼面地价：2202元/平方米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抵押价格：27455万元</v>
      </c>
      <c r="L29" s="1252"/>
      <c r="M29" s="1252"/>
      <c r="N29" s="1252"/>
      <c r="O29" s="1251"/>
      <c r="P29" s="2029"/>
      <c r="V29" s="2029"/>
    </row>
    <row r="30" spans="1:26" ht="18.75" thickBot="1">
      <c r="A30" s="3130" t="s">
        <v>336</v>
      </c>
      <c r="B30" s="309"/>
      <c r="C30" s="309"/>
      <c r="D30" s="310"/>
      <c r="E30" s="3131" t="s">
        <v>2971</v>
      </c>
      <c r="F30" s="311"/>
      <c r="G30" s="311"/>
      <c r="H30" s="311"/>
      <c r="I30" s="311"/>
      <c r="J30" s="2029"/>
      <c r="K30" s="1258" t="str">
        <f ca="1">IF(K29="——","——","大写金额：人民币"&amp;NUMBERSTRING(INT(O39*10000),2)&amp;"元整")</f>
        <v>大写金额：人民币贰亿柒仟肆佰伍拾伍万元整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2" t="s">
        <v>1689</v>
      </c>
      <c r="C32" s="1383">
        <f ca="1">G19-C24</f>
        <v>27455</v>
      </c>
      <c r="D32" s="1384"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5" t="s">
        <v>1691</v>
      </c>
      <c r="C33" s="264">
        <f ca="1">ROUND(C32*10000/'数据-汇总表'!E3,0)</f>
        <v>2202</v>
      </c>
      <c r="D33" s="1386" t="s">
        <v>1692</v>
      </c>
      <c r="E33" s="3296"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8711</v>
      </c>
      <c r="D34" s="1388" t="s">
        <v>1692</v>
      </c>
      <c r="E34" s="3337"/>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581</v>
      </c>
      <c r="D35" s="1391" t="s">
        <v>1694</v>
      </c>
      <c r="E35" s="3338"/>
      <c r="F35" s="301" t="s">
        <v>342</v>
      </c>
      <c r="G35" s="982"/>
      <c r="H35" s="981" t="s">
        <v>343</v>
      </c>
      <c r="I35" s="311"/>
      <c r="J35" s="2029"/>
      <c r="K35" s="3311" t="s">
        <v>350</v>
      </c>
      <c r="L35" s="3311" t="s">
        <v>351</v>
      </c>
      <c r="M35" s="1264" t="s">
        <v>352</v>
      </c>
      <c r="N35" s="3311" t="s">
        <v>353</v>
      </c>
      <c r="O35" s="3311" t="s">
        <v>354</v>
      </c>
      <c r="P35" s="2029"/>
      <c r="V35" s="2029"/>
    </row>
    <row r="36" spans="1:26" ht="16.5" customHeight="1">
      <c r="A36" s="303" t="s">
        <v>344</v>
      </c>
      <c r="B36" s="304" t="s">
        <v>333</v>
      </c>
      <c r="C36" s="305" t="s">
        <v>345</v>
      </c>
      <c r="D36" s="305" t="s">
        <v>346</v>
      </c>
      <c r="E36" s="306" t="s">
        <v>347</v>
      </c>
      <c r="F36" s="311"/>
      <c r="G36" s="311"/>
      <c r="H36" s="311"/>
      <c r="I36" s="311"/>
      <c r="J36" s="2031"/>
      <c r="K36" s="3312"/>
      <c r="L36" s="3312"/>
      <c r="M36" s="1266" t="s">
        <v>355</v>
      </c>
      <c r="N36" s="3312"/>
      <c r="O36" s="3312"/>
      <c r="P36" s="2029"/>
      <c r="V36" s="2029"/>
    </row>
    <row r="37" spans="1:26" ht="16.5" customHeight="1" thickBot="1">
      <c r="A37" s="1260" t="s">
        <v>348</v>
      </c>
      <c r="B37" s="307"/>
      <c r="C37" s="294"/>
      <c r="D37" s="294"/>
      <c r="E37" s="295"/>
      <c r="F37" s="311"/>
      <c r="G37" s="311"/>
      <c r="H37" s="311"/>
      <c r="I37" s="311"/>
      <c r="J37" s="2031"/>
      <c r="K37" s="3313"/>
      <c r="L37" s="3313"/>
      <c r="M37" s="1267"/>
      <c r="N37" s="3313"/>
      <c r="O37" s="3313"/>
      <c r="P37" s="2029"/>
      <c r="V37" s="2029"/>
    </row>
    <row r="38" spans="1:26" ht="16.5" customHeight="1" thickBot="1">
      <c r="A38" s="1260" t="s">
        <v>349</v>
      </c>
      <c r="B38" s="307"/>
      <c r="C38" s="294"/>
      <c r="D38" s="294"/>
      <c r="E38" s="295"/>
      <c r="F38" s="311"/>
      <c r="G38" s="311"/>
      <c r="H38" s="311"/>
      <c r="I38" s="311"/>
      <c r="J38" s="2031"/>
      <c r="K38" s="1268">
        <f>'数据-汇总表'!D3</f>
        <v>31518.19</v>
      </c>
      <c r="L38" s="1269">
        <f>'数据-汇总表'!E3</f>
        <v>124676.06000000001</v>
      </c>
      <c r="M38" s="1269">
        <f ca="1">C34</f>
        <v>8711</v>
      </c>
      <c r="N38" s="1269">
        <f ca="1">C33</f>
        <v>2202</v>
      </c>
      <c r="O38" s="1270">
        <f ca="1">C32</f>
        <v>27455</v>
      </c>
      <c r="P38" s="2029"/>
      <c r="V38" s="2029"/>
    </row>
    <row r="39" spans="1:26" ht="16.5" customHeight="1" thickBot="1">
      <c r="A39" s="1265"/>
      <c r="B39" s="308"/>
      <c r="C39" s="309"/>
      <c r="D39" s="309"/>
      <c r="E39" s="310"/>
      <c r="F39" s="311"/>
      <c r="G39" s="311"/>
      <c r="H39" s="311"/>
      <c r="I39" s="311"/>
      <c r="J39" s="2031"/>
      <c r="K39" s="3356" t="str">
        <f>MID(A44,3,LEN(A44)-2)</f>
        <v>抵押价格</v>
      </c>
      <c r="L39" s="3357"/>
      <c r="M39" s="3357"/>
      <c r="N39" s="3358"/>
      <c r="O39" s="1393">
        <f ca="1">C44</f>
        <v>27455</v>
      </c>
      <c r="P39" s="2029"/>
      <c r="V39" s="2029"/>
    </row>
    <row r="40" spans="1:26" ht="19.5" thickBot="1">
      <c r="A40" s="104" t="s">
        <v>873</v>
      </c>
      <c r="B40" s="311"/>
      <c r="C40" s="311"/>
      <c r="D40" s="311"/>
      <c r="E40" s="311"/>
      <c r="F40" s="311"/>
      <c r="G40" s="311"/>
      <c r="H40" s="311"/>
      <c r="I40" s="311"/>
      <c r="J40" s="2031"/>
      <c r="K40" s="3356" t="str">
        <f t="shared" ref="K40:K41" si="0">MID(A45,3,LEN(A45)-2)</f>
        <v/>
      </c>
      <c r="L40" s="3357"/>
      <c r="M40" s="3357"/>
      <c r="N40" s="3358"/>
      <c r="O40" s="1393" t="str">
        <f>C45</f>
        <v>——</v>
      </c>
      <c r="P40" s="2029"/>
      <c r="V40" s="2029"/>
    </row>
    <row r="41" spans="1:26" ht="16.5" thickBot="1">
      <c r="A41" s="312" t="s">
        <v>356</v>
      </c>
      <c r="B41" s="313"/>
      <c r="C41" s="314" t="s">
        <v>357</v>
      </c>
      <c r="D41" s="315" t="s">
        <v>358</v>
      </c>
      <c r="E41" s="315" t="s">
        <v>359</v>
      </c>
      <c r="F41" s="316" t="s">
        <v>360</v>
      </c>
      <c r="G41" s="311"/>
      <c r="H41" s="311"/>
      <c r="I41" s="311"/>
      <c r="J41" s="2031"/>
      <c r="K41" s="3356" t="str">
        <f t="shared" si="0"/>
        <v/>
      </c>
      <c r="L41" s="3357"/>
      <c r="M41" s="3357"/>
      <c r="N41" s="3358"/>
      <c r="O41" s="1393" t="str">
        <f>C46</f>
        <v>——</v>
      </c>
      <c r="P41" s="2029"/>
      <c r="V41" s="2029"/>
    </row>
    <row r="42" spans="1:26" ht="29.25">
      <c r="A42" s="3298" t="s">
        <v>2069</v>
      </c>
      <c r="B42" s="3299"/>
      <c r="C42" s="264">
        <f ca="1">C32</f>
        <v>27455</v>
      </c>
      <c r="D42" s="317">
        <f ca="1">C33</f>
        <v>2202</v>
      </c>
      <c r="E42" s="317">
        <f ca="1">C34</f>
        <v>8711</v>
      </c>
      <c r="F42" s="318">
        <f ca="1">C35</f>
        <v>581</v>
      </c>
      <c r="G42" s="311"/>
      <c r="H42" s="311"/>
      <c r="I42" s="319"/>
      <c r="J42" s="2031"/>
      <c r="K42" s="1271" t="s">
        <v>361</v>
      </c>
      <c r="L42" s="2048" t="s">
        <v>362</v>
      </c>
      <c r="M42" s="1272" t="s">
        <v>363</v>
      </c>
      <c r="N42" s="2049" t="s">
        <v>364</v>
      </c>
      <c r="O42" s="2050" t="s">
        <v>365</v>
      </c>
      <c r="P42" s="2029"/>
      <c r="V42" s="2029"/>
    </row>
    <row r="43" spans="1:26" ht="30">
      <c r="A43" s="3309" t="s">
        <v>2732</v>
      </c>
      <c r="B43" s="3310"/>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21686</v>
      </c>
      <c r="M43" s="1275">
        <f>C18</f>
        <v>0.6</v>
      </c>
      <c r="N43" s="1276">
        <f ca="1">IF(N42="测算结果/万元",G19,G20)</f>
        <v>27455</v>
      </c>
      <c r="O43" s="1277">
        <f ca="1">IF(O42="最终结果/万元",C32,C33)</f>
        <v>27455</v>
      </c>
      <c r="P43" s="2029"/>
      <c r="V43" s="2029"/>
    </row>
    <row r="44" spans="1:26" ht="30.75" thickBot="1">
      <c r="A44" s="3298" t="str">
        <f>IF(OR(项目基本情况!E8="抵押价格",项目基本情况!E8="已注销及未注销"),"3.抵押价格","——")</f>
        <v>3.抵押价格</v>
      </c>
      <c r="B44" s="3299"/>
      <c r="C44" s="264">
        <f ca="1">IF(A44="——","——",C42-C43)</f>
        <v>27455</v>
      </c>
      <c r="D44" s="317">
        <f ca="1">ROUND(C44*10000/'数据-汇总表'!E3,0)</f>
        <v>2202</v>
      </c>
      <c r="E44" s="317">
        <f ca="1">ROUND(C44*10000/'数据-汇总表'!D3,0)</f>
        <v>8711</v>
      </c>
      <c r="F44" s="318">
        <f ca="1">ROUND(C44/('数据-汇总表'!D3/666.67),0)</f>
        <v>581</v>
      </c>
      <c r="G44" s="311"/>
      <c r="H44" s="311"/>
      <c r="I44" s="319"/>
      <c r="J44" s="2031"/>
      <c r="K44" s="1278" t="str">
        <f>D4</f>
        <v>剩余法-待开发</v>
      </c>
      <c r="L44" s="1279">
        <f ca="1">IF(L42="估价结果/万元",D19,D20)</f>
        <v>36108</v>
      </c>
      <c r="M44" s="1280">
        <f>D18</f>
        <v>0.4</v>
      </c>
      <c r="N44" s="1281"/>
      <c r="O44" s="1282"/>
      <c r="P44" s="2029"/>
      <c r="V44" s="2029"/>
    </row>
    <row r="45" spans="1:26" ht="15">
      <c r="A45" s="3304" t="str">
        <f>IF(项目基本情况!E8="已注销及未注销","4.抵押担保权已注销时的抵押价格",IF(项目基本情况!E8="已注销","3.抵押担保权已注销时的抵押价格","——"))</f>
        <v>——</v>
      </c>
      <c r="B45" s="330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5" t="s">
        <v>374</v>
      </c>
      <c r="B63" s="3346"/>
      <c r="C63" s="3347"/>
      <c r="D63" s="341">
        <f ca="1">ROUND(C42*F63,0)</f>
        <v>16473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6" t="s">
        <v>378</v>
      </c>
      <c r="B64" s="3307"/>
      <c r="C64" s="3307"/>
      <c r="D64" s="3307"/>
      <c r="E64" s="3307"/>
      <c r="F64" s="3307"/>
      <c r="G64" s="330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2" t="s">
        <v>386</v>
      </c>
      <c r="B66" s="3303"/>
      <c r="C66" s="3303"/>
      <c r="D66" s="261">
        <f ca="1">IF(H66="情况1",0,IF(H66="情况2",D70,IF(H66="情况3",D71,IF(H66="情况4",D72))))</f>
        <v>879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0" t="s">
        <v>385</v>
      </c>
      <c r="M66" s="3361"/>
      <c r="N66" s="2459"/>
      <c r="O66" s="2460"/>
      <c r="P66" s="2461"/>
      <c r="Q66" s="2029"/>
      <c r="R66" s="2029"/>
      <c r="S66" s="2029"/>
      <c r="T66" s="2029"/>
      <c r="U66" s="2029"/>
      <c r="V66" s="2029"/>
    </row>
    <row r="67" spans="1:22" ht="25.5" customHeight="1">
      <c r="A67" s="352" t="s">
        <v>390</v>
      </c>
      <c r="B67" s="3293" t="s">
        <v>391</v>
      </c>
      <c r="C67" s="3293"/>
      <c r="D67" s="353">
        <v>0</v>
      </c>
      <c r="E67" s="41" t="s">
        <v>392</v>
      </c>
      <c r="F67" s="62" t="s">
        <v>21</v>
      </c>
      <c r="G67" s="3348"/>
      <c r="H67" s="311"/>
      <c r="I67" s="1292"/>
      <c r="J67" s="2036"/>
      <c r="K67" s="1977">
        <v>2</v>
      </c>
      <c r="L67" s="3359" t="s">
        <v>389</v>
      </c>
      <c r="M67" s="3359"/>
      <c r="N67" s="1325">
        <f>'数据-取费表'!B2</f>
        <v>43342</v>
      </c>
      <c r="O67" s="1325"/>
      <c r="P67" s="1325"/>
      <c r="Q67" s="2029"/>
      <c r="R67" s="2029"/>
      <c r="S67" s="2029"/>
      <c r="T67" s="2029"/>
      <c r="U67" s="2029"/>
      <c r="V67" s="2029"/>
    </row>
    <row r="68" spans="1:22" ht="25.5" customHeight="1">
      <c r="A68" s="354"/>
      <c r="B68" s="3293" t="s">
        <v>394</v>
      </c>
      <c r="C68" s="3293"/>
      <c r="D68" s="355"/>
      <c r="E68" s="77"/>
      <c r="F68" s="356"/>
      <c r="G68" s="3349"/>
      <c r="H68" s="311"/>
      <c r="I68" s="1292"/>
      <c r="J68" s="2036"/>
      <c r="K68" s="1977">
        <v>3</v>
      </c>
      <c r="L68" s="3359" t="s">
        <v>393</v>
      </c>
      <c r="M68" s="3359"/>
      <c r="N68" s="1293">
        <f ca="1">C42</f>
        <v>27455</v>
      </c>
      <c r="O68" s="1293"/>
      <c r="P68" s="1293"/>
      <c r="Q68" s="2029"/>
      <c r="R68" s="2029"/>
      <c r="S68" s="2029"/>
      <c r="T68" s="2029"/>
      <c r="U68" s="2029"/>
      <c r="V68" s="2029"/>
    </row>
    <row r="69" spans="1:22" ht="12" customHeight="1">
      <c r="A69" s="357"/>
      <c r="B69" s="3293" t="s">
        <v>395</v>
      </c>
      <c r="C69" s="3293"/>
      <c r="D69" s="358"/>
      <c r="E69" s="73"/>
      <c r="F69" s="356"/>
      <c r="G69" s="3350"/>
      <c r="H69" s="311"/>
      <c r="I69" s="1292"/>
      <c r="J69" s="2036"/>
      <c r="K69" s="1294">
        <v>4</v>
      </c>
      <c r="L69" s="3364" t="s">
        <v>2885</v>
      </c>
      <c r="M69" s="3365"/>
      <c r="N69" s="1295">
        <f ca="1">C44</f>
        <v>27455</v>
      </c>
      <c r="O69" s="1295"/>
      <c r="P69" s="1295"/>
      <c r="Q69" s="2029"/>
      <c r="R69" s="2029"/>
      <c r="S69" s="2029"/>
      <c r="T69" s="2029"/>
      <c r="U69" s="2029"/>
      <c r="V69" s="2029"/>
    </row>
    <row r="70" spans="1:22" ht="24" customHeight="1">
      <c r="A70" s="359" t="s">
        <v>396</v>
      </c>
      <c r="B70" s="3293" t="s">
        <v>397</v>
      </c>
      <c r="C70" s="3293"/>
      <c r="D70" s="358">
        <f ca="1">ROUND(D63*'数据-取费表'!B41/(1+'数据-取费表'!C42),0)</f>
        <v>879</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294" t="s">
        <v>405</v>
      </c>
      <c r="C71" s="3295"/>
      <c r="D71" s="358">
        <f ca="1">ROUND(D63*'数据-取费表'!B41/(1+'数据-取费表'!C42),0)</f>
        <v>879</v>
      </c>
      <c r="E71" s="17" t="s">
        <v>398</v>
      </c>
      <c r="F71" s="360">
        <f>'数据-取费表'!B41</f>
        <v>5.6000000000000001E-2</v>
      </c>
      <c r="G71" s="361"/>
      <c r="H71" s="311"/>
      <c r="I71" s="1292"/>
      <c r="J71" s="2036"/>
      <c r="K71" s="3062" t="s">
        <v>399</v>
      </c>
      <c r="L71" s="3366" t="s">
        <v>400</v>
      </c>
      <c r="M71" s="3366"/>
      <c r="N71" s="3062" t="s">
        <v>401</v>
      </c>
      <c r="O71" s="3062" t="s">
        <v>402</v>
      </c>
      <c r="P71" s="3062" t="s">
        <v>403</v>
      </c>
      <c r="Q71" s="2029"/>
      <c r="R71" s="2029"/>
      <c r="S71" s="2029"/>
      <c r="T71" s="2029"/>
      <c r="U71" s="2029"/>
      <c r="V71" s="2029"/>
    </row>
    <row r="72" spans="1:22" ht="12" customHeight="1">
      <c r="A72" s="359" t="s">
        <v>407</v>
      </c>
      <c r="B72" s="3294" t="s">
        <v>408</v>
      </c>
      <c r="C72" s="3295"/>
      <c r="D72" s="358">
        <f ca="1">C86</f>
        <v>767</v>
      </c>
      <c r="E72" s="73" t="s">
        <v>409</v>
      </c>
      <c r="F72" s="360">
        <f>'数据-取费表'!B41</f>
        <v>5.6000000000000001E-2</v>
      </c>
      <c r="G72" s="361"/>
      <c r="H72" s="1298"/>
      <c r="I72" s="1292"/>
      <c r="J72" s="2036"/>
      <c r="K72" s="1977">
        <v>1</v>
      </c>
      <c r="L72" s="3341" t="s">
        <v>406</v>
      </c>
      <c r="M72" s="3341"/>
      <c r="N72" s="1296">
        <f ca="1">D66</f>
        <v>879</v>
      </c>
      <c r="O72" s="1860" t="str">
        <f>E66</f>
        <v>销售额×税（费）率</v>
      </c>
      <c r="P72" s="1297">
        <f>F66</f>
        <v>5.6000000000000001E-2</v>
      </c>
      <c r="Q72" s="2029"/>
      <c r="R72" s="2029"/>
      <c r="S72" s="2029"/>
      <c r="T72" s="2029"/>
      <c r="U72" s="2029"/>
      <c r="V72" s="2029"/>
    </row>
    <row r="73" spans="1:22" ht="24" customHeight="1">
      <c r="A73" s="3335" t="s">
        <v>411</v>
      </c>
      <c r="B73" s="3303"/>
      <c r="C73" s="3303"/>
      <c r="D73" s="362">
        <f>IF(H73="个人住宅",0,ROUND(D63*I73,0))</f>
        <v>0</v>
      </c>
      <c r="E73" s="17" t="s">
        <v>412</v>
      </c>
      <c r="F73" s="360" t="str">
        <f>IF(H73="正常",I73,"免征")</f>
        <v>免征</v>
      </c>
      <c r="G73" s="361"/>
      <c r="H73" s="191" t="s">
        <v>2457</v>
      </c>
      <c r="I73" s="360">
        <f>'数据-取费表'!B49</f>
        <v>5.0000000000000001E-4</v>
      </c>
      <c r="J73" s="2036"/>
      <c r="K73" s="1977">
        <v>2</v>
      </c>
      <c r="L73" s="3341" t="s">
        <v>410</v>
      </c>
      <c r="M73" s="3341"/>
      <c r="N73" s="1296">
        <f t="shared" ref="N73:P74" si="1">D73</f>
        <v>0</v>
      </c>
      <c r="O73" s="1860" t="str">
        <f t="shared" si="1"/>
        <v>销售额×税（费）率</v>
      </c>
      <c r="P73" s="1297" t="str">
        <f t="shared" si="1"/>
        <v>免征</v>
      </c>
      <c r="Q73" s="2029"/>
      <c r="R73" s="2029"/>
      <c r="S73" s="2029"/>
      <c r="T73" s="2029"/>
      <c r="U73" s="2029"/>
      <c r="V73" s="2029"/>
    </row>
    <row r="74" spans="1:22" ht="24.75">
      <c r="A74" s="3335" t="s">
        <v>415</v>
      </c>
      <c r="B74" s="3303"/>
      <c r="C74" s="3303"/>
      <c r="D74" s="362">
        <f ca="1">IF(H74="个人住宅",D75,D76)</f>
        <v>8669</v>
      </c>
      <c r="E74" s="17" t="s">
        <v>416</v>
      </c>
      <c r="F74" s="360" t="str">
        <f>IF(H74="正常",F76,"免征")</f>
        <v>——</v>
      </c>
      <c r="G74" s="983" t="s">
        <v>417</v>
      </c>
      <c r="H74" s="363" t="s">
        <v>413</v>
      </c>
      <c r="I74" s="42"/>
      <c r="J74" s="2036"/>
      <c r="K74" s="1977">
        <v>3</v>
      </c>
      <c r="L74" s="3341" t="s">
        <v>414</v>
      </c>
      <c r="M74" s="3341"/>
      <c r="N74" s="1296">
        <f t="shared" ca="1" si="1"/>
        <v>8669</v>
      </c>
      <c r="O74" s="1860" t="str">
        <f t="shared" si="1"/>
        <v>增值额×税（费）率</v>
      </c>
      <c r="P74" s="1299" t="str">
        <f t="shared" si="1"/>
        <v>——</v>
      </c>
      <c r="Q74" s="2029"/>
      <c r="R74" s="2029"/>
      <c r="S74" s="2029"/>
      <c r="T74" s="2029"/>
      <c r="U74" s="2029"/>
      <c r="V74" s="2029"/>
    </row>
    <row r="75" spans="1:22" ht="24">
      <c r="A75" s="359" t="s">
        <v>418</v>
      </c>
      <c r="B75" s="3291" t="s">
        <v>419</v>
      </c>
      <c r="C75" s="3321"/>
      <c r="D75" s="364">
        <v>0</v>
      </c>
      <c r="E75" s="41" t="s">
        <v>420</v>
      </c>
      <c r="F75" s="365"/>
      <c r="G75" s="361"/>
      <c r="H75" s="42"/>
      <c r="I75" s="42"/>
      <c r="J75" s="2036"/>
      <c r="K75" s="3055">
        <f>IF(H77="非个人房产","",4)</f>
        <v>4</v>
      </c>
      <c r="L75" s="3341" t="str">
        <f>IF(H77="非个人房产","——","个人所得税")</f>
        <v>个人所得税</v>
      </c>
      <c r="M75" s="3341"/>
      <c r="N75" s="1300">
        <f ca="1">D77</f>
        <v>165</v>
      </c>
      <c r="O75" s="1873" t="str">
        <f>E77</f>
        <v>销售额×税（费）率</v>
      </c>
      <c r="P75" s="1301">
        <f>F77</f>
        <v>0.01</v>
      </c>
      <c r="Q75" s="2029"/>
      <c r="R75" s="2029"/>
      <c r="S75" s="2029"/>
      <c r="T75" s="2029"/>
      <c r="U75" s="2029"/>
      <c r="V75" s="2029"/>
    </row>
    <row r="76" spans="1:22" ht="24.75">
      <c r="A76" s="359" t="s">
        <v>396</v>
      </c>
      <c r="B76" s="3291" t="s">
        <v>422</v>
      </c>
      <c r="C76" s="3292"/>
      <c r="D76" s="362">
        <f ca="1">IF(H76="转让取得",C99,C115)</f>
        <v>8669</v>
      </c>
      <c r="E76" s="17" t="s">
        <v>423</v>
      </c>
      <c r="F76" s="53" t="s">
        <v>21</v>
      </c>
      <c r="G76" s="361"/>
      <c r="H76" s="363" t="s">
        <v>424</v>
      </c>
      <c r="I76" s="42"/>
      <c r="J76" s="2036"/>
      <c r="K76" s="3055" t="str">
        <f>IF(项目基本情况!K6="上海银行",IF(K75="",4,K75+1),"")</f>
        <v/>
      </c>
      <c r="L76" s="3352" t="str">
        <f>IF(项目基本情况!K6="上海银行","其他处置费用","")</f>
        <v/>
      </c>
      <c r="M76" s="3353"/>
      <c r="N76" s="1296" t="str">
        <f>IF(项目基本情况!K6="上海银行",N89,"")</f>
        <v/>
      </c>
      <c r="O76" s="3354" t="str">
        <f>IF(项目基本情况!K6="上海银行","包含处置中涉及的律师、诉讼、拍卖、评估等费用","")</f>
        <v/>
      </c>
      <c r="P76" s="3355"/>
      <c r="Q76" s="2029"/>
      <c r="R76" s="2029"/>
      <c r="S76" s="2029"/>
      <c r="T76" s="2029"/>
      <c r="U76" s="2029"/>
      <c r="V76" s="2029"/>
    </row>
    <row r="77" spans="1:22" ht="26.25" thickBot="1">
      <c r="A77" s="3343" t="s">
        <v>426</v>
      </c>
      <c r="B77" s="3344"/>
      <c r="C77" s="3344"/>
      <c r="D77" s="366">
        <f ca="1">IF(H77="非个人房产","——",IF(H77="个人住宅",0,ROUND(D63*I77,0)))</f>
        <v>165</v>
      </c>
      <c r="E77" s="367" t="str">
        <f>IF(H77="非个人房产","——","销售额×税（费）率")</f>
        <v>销售额×税（费）率</v>
      </c>
      <c r="F77" s="368">
        <f>IF(H77="非个人房产","——",IF(H77="个人住宅","免征",I77))</f>
        <v>0.01</v>
      </c>
      <c r="G77" s="984" t="s">
        <v>417</v>
      </c>
      <c r="H77" s="363" t="s">
        <v>2886</v>
      </c>
      <c r="I77" s="369">
        <v>0.01</v>
      </c>
      <c r="J77" s="2036"/>
      <c r="K77" s="3342">
        <f>IF(AND(K75="",K76=""),4,IF(项目基本情况!K6="上海银行",K76+1,K75+1))</f>
        <v>5</v>
      </c>
      <c r="L77" s="3341" t="s">
        <v>2887</v>
      </c>
      <c r="M77" s="3061" t="s">
        <v>421</v>
      </c>
      <c r="N77" s="1302"/>
      <c r="O77" s="1303">
        <f ca="1">SUMIF(N72:N76,"&lt;9e307")</f>
        <v>9713</v>
      </c>
      <c r="P77" s="1304"/>
      <c r="Q77" s="3059">
        <f ca="1">O77/N69</f>
        <v>0.35377891094518304</v>
      </c>
      <c r="R77" s="2029"/>
      <c r="S77" s="2029"/>
      <c r="T77" s="2029"/>
      <c r="U77" s="2029"/>
      <c r="V77" s="2029"/>
    </row>
    <row r="78" spans="1:22" ht="12" customHeight="1">
      <c r="A78" s="1305"/>
      <c r="B78" s="311"/>
      <c r="C78" s="311"/>
      <c r="D78" s="311"/>
      <c r="E78" s="42"/>
      <c r="F78" s="42"/>
      <c r="G78" s="42"/>
      <c r="H78" s="1003"/>
      <c r="I78" s="311"/>
      <c r="J78" s="2036"/>
      <c r="K78" s="3342"/>
      <c r="L78" s="3341"/>
      <c r="M78" s="3061" t="s">
        <v>425</v>
      </c>
      <c r="N78" s="1302"/>
      <c r="O78" s="1303" t="str">
        <f ca="1">NUMBERSTRING(INT(O77*10000),2)&amp;"元整"</f>
        <v>玖仟柒佰壹拾叁万元整</v>
      </c>
      <c r="P78" s="1304"/>
      <c r="Q78" s="2029"/>
      <c r="R78" s="2029"/>
      <c r="S78" s="2029"/>
      <c r="T78" s="2029"/>
      <c r="U78" s="2029"/>
      <c r="V78" s="2029"/>
    </row>
    <row r="79" spans="1:22" ht="13.5" thickBot="1">
      <c r="A79" s="3336" t="s">
        <v>427</v>
      </c>
      <c r="B79" s="3336"/>
      <c r="C79" s="3336"/>
      <c r="D79" s="3336"/>
      <c r="E79" s="3336"/>
      <c r="F79" s="42"/>
      <c r="G79" s="42"/>
      <c r="H79" s="1003"/>
      <c r="I79" s="311"/>
      <c r="J79" s="2036"/>
      <c r="K79" s="3362">
        <f>K77+1</f>
        <v>6</v>
      </c>
      <c r="L79" s="3341" t="s">
        <v>2888</v>
      </c>
      <c r="M79" s="3061" t="s">
        <v>421</v>
      </c>
      <c r="N79" s="1302"/>
      <c r="O79" s="1303">
        <f ca="1">N69-O77</f>
        <v>17742</v>
      </c>
      <c r="P79" s="1304"/>
      <c r="Q79" s="2029"/>
      <c r="R79" s="2029"/>
      <c r="S79" s="2029"/>
      <c r="T79" s="2029"/>
      <c r="U79" s="2029"/>
      <c r="V79" s="2029"/>
    </row>
    <row r="80" spans="1:22" ht="25.5">
      <c r="A80" s="3331" t="s">
        <v>428</v>
      </c>
      <c r="B80" s="3332"/>
      <c r="C80" s="994"/>
      <c r="D80" s="994" t="s">
        <v>429</v>
      </c>
      <c r="E80" s="370" t="s">
        <v>430</v>
      </c>
      <c r="F80" s="42"/>
      <c r="G80" s="42"/>
      <c r="H80" s="1003"/>
      <c r="I80" s="311"/>
      <c r="J80" s="2029"/>
      <c r="K80" s="3363"/>
      <c r="L80" s="3341"/>
      <c r="M80" s="3061" t="s">
        <v>425</v>
      </c>
      <c r="N80" s="1302"/>
      <c r="O80" s="1303" t="str">
        <f ca="1">NUMBERSTRING(INT(O79*10000),2)&amp;"元整"</f>
        <v>壹亿柒仟柒佰肆拾贰万元整</v>
      </c>
      <c r="P80" s="1304"/>
      <c r="Q80" s="2029"/>
      <c r="R80" s="2029"/>
      <c r="S80" s="2029"/>
      <c r="T80" s="2029"/>
      <c r="U80" s="2029"/>
      <c r="V80" s="2029"/>
    </row>
    <row r="81" spans="1:26" ht="13.5" thickBot="1">
      <c r="A81" s="381" t="s">
        <v>1824</v>
      </c>
      <c r="B81" s="371" t="s">
        <v>431</v>
      </c>
      <c r="C81" s="372">
        <f ca="1">ROUND((C82+C83)/(1+'数据-取费表'!C42),0)</f>
        <v>15689</v>
      </c>
      <c r="D81" s="373"/>
      <c r="E81" s="374"/>
      <c r="F81" s="42"/>
      <c r="G81" s="42"/>
      <c r="H81" s="1003"/>
      <c r="I81" s="311"/>
      <c r="J81" s="2029"/>
      <c r="K81" s="3055">
        <f>K79+1</f>
        <v>7</v>
      </c>
      <c r="L81" s="3339" t="s">
        <v>2889</v>
      </c>
      <c r="M81" s="3340"/>
      <c r="N81" s="1306"/>
      <c r="O81" s="1307">
        <f ca="1">ROUND(O79*10000/'数据-汇总表'!E3,0)</f>
        <v>1423</v>
      </c>
      <c r="P81" s="1308"/>
      <c r="Q81" s="2029"/>
      <c r="R81" s="2029"/>
      <c r="S81" s="2029"/>
      <c r="T81" s="2029"/>
      <c r="U81" s="2029"/>
      <c r="V81" s="2029"/>
    </row>
    <row r="82" spans="1:26" ht="13.5" thickTop="1">
      <c r="A82" s="375" t="s">
        <v>1825</v>
      </c>
      <c r="B82" s="376" t="s">
        <v>432</v>
      </c>
      <c r="C82" s="377">
        <f ca="1">D63</f>
        <v>16473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1" t="s">
        <v>2876</v>
      </c>
      <c r="L83" s="3067" t="s">
        <v>2877</v>
      </c>
      <c r="M83" s="3057">
        <f ca="1">IF(N69&gt;10000,N69*0.5%,IF(AND(N69&gt;1000,N69&lt;=10000),N69*1%,IF(AND(N69&gt;100,N69&lt;=1000),N69*3%,IF(AND(N69&gt;10,N69&lt;=100),N69*5%,N69*8%))))</f>
        <v>137.27500000000001</v>
      </c>
      <c r="N83" s="53">
        <f ca="1">ROUND(M83,1)</f>
        <v>137.30000000000001</v>
      </c>
      <c r="O83" s="3060"/>
      <c r="P83" s="2029"/>
      <c r="Q83" s="2029"/>
      <c r="R83" s="2029"/>
      <c r="S83" s="2029"/>
      <c r="T83" s="2029"/>
      <c r="U83" s="2029"/>
      <c r="V83" s="2029"/>
    </row>
    <row r="84" spans="1:26" ht="12.75">
      <c r="A84" s="381" t="s">
        <v>1827</v>
      </c>
      <c r="B84" s="382" t="s">
        <v>434</v>
      </c>
      <c r="C84" s="383">
        <v>2000</v>
      </c>
      <c r="D84" s="384" t="s">
        <v>19</v>
      </c>
      <c r="E84" s="3101" t="s">
        <v>2943</v>
      </c>
      <c r="F84" s="42"/>
      <c r="G84" s="42"/>
      <c r="H84" s="1003"/>
      <c r="I84" s="311"/>
      <c r="J84" s="2029"/>
      <c r="K84" s="3351"/>
      <c r="L84" s="3067" t="s">
        <v>2878</v>
      </c>
      <c r="M84" s="3057">
        <f ca="1">IF(N69&gt;2000,N69*0.5%,IF(AND(N69&gt;1000,N69&lt;=2000),N69*0.6%,IF(AND(N69&gt;500,N69&lt;=1000),N69*0.7%,IF(AND(N69&gt;200,N69&lt;=500),N69*0.8%,IF(AND(N69&gt;100,N69&lt;=200),N69*0.9%,IF(AND(N69&gt;50,N69&lt;=100),N69*1%,IF(AND(N69&gt;20,N69&lt;=50),N69*1.5%,IF(AND(N69&gt;10,N69&lt;=20),N69*2%,IF(AND(N69&gt;1,N69&lt;=10),N69*2.5%)))))))))</f>
        <v>137.27500000000001</v>
      </c>
      <c r="N84" s="53">
        <f t="shared" ref="N84:N85" ca="1" si="2">ROUND(M84,1)</f>
        <v>137.30000000000001</v>
      </c>
      <c r="O84" s="2029" t="s">
        <v>2879</v>
      </c>
      <c r="P84" s="2029"/>
      <c r="Q84" s="2029"/>
      <c r="R84" s="2029"/>
      <c r="S84" s="2029"/>
      <c r="T84" s="2029"/>
      <c r="U84" s="2029"/>
      <c r="V84" s="2029"/>
    </row>
    <row r="85" spans="1:26" ht="12.75">
      <c r="A85" s="381" t="s">
        <v>1828</v>
      </c>
      <c r="B85" s="382" t="s">
        <v>435</v>
      </c>
      <c r="C85" s="385">
        <f ca="1">C81-C84</f>
        <v>13689</v>
      </c>
      <c r="D85" s="378" t="s">
        <v>19</v>
      </c>
      <c r="E85" s="379"/>
      <c r="F85" s="42"/>
      <c r="G85" s="42"/>
      <c r="H85" s="1003"/>
      <c r="I85" s="311"/>
      <c r="J85" s="2029"/>
      <c r="K85" s="3351"/>
      <c r="L85" s="3067" t="s">
        <v>2880</v>
      </c>
      <c r="M85" s="3057">
        <f ca="1">IF(N69&gt;1000,N69*0.1%,IF(AND(N69&gt;500,N69&lt;=1000),N69*0.5%,IF(AND(N69&gt;50,N69&lt;=500),N69*1%,IF(AND(N69&gt;1,N69&lt;=50),N69*1.5%))))</f>
        <v>27.455000000000002</v>
      </c>
      <c r="N85" s="53">
        <f t="shared" ca="1" si="2"/>
        <v>27.5</v>
      </c>
      <c r="O85" s="2029" t="s">
        <v>2879</v>
      </c>
      <c r="P85" s="2029"/>
      <c r="Q85" s="2029"/>
      <c r="R85" s="2029"/>
      <c r="S85" s="2029"/>
      <c r="T85" s="2029"/>
      <c r="U85" s="2029"/>
      <c r="V85" s="2029"/>
    </row>
    <row r="86" spans="1:26" ht="13.5" thickBot="1">
      <c r="A86" s="386" t="s">
        <v>1829</v>
      </c>
      <c r="B86" s="387" t="s">
        <v>436</v>
      </c>
      <c r="C86" s="388">
        <f ca="1">IF(C85&lt;=0,0,ROUND(C85*D86,0))</f>
        <v>767</v>
      </c>
      <c r="D86" s="389">
        <f>'数据-取费表'!B41</f>
        <v>5.6000000000000001E-2</v>
      </c>
      <c r="E86" s="390"/>
      <c r="F86" s="42"/>
      <c r="G86" s="42"/>
      <c r="H86" s="1003"/>
      <c r="I86" s="311"/>
      <c r="J86" s="2029"/>
      <c r="K86" s="3351"/>
      <c r="L86" s="3067" t="s">
        <v>2881</v>
      </c>
      <c r="M86" s="3057">
        <f ca="1">N69*0.5%</f>
        <v>137.27500000000001</v>
      </c>
      <c r="N86" s="53">
        <f ca="1">IF(M86&gt;0.5,0.5,ROUND(M86,0))</f>
        <v>0.5</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1"/>
      <c r="L87" s="3067" t="s">
        <v>2883</v>
      </c>
      <c r="M87" s="3057">
        <f ca="1">IF(N69&gt;=10000,(8.25+(N69-10000)*0.01%),IF(AND(N69&gt;=8000,N69&lt;10000),(7.85+(N69-8000)*0.02%),IF(AND(N69&gt;=5000,N69&lt;8000),(6.65+(N69-5000)*0.04%),IF(AND(N69&gt;=2000,N69&lt;5000),(4.25+(PN69-2000)*0.08%),IF(AND(N69&gt;=1000,N69&lt;2000),(2.75+(N69-1000)*0.15%),IF(AND(N69&gt;=100,N69&lt;1000),(0.5+(N69-100)*0.25%),IF(AND(N69&gt;0,N69&lt;100),N69*0.5%)))))))</f>
        <v>9.9954999999999998</v>
      </c>
      <c r="N87" s="53">
        <f ca="1">ROUND(M87*0.9,1)</f>
        <v>9</v>
      </c>
      <c r="O87" s="3060"/>
      <c r="P87" s="311"/>
      <c r="Q87" s="2029"/>
      <c r="R87" s="2029"/>
      <c r="S87" s="2029"/>
      <c r="T87" s="2029"/>
      <c r="U87" s="2029"/>
      <c r="V87" s="2029"/>
      <c r="W87" s="292"/>
      <c r="X87" s="292"/>
      <c r="Y87" s="292"/>
      <c r="Z87" s="292"/>
    </row>
    <row r="88" spans="1:26" s="1314" customFormat="1" ht="15" thickBot="1">
      <c r="A88" s="3333" t="s">
        <v>437</v>
      </c>
      <c r="B88" s="3334"/>
      <c r="C88" s="3334"/>
      <c r="D88" s="3334"/>
      <c r="E88" s="3334"/>
      <c r="F88" s="3334"/>
      <c r="G88" s="3334"/>
      <c r="H88" s="3334"/>
      <c r="I88" s="1315"/>
      <c r="J88" s="2037"/>
      <c r="K88" s="3351"/>
      <c r="L88" s="3067" t="s">
        <v>2884</v>
      </c>
      <c r="M88" s="3057">
        <f ca="1">IF(N69&gt;10000,N69*0.5%,IF(AND(N69&gt;5000,N69&lt;=10000),N69*1%,IF(AND(N69&gt;1000,N69&lt;=5000),N69*2%,IF(AND(N69&gt;200,N69&lt;=1000),N69*3%,N69*5%))))</f>
        <v>137.27500000000001</v>
      </c>
      <c r="N88" s="53">
        <f ca="1">ROUND(M88,1)</f>
        <v>137.30000000000001</v>
      </c>
      <c r="O88" s="3060"/>
      <c r="P88" s="11"/>
      <c r="Q88" s="2034"/>
      <c r="R88" s="2034"/>
      <c r="S88" s="2034"/>
      <c r="T88" s="2034"/>
      <c r="U88" s="2034"/>
      <c r="V88" s="2034"/>
      <c r="W88" s="2038"/>
      <c r="X88" s="2038"/>
      <c r="Y88" s="2038"/>
      <c r="Z88" s="2038"/>
    </row>
    <row r="89" spans="1:26" s="1314" customFormat="1" ht="14.25">
      <c r="A89" s="3331" t="s">
        <v>428</v>
      </c>
      <c r="B89" s="3332"/>
      <c r="C89" s="994"/>
      <c r="D89" s="994" t="s">
        <v>429</v>
      </c>
      <c r="E89" s="391" t="s">
        <v>438</v>
      </c>
      <c r="F89" s="392"/>
      <c r="G89" s="392"/>
      <c r="H89" s="393"/>
      <c r="I89" s="1316"/>
      <c r="J89" s="2039"/>
      <c r="K89" s="3351"/>
      <c r="L89" s="3067" t="s">
        <v>27</v>
      </c>
      <c r="M89" s="3058"/>
      <c r="N89" s="53">
        <f ca="1">ROUND(SUM(N83:N88),0)</f>
        <v>449</v>
      </c>
      <c r="O89" s="3068">
        <f ca="1">N89/N69</f>
        <v>1.6354033873611364E-2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15689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2655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94" t="s">
        <v>447</v>
      </c>
      <c r="F94" s="3293"/>
      <c r="G94" s="3293"/>
      <c r="H94" s="333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94</v>
      </c>
      <c r="D96" s="406">
        <f>'数据-取费表'!B43</f>
        <v>6.000000000000001E-3</v>
      </c>
      <c r="E96" s="3322" t="s">
        <v>2430</v>
      </c>
      <c r="F96" s="3323"/>
      <c r="G96" s="3323"/>
      <c r="H96" s="332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13034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4.909227871939736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6891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3" t="s">
        <v>454</v>
      </c>
      <c r="B101" s="3334"/>
      <c r="C101" s="3334"/>
      <c r="D101" s="3334"/>
      <c r="E101" s="3334"/>
      <c r="F101" s="3334"/>
      <c r="G101" s="3334"/>
      <c r="H101" s="33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1" t="s">
        <v>428</v>
      </c>
      <c r="B102" s="333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15689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784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25" t="s">
        <v>462</v>
      </c>
      <c r="F109" s="3323"/>
      <c r="G109" s="3323"/>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25" t="s">
        <v>464</v>
      </c>
      <c r="F110" s="3323"/>
      <c r="G110" s="3323"/>
      <c r="H110" s="332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94</v>
      </c>
      <c r="D111" s="406">
        <f>'数据-取费表'!B43</f>
        <v>6.000000000000001E-3</v>
      </c>
      <c r="E111" s="3322" t="s">
        <v>2430</v>
      </c>
      <c r="F111" s="3323"/>
      <c r="G111" s="3323"/>
      <c r="H111" s="332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25" t="s">
        <v>2455</v>
      </c>
      <c r="F112" s="3323"/>
      <c r="G112" s="3323"/>
      <c r="H112" s="332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14905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19.011479591836736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8669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G35" sqref="G35"/>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21686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1739</v>
      </c>
      <c r="C3" s="2062"/>
      <c r="D3" s="2571"/>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6880</v>
      </c>
      <c r="C4" s="2062"/>
      <c r="D4" s="2571"/>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459</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6" t="s">
        <v>522</v>
      </c>
      <c r="D6" s="3377"/>
      <c r="E6" s="3376" t="s">
        <v>523</v>
      </c>
      <c r="F6" s="3377"/>
      <c r="G6" s="3376" t="s">
        <v>524</v>
      </c>
      <c r="H6" s="3377"/>
      <c r="I6" s="3376" t="s">
        <v>525</v>
      </c>
      <c r="J6" s="3377"/>
      <c r="K6" s="514" t="s">
        <v>526</v>
      </c>
      <c r="L6" s="2134"/>
      <c r="M6" s="2133"/>
      <c r="N6" s="2133"/>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30" ht="45.75" customHeight="1">
      <c r="A7" s="515"/>
      <c r="B7" s="516"/>
      <c r="C7" s="3394" t="str">
        <f>项目基本情况!F10</f>
        <v>青岛市城阳街道大北曲后社区青岛北曲后汇豪置业有限公司</v>
      </c>
      <c r="D7" s="3393"/>
      <c r="E7" s="3392" t="str">
        <f>Sheet3!A2</f>
        <v>城阳区城阳街道正阳路南侧、黑龙江北路西侧</v>
      </c>
      <c r="F7" s="3393"/>
      <c r="G7" s="3392" t="str">
        <f>Sheet3!A4</f>
        <v>城阳区流亭街道双流高架西、胶州湾高速南</v>
      </c>
      <c r="H7" s="3393"/>
      <c r="I7" s="3392" t="str">
        <f>Sheet3!A6</f>
        <v>高新区智力岛路以北、岙东路以东、和融路以西、广博路以南</v>
      </c>
      <c r="J7" s="3393"/>
      <c r="K7" s="514"/>
      <c r="L7" s="2134"/>
      <c r="M7" s="2133"/>
      <c r="N7" s="2133"/>
      <c r="O7" s="2135"/>
      <c r="P7" s="3380"/>
      <c r="Q7" s="3381"/>
      <c r="R7" s="3386"/>
      <c r="S7" s="3387"/>
      <c r="T7" s="3386"/>
      <c r="U7" s="3387"/>
      <c r="V7" s="3371"/>
      <c r="W7" s="3371"/>
      <c r="X7" s="1568"/>
      <c r="Y7" s="3386"/>
      <c r="Z7" s="3387"/>
      <c r="AA7" s="3374"/>
      <c r="AB7" s="3374"/>
      <c r="AC7" s="3374"/>
    </row>
    <row r="8" spans="1:30" ht="21" thickBot="1">
      <c r="A8" s="515"/>
      <c r="B8" s="516"/>
      <c r="C8" s="3395" t="s">
        <v>2934</v>
      </c>
      <c r="D8" s="3396"/>
      <c r="E8" s="3395" t="s">
        <v>2934</v>
      </c>
      <c r="F8" s="3396"/>
      <c r="G8" s="3390" t="s">
        <v>2934</v>
      </c>
      <c r="H8" s="3391"/>
      <c r="I8" s="3390" t="s">
        <v>2934</v>
      </c>
      <c r="J8" s="3391"/>
      <c r="K8" s="514" t="s">
        <v>528</v>
      </c>
      <c r="L8" s="2134"/>
      <c r="M8" s="2133"/>
      <c r="N8" s="2133"/>
      <c r="O8" s="2135"/>
      <c r="P8" s="3382"/>
      <c r="Q8" s="3383"/>
      <c r="R8" s="3386"/>
      <c r="S8" s="3387"/>
      <c r="T8" s="3388"/>
      <c r="U8" s="3389"/>
      <c r="V8" s="3371"/>
      <c r="W8" s="3371"/>
      <c r="X8" s="1568"/>
      <c r="Y8" s="3388"/>
      <c r="Z8" s="3389"/>
      <c r="AA8" s="3375"/>
      <c r="AB8" s="3375"/>
      <c r="AC8" s="3375"/>
    </row>
    <row r="9" spans="1:30" s="1220" customFormat="1" ht="21" thickBot="1">
      <c r="A9" s="2913"/>
      <c r="B9" s="2920" t="s">
        <v>529</v>
      </c>
      <c r="C9" s="2912">
        <f>'数据-取费表'!B2</f>
        <v>43342</v>
      </c>
      <c r="D9" s="520">
        <v>100</v>
      </c>
      <c r="E9" s="521" t="str">
        <f>Sheet3!H2</f>
        <v>2018-08-20</v>
      </c>
      <c r="F9" s="522">
        <f>SUMIF(72:72,YEAR(E9)&amp;"-"&amp;INT((MONTH(E9)+2)/3),73:73)</f>
        <v>100</v>
      </c>
      <c r="G9" s="523" t="str">
        <f>Sheet3!H4</f>
        <v>2018-08-20</v>
      </c>
      <c r="H9" s="520">
        <f>SUMIF(72:72,YEAR(G9)&amp;"-"&amp;INT((MONTH(G9)+2)/3),73:73)</f>
        <v>100</v>
      </c>
      <c r="I9" s="523" t="str">
        <f>Sheet3!H6</f>
        <v>2018-02-11</v>
      </c>
      <c r="J9" s="520">
        <f>SUMIF(72:72,YEAR(I9)&amp;"-"&amp;INT((MONTH(I9)+2)/3),73:73)</f>
        <v>100</v>
      </c>
      <c r="K9" s="524"/>
      <c r="L9" s="2136"/>
      <c r="M9" s="2133"/>
      <c r="N9" s="2133"/>
      <c r="O9" s="2137"/>
      <c r="P9" s="3402" t="s">
        <v>530</v>
      </c>
      <c r="Q9" s="3404"/>
      <c r="R9" s="1569" t="s">
        <v>8</v>
      </c>
      <c r="S9" s="1570">
        <f t="shared" ref="S9:S17" si="0">F9</f>
        <v>100</v>
      </c>
      <c r="T9" s="1569" t="s">
        <v>8</v>
      </c>
      <c r="U9" s="1570">
        <f t="shared" ref="U9:U17" si="1">H9</f>
        <v>100</v>
      </c>
      <c r="V9" s="1569" t="s">
        <v>8</v>
      </c>
      <c r="W9" s="1570">
        <f t="shared" ref="W9:W17" si="2">J9</f>
        <v>100</v>
      </c>
      <c r="X9" s="1571"/>
      <c r="Y9" s="3402" t="s">
        <v>530</v>
      </c>
      <c r="Z9" s="3403"/>
      <c r="AA9" s="1572">
        <f>D9/F9</f>
        <v>1</v>
      </c>
      <c r="AB9" s="1572">
        <f>D9/H9</f>
        <v>1</v>
      </c>
      <c r="AC9" s="1572">
        <f>D9/J9</f>
        <v>1</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02" t="s">
        <v>533</v>
      </c>
      <c r="Q10" s="3403"/>
      <c r="R10" s="1569" t="s">
        <v>8</v>
      </c>
      <c r="S10" s="1570">
        <f t="shared" si="0"/>
        <v>100</v>
      </c>
      <c r="T10" s="1569" t="s">
        <v>8</v>
      </c>
      <c r="U10" s="1570">
        <f t="shared" si="1"/>
        <v>100</v>
      </c>
      <c r="V10" s="1569" t="s">
        <v>8</v>
      </c>
      <c r="W10" s="1570">
        <f t="shared" si="2"/>
        <v>100</v>
      </c>
      <c r="X10" s="1571"/>
      <c r="Y10" s="3402" t="s">
        <v>533</v>
      </c>
      <c r="Z10" s="3403"/>
      <c r="AA10" s="1572">
        <f t="shared" ref="AA10:AA47" si="3">D10/F10</f>
        <v>1</v>
      </c>
      <c r="AB10" s="1572">
        <f t="shared" ref="AB10:AB47" si="4">D10/H10</f>
        <v>1</v>
      </c>
      <c r="AC10" s="1572">
        <f t="shared" ref="AC10:AC47" si="5">D10/J10</f>
        <v>1</v>
      </c>
    </row>
    <row r="11" spans="1:30" s="1220" customFormat="1" ht="20.25">
      <c r="A11" s="2915"/>
      <c r="B11" s="2922" t="s">
        <v>2758</v>
      </c>
      <c r="C11" s="2909" t="s">
        <v>2994</v>
      </c>
      <c r="D11" s="254">
        <v>100</v>
      </c>
      <c r="E11" s="2909" t="s">
        <v>2994</v>
      </c>
      <c r="F11" s="254">
        <f>SUMIF(77:77,E11,78:78)-SUMIF(77:77,C11,78:78)+100</f>
        <v>100</v>
      </c>
      <c r="G11" s="2909" t="s">
        <v>2994</v>
      </c>
      <c r="H11" s="254">
        <f>SUMIF(77:77,G11,78:78)-SUMIF(77:77,C11,78:78)+100</f>
        <v>100</v>
      </c>
      <c r="I11" s="2909" t="s">
        <v>2994</v>
      </c>
      <c r="J11" s="254">
        <f>SUMIF(77:77,I11,78:78)-SUMIF(77:77,C11,78:78)+100</f>
        <v>100</v>
      </c>
      <c r="K11" s="524"/>
      <c r="L11" s="2136"/>
      <c r="M11" s="2133"/>
      <c r="N11" s="2133"/>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30" s="1338" customFormat="1" ht="27">
      <c r="A12" s="2916"/>
      <c r="B12" s="2921" t="s">
        <v>2759</v>
      </c>
      <c r="C12" s="910">
        <f>项目基本情况!E19</f>
        <v>32.659999999999997</v>
      </c>
      <c r="D12" s="255">
        <v>100</v>
      </c>
      <c r="E12" s="529" t="s">
        <v>3096</v>
      </c>
      <c r="F12" s="255">
        <f>ROUND(100/'数据-取费表'!G16,0)</f>
        <v>108</v>
      </c>
      <c r="G12" s="530" t="s">
        <v>3096</v>
      </c>
      <c r="H12" s="255">
        <f>ROUND(100/'数据-取费表'!G16,0)</f>
        <v>108</v>
      </c>
      <c r="I12" s="530" t="s">
        <v>3096</v>
      </c>
      <c r="J12" s="255">
        <f>ROUND(100/'数据-取费表'!G16,0)</f>
        <v>108</v>
      </c>
      <c r="K12" s="531"/>
      <c r="L12" s="2139"/>
      <c r="M12" s="2133"/>
      <c r="N12" s="2133"/>
      <c r="O12" s="2140"/>
      <c r="P12" s="3370"/>
      <c r="Q12" s="1151" t="str">
        <f t="shared" si="6"/>
        <v>土地使用年限（年）</v>
      </c>
      <c r="R12" s="1569" t="s">
        <v>8</v>
      </c>
      <c r="S12" s="1570">
        <f t="shared" si="0"/>
        <v>108</v>
      </c>
      <c r="T12" s="1569" t="s">
        <v>8</v>
      </c>
      <c r="U12" s="1570">
        <f t="shared" si="1"/>
        <v>108</v>
      </c>
      <c r="V12" s="1569" t="s">
        <v>8</v>
      </c>
      <c r="W12" s="1570">
        <f t="shared" si="2"/>
        <v>108</v>
      </c>
      <c r="X12" s="1571"/>
      <c r="Y12" s="3316"/>
      <c r="Z12" s="1150" t="str">
        <f t="shared" si="7"/>
        <v>土地使用年限（年）</v>
      </c>
      <c r="AA12" s="1572">
        <f t="shared" si="3"/>
        <v>0.92592592592592593</v>
      </c>
      <c r="AB12" s="1572">
        <f t="shared" si="4"/>
        <v>0.92592592592592593</v>
      </c>
      <c r="AC12" s="1572">
        <f t="shared" si="5"/>
        <v>0.92592592592592593</v>
      </c>
    </row>
    <row r="13" spans="1:30" ht="20.25">
      <c r="A13" s="2917"/>
      <c r="B13" s="2921" t="s">
        <v>2760</v>
      </c>
      <c r="C13" s="534">
        <f>'数据-汇总表'!I4</f>
        <v>2.4900000000000002</v>
      </c>
      <c r="D13" s="255">
        <v>100</v>
      </c>
      <c r="E13" s="533">
        <v>1.6</v>
      </c>
      <c r="F13" s="255">
        <f>LOOKUP(E13,82:82,83:83)-LOOKUP(C13,82:82,83:83)+100</f>
        <v>102</v>
      </c>
      <c r="G13" s="534">
        <v>1.8</v>
      </c>
      <c r="H13" s="255">
        <f>LOOKUP(G13,82:82,83:83)-LOOKUP(C13,82:82,83:83)+100</f>
        <v>102</v>
      </c>
      <c r="I13" s="533">
        <v>3</v>
      </c>
      <c r="J13" s="255">
        <f>LOOKUP(I13,82:82,83:83)-LOOKUP(C13,82:82,83:83)+100</f>
        <v>98</v>
      </c>
      <c r="K13" s="535">
        <v>2</v>
      </c>
      <c r="L13" s="2141"/>
      <c r="M13" s="2133"/>
      <c r="N13" s="2133"/>
      <c r="O13" s="2142"/>
      <c r="P13" s="3370"/>
      <c r="Q13" s="1151" t="str">
        <f t="shared" si="6"/>
        <v>容积率</v>
      </c>
      <c r="R13" s="1569" t="s">
        <v>8</v>
      </c>
      <c r="S13" s="1570">
        <f t="shared" si="0"/>
        <v>102</v>
      </c>
      <c r="T13" s="1569" t="s">
        <v>8</v>
      </c>
      <c r="U13" s="1570">
        <f t="shared" si="1"/>
        <v>102</v>
      </c>
      <c r="V13" s="1569" t="s">
        <v>8</v>
      </c>
      <c r="W13" s="1570">
        <f t="shared" si="2"/>
        <v>98</v>
      </c>
      <c r="X13" s="1571"/>
      <c r="Y13" s="3316"/>
      <c r="Z13" s="1150" t="str">
        <f t="shared" si="7"/>
        <v>容积率</v>
      </c>
      <c r="AA13" s="1572">
        <f t="shared" si="3"/>
        <v>0.98039215686274506</v>
      </c>
      <c r="AB13" s="1572">
        <f t="shared" si="4"/>
        <v>0.98039215686274506</v>
      </c>
      <c r="AC13" s="1572">
        <f t="shared" si="5"/>
        <v>1.0204081632653061</v>
      </c>
    </row>
    <row r="14" spans="1:30" s="1220" customFormat="1" ht="20.25" hidden="1">
      <c r="A14" s="2914"/>
      <c r="B14" s="2923" t="s">
        <v>2761</v>
      </c>
      <c r="C14" s="2910"/>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0"/>
      <c r="Q14" s="1151" t="str">
        <f t="shared" si="6"/>
        <v>配建</v>
      </c>
      <c r="R14" s="1569" t="s">
        <v>8</v>
      </c>
      <c r="S14" s="1570">
        <f t="shared" si="0"/>
        <v>100</v>
      </c>
      <c r="T14" s="1569" t="s">
        <v>8</v>
      </c>
      <c r="U14" s="1570">
        <f t="shared" si="1"/>
        <v>100</v>
      </c>
      <c r="V14" s="1569" t="s">
        <v>8</v>
      </c>
      <c r="W14" s="1570">
        <f t="shared" si="2"/>
        <v>100</v>
      </c>
      <c r="X14" s="1571"/>
      <c r="Y14" s="3316"/>
      <c r="Z14" s="1150" t="str">
        <f t="shared" si="7"/>
        <v>配建</v>
      </c>
      <c r="AA14" s="1572">
        <f>D14/F14</f>
        <v>1</v>
      </c>
      <c r="AB14" s="1572">
        <f>D14/H14</f>
        <v>1</v>
      </c>
      <c r="AC14" s="1572">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D15/F15</f>
        <v>1</v>
      </c>
      <c r="AB15" s="1572">
        <f>D15/H15</f>
        <v>1</v>
      </c>
      <c r="AC15" s="1572">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D16/F16</f>
        <v>1</v>
      </c>
      <c r="AB16" s="1572">
        <f>D16/H16</f>
        <v>1</v>
      </c>
      <c r="AC16" s="1572">
        <f>D16/J16</f>
        <v>1</v>
      </c>
    </row>
    <row r="17" spans="1:29" ht="99.75" hidden="1">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05" t="s">
        <v>540</v>
      </c>
      <c r="Q17" s="1573" t="str">
        <f t="shared" si="6"/>
        <v>居住社区成熟度</v>
      </c>
      <c r="R17" s="1574" t="s">
        <v>8</v>
      </c>
      <c r="S17" s="1575">
        <f t="shared" si="0"/>
        <v>100</v>
      </c>
      <c r="T17" s="1574" t="s">
        <v>8</v>
      </c>
      <c r="U17" s="1575">
        <f t="shared" si="1"/>
        <v>100</v>
      </c>
      <c r="V17" s="1574" t="s">
        <v>8</v>
      </c>
      <c r="W17" s="1575">
        <f t="shared" si="2"/>
        <v>100</v>
      </c>
      <c r="X17" s="1568"/>
      <c r="Y17" s="3405" t="s">
        <v>540</v>
      </c>
      <c r="Z17" s="1576" t="str">
        <f t="shared" si="7"/>
        <v>居住社区成熟度</v>
      </c>
      <c r="AA17" s="1577">
        <f t="shared" si="3"/>
        <v>1</v>
      </c>
      <c r="AB17" s="1577">
        <f t="shared" si="4"/>
        <v>1</v>
      </c>
      <c r="AC17" s="1577">
        <f t="shared" si="5"/>
        <v>1</v>
      </c>
    </row>
    <row r="18" spans="1:29" ht="20.25" hidden="1">
      <c r="A18" s="532"/>
      <c r="B18" s="553"/>
      <c r="C18" s="554" t="s">
        <v>3013</v>
      </c>
      <c r="D18" s="557"/>
      <c r="E18" s="558" t="s">
        <v>3013</v>
      </c>
      <c r="F18" s="555"/>
      <c r="G18" s="556" t="s">
        <v>3013</v>
      </c>
      <c r="H18" s="559"/>
      <c r="I18" s="558" t="s">
        <v>3013</v>
      </c>
      <c r="J18" s="555"/>
      <c r="K18" s="531"/>
      <c r="L18" s="2143"/>
      <c r="M18" s="2133"/>
      <c r="N18" s="2133"/>
      <c r="O18" s="2142"/>
      <c r="P18" s="3406"/>
      <c r="Q18" s="1573"/>
      <c r="R18" s="1574"/>
      <c r="S18" s="1575"/>
      <c r="T18" s="1574"/>
      <c r="U18" s="1575"/>
      <c r="V18" s="1574"/>
      <c r="W18" s="1575"/>
      <c r="X18" s="1568"/>
      <c r="Y18" s="3406"/>
      <c r="Z18" s="1576"/>
      <c r="AA18" s="1577">
        <v>1</v>
      </c>
      <c r="AB18" s="1577">
        <v>1</v>
      </c>
      <c r="AC18" s="1577">
        <v>1</v>
      </c>
    </row>
    <row r="19" spans="1:29" ht="85.5">
      <c r="A19" s="532"/>
      <c r="B19" s="560" t="s">
        <v>541</v>
      </c>
      <c r="C19" s="561" t="str">
        <f>估价对象房地状况!C16</f>
        <v>估价对象位于青岛市城阳区，周边商业氛围较成熟，人流量较大，商业繁华度较好</v>
      </c>
      <c r="D19" s="563">
        <v>100</v>
      </c>
      <c r="E19" s="564"/>
      <c r="F19" s="559">
        <f>SUMIF(92:92,E20,93:93)-SUMIF(92:92,C20,93:93)+100</f>
        <v>100</v>
      </c>
      <c r="G19" s="562"/>
      <c r="H19" s="565">
        <f>SUMIF(92:92,G20,93:93)-SUMIF(92:92,C20,93:93)+100</f>
        <v>98</v>
      </c>
      <c r="I19" s="564"/>
      <c r="J19" s="565">
        <f>SUMIF(92:92,I20,93:93)-SUMIF(92:92,C20,93:93)+100</f>
        <v>96</v>
      </c>
      <c r="K19" s="535">
        <v>2</v>
      </c>
      <c r="L19" s="2143"/>
      <c r="M19" s="2133"/>
      <c r="N19" s="2133"/>
      <c r="O19" s="2142"/>
      <c r="P19" s="3406"/>
      <c r="Q19" s="1573" t="str">
        <f>B19</f>
        <v>商业繁华度</v>
      </c>
      <c r="R19" s="1574" t="s">
        <v>8</v>
      </c>
      <c r="S19" s="1575">
        <f>F19</f>
        <v>100</v>
      </c>
      <c r="T19" s="1574" t="s">
        <v>8</v>
      </c>
      <c r="U19" s="1575">
        <f>H19</f>
        <v>98</v>
      </c>
      <c r="V19" s="1574" t="s">
        <v>8</v>
      </c>
      <c r="W19" s="1575">
        <f>J19</f>
        <v>96</v>
      </c>
      <c r="X19" s="1568"/>
      <c r="Y19" s="3406"/>
      <c r="Z19" s="1576" t="str">
        <f>Q19</f>
        <v>商业繁华度</v>
      </c>
      <c r="AA19" s="1577">
        <f t="shared" si="3"/>
        <v>1</v>
      </c>
      <c r="AB19" s="1577">
        <f t="shared" si="4"/>
        <v>1.0204081632653061</v>
      </c>
      <c r="AC19" s="1577">
        <f t="shared" si="5"/>
        <v>1.0416666666666667</v>
      </c>
    </row>
    <row r="20" spans="1:29" ht="20.25">
      <c r="A20" s="532"/>
      <c r="B20" s="566"/>
      <c r="C20" s="567" t="s">
        <v>3013</v>
      </c>
      <c r="D20" s="563"/>
      <c r="E20" s="569" t="s">
        <v>3013</v>
      </c>
      <c r="F20" s="559"/>
      <c r="G20" s="568" t="s">
        <v>3014</v>
      </c>
      <c r="H20" s="555"/>
      <c r="I20" s="569" t="s">
        <v>3150</v>
      </c>
      <c r="J20" s="555"/>
      <c r="K20" s="531"/>
      <c r="L20" s="2143"/>
      <c r="M20" s="2133"/>
      <c r="N20" s="2133"/>
      <c r="O20" s="2142"/>
      <c r="P20" s="3406"/>
      <c r="Q20" s="1573"/>
      <c r="R20" s="1574"/>
      <c r="S20" s="1575"/>
      <c r="T20" s="1574"/>
      <c r="U20" s="1575"/>
      <c r="V20" s="1574"/>
      <c r="W20" s="1575"/>
      <c r="X20" s="1568"/>
      <c r="Y20" s="3406"/>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06"/>
      <c r="Q21" s="1573" t="str">
        <f>B21</f>
        <v>办公集聚程度</v>
      </c>
      <c r="R21" s="1574" t="s">
        <v>8</v>
      </c>
      <c r="S21" s="1575">
        <f>F21</f>
        <v>100</v>
      </c>
      <c r="T21" s="1574" t="s">
        <v>8</v>
      </c>
      <c r="U21" s="1575">
        <f>H21</f>
        <v>100</v>
      </c>
      <c r="V21" s="1574" t="s">
        <v>8</v>
      </c>
      <c r="W21" s="1575">
        <f>J21</f>
        <v>100</v>
      </c>
      <c r="X21" s="1568"/>
      <c r="Y21" s="3406"/>
      <c r="Z21" s="1576" t="str">
        <f>Q21</f>
        <v>办公集聚程度</v>
      </c>
      <c r="AA21" s="1577">
        <f t="shared" si="3"/>
        <v>1</v>
      </c>
      <c r="AB21" s="1577">
        <f t="shared" si="4"/>
        <v>1</v>
      </c>
      <c r="AC21" s="1577">
        <f t="shared" si="5"/>
        <v>1</v>
      </c>
    </row>
    <row r="22" spans="1:29" ht="20.25" hidden="1">
      <c r="A22" s="532"/>
      <c r="B22" s="566"/>
      <c r="C22" s="554" t="s">
        <v>3013</v>
      </c>
      <c r="D22" s="557"/>
      <c r="E22" s="558" t="s">
        <v>3013</v>
      </c>
      <c r="F22" s="555"/>
      <c r="G22" s="556" t="s">
        <v>3013</v>
      </c>
      <c r="H22" s="555"/>
      <c r="I22" s="558" t="s">
        <v>3013</v>
      </c>
      <c r="J22" s="555"/>
      <c r="K22" s="531"/>
      <c r="L22" s="2143"/>
      <c r="M22" s="2133"/>
      <c r="N22" s="2133"/>
      <c r="O22" s="2142"/>
      <c r="P22" s="3406"/>
      <c r="Q22" s="1573"/>
      <c r="R22" s="1574"/>
      <c r="S22" s="1575"/>
      <c r="T22" s="1574"/>
      <c r="U22" s="1575"/>
      <c r="V22" s="1574"/>
      <c r="W22" s="1575"/>
      <c r="X22" s="1568"/>
      <c r="Y22" s="3406"/>
      <c r="Z22" s="1576"/>
      <c r="AA22" s="1577">
        <v>1</v>
      </c>
      <c r="AB22" s="1577">
        <v>1</v>
      </c>
      <c r="AC22" s="1577">
        <v>1</v>
      </c>
    </row>
    <row r="23" spans="1:29" ht="99.75">
      <c r="A23" s="532"/>
      <c r="B23" s="560" t="s">
        <v>543</v>
      </c>
      <c r="C23" s="573" t="str">
        <f>估价对象房地状况!C18</f>
        <v>估价对象周边道路状况较好、公共交通通达情况较好、停车便捷程度较好，综合评价交通便捷度较好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06"/>
      <c r="Q23" s="1573" t="str">
        <f>B23</f>
        <v>交通便捷度</v>
      </c>
      <c r="R23" s="1574" t="s">
        <v>8</v>
      </c>
      <c r="S23" s="1575">
        <f>F23</f>
        <v>100</v>
      </c>
      <c r="T23" s="1574" t="s">
        <v>8</v>
      </c>
      <c r="U23" s="1575">
        <f>H23</f>
        <v>100</v>
      </c>
      <c r="V23" s="1574" t="s">
        <v>8</v>
      </c>
      <c r="W23" s="1575">
        <f>J23</f>
        <v>98</v>
      </c>
      <c r="X23" s="1568"/>
      <c r="Y23" s="3406"/>
      <c r="Z23" s="1576" t="str">
        <f>Q23</f>
        <v>交通便捷度</v>
      </c>
      <c r="AA23" s="1577">
        <f t="shared" si="3"/>
        <v>1</v>
      </c>
      <c r="AB23" s="1577">
        <f t="shared" si="4"/>
        <v>1</v>
      </c>
      <c r="AC23" s="1577">
        <f t="shared" si="5"/>
        <v>1.0204081632653061</v>
      </c>
    </row>
    <row r="24" spans="1:29" ht="20.25">
      <c r="A24" s="532"/>
      <c r="B24" s="578"/>
      <c r="C24" s="554" t="s">
        <v>3013</v>
      </c>
      <c r="D24" s="557"/>
      <c r="E24" s="554" t="s">
        <v>3013</v>
      </c>
      <c r="F24" s="555"/>
      <c r="G24" s="554" t="s">
        <v>3013</v>
      </c>
      <c r="H24" s="555"/>
      <c r="I24" s="554" t="s">
        <v>3014</v>
      </c>
      <c r="J24" s="555"/>
      <c r="K24" s="531"/>
      <c r="L24" s="2143"/>
      <c r="M24" s="2133"/>
      <c r="N24" s="2133"/>
      <c r="O24" s="2142"/>
      <c r="P24" s="3406"/>
      <c r="Q24" s="1573"/>
      <c r="R24" s="1574"/>
      <c r="S24" s="1575"/>
      <c r="T24" s="1574"/>
      <c r="U24" s="1575"/>
      <c r="V24" s="1574"/>
      <c r="W24" s="1575"/>
      <c r="X24" s="1568"/>
      <c r="Y24" s="3406"/>
      <c r="Z24" s="1576"/>
      <c r="AA24" s="1577">
        <v>1</v>
      </c>
      <c r="AB24" s="1577">
        <v>1</v>
      </c>
      <c r="AC24" s="1577">
        <v>1</v>
      </c>
    </row>
    <row r="25" spans="1:29" ht="27">
      <c r="A25" s="515"/>
      <c r="B25" s="259" t="s">
        <v>544</v>
      </c>
      <c r="C25" s="573" t="str">
        <f>估价对象房地状况!C19</f>
        <v>一般</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6"/>
      <c r="Q25" s="1573" t="str">
        <f t="shared" ref="Q25:Q39" si="8">B25</f>
        <v>区域土地利用方向</v>
      </c>
      <c r="R25" s="1574" t="s">
        <v>8</v>
      </c>
      <c r="S25" s="1575">
        <f>F25</f>
        <v>100</v>
      </c>
      <c r="T25" s="1574" t="s">
        <v>8</v>
      </c>
      <c r="U25" s="1575">
        <f>H25</f>
        <v>100</v>
      </c>
      <c r="V25" s="1574" t="s">
        <v>8</v>
      </c>
      <c r="W25" s="1575">
        <f>J25</f>
        <v>100</v>
      </c>
      <c r="X25" s="1568"/>
      <c r="Y25" s="3406"/>
      <c r="Z25" s="1576" t="str">
        <f>Q25</f>
        <v>区域土地利用方向</v>
      </c>
      <c r="AA25" s="1577">
        <f t="shared" si="3"/>
        <v>1</v>
      </c>
      <c r="AB25" s="1577">
        <f t="shared" si="4"/>
        <v>1</v>
      </c>
      <c r="AC25" s="1577">
        <f t="shared" si="5"/>
        <v>1</v>
      </c>
    </row>
    <row r="26" spans="1:29" ht="20.25">
      <c r="A26" s="515"/>
      <c r="B26" s="1007"/>
      <c r="C26" s="554" t="s">
        <v>3014</v>
      </c>
      <c r="D26" s="557"/>
      <c r="E26" s="554" t="s">
        <v>3014</v>
      </c>
      <c r="F26" s="555"/>
      <c r="G26" s="554" t="s">
        <v>3014</v>
      </c>
      <c r="H26" s="555"/>
      <c r="I26" s="554" t="s">
        <v>3014</v>
      </c>
      <c r="J26" s="555"/>
      <c r="K26" s="531"/>
      <c r="L26" s="2143"/>
      <c r="M26" s="2133"/>
      <c r="N26" s="2133"/>
      <c r="O26" s="2142"/>
      <c r="P26" s="3406"/>
      <c r="Q26" s="1573"/>
      <c r="R26" s="1574"/>
      <c r="S26" s="1575"/>
      <c r="T26" s="1574"/>
      <c r="U26" s="1575"/>
      <c r="V26" s="1574"/>
      <c r="W26" s="1575"/>
      <c r="X26" s="1568"/>
      <c r="Y26" s="340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06"/>
      <c r="Q27" s="1573" t="str">
        <f t="shared" si="8"/>
        <v>自然及人文环境状况</v>
      </c>
      <c r="R27" s="1574" t="s">
        <v>8</v>
      </c>
      <c r="S27" s="1575">
        <f>F27</f>
        <v>100</v>
      </c>
      <c r="T27" s="1574" t="s">
        <v>8</v>
      </c>
      <c r="U27" s="1575">
        <f>H27</f>
        <v>100</v>
      </c>
      <c r="V27" s="1574" t="s">
        <v>8</v>
      </c>
      <c r="W27" s="1575">
        <f>J27</f>
        <v>100</v>
      </c>
      <c r="X27" s="1568"/>
      <c r="Y27" s="3406"/>
      <c r="Z27" s="1576" t="str">
        <f>Q27</f>
        <v>自然及人文环境状况</v>
      </c>
      <c r="AA27" s="1577">
        <f t="shared" si="3"/>
        <v>1</v>
      </c>
      <c r="AB27" s="1577">
        <f t="shared" si="4"/>
        <v>1</v>
      </c>
      <c r="AC27" s="1577">
        <f t="shared" si="5"/>
        <v>1</v>
      </c>
    </row>
    <row r="28" spans="1:29" ht="20.25">
      <c r="A28" s="515"/>
      <c r="B28" s="566"/>
      <c r="C28" s="554" t="s">
        <v>3014</v>
      </c>
      <c r="D28" s="557"/>
      <c r="E28" s="554" t="s">
        <v>3014</v>
      </c>
      <c r="F28" s="555"/>
      <c r="G28" s="554" t="s">
        <v>3014</v>
      </c>
      <c r="H28" s="555"/>
      <c r="I28" s="554" t="s">
        <v>3014</v>
      </c>
      <c r="J28" s="555"/>
      <c r="K28" s="531"/>
      <c r="L28" s="2143"/>
      <c r="M28" s="2133"/>
      <c r="N28" s="2133"/>
      <c r="O28" s="2142"/>
      <c r="P28" s="3406"/>
      <c r="Q28" s="1573"/>
      <c r="R28" s="1574"/>
      <c r="S28" s="1575"/>
      <c r="T28" s="1574"/>
      <c r="U28" s="1575"/>
      <c r="V28" s="1574"/>
      <c r="W28" s="1575"/>
      <c r="X28" s="1568"/>
      <c r="Y28" s="3406"/>
      <c r="Z28" s="1576"/>
      <c r="AA28" s="1577">
        <v>1</v>
      </c>
      <c r="AB28" s="1577">
        <v>1</v>
      </c>
      <c r="AC28" s="1577">
        <v>1</v>
      </c>
    </row>
    <row r="29" spans="1:29" s="1220" customFormat="1" ht="42.75">
      <c r="A29" s="577"/>
      <c r="B29" s="2592" t="s">
        <v>2550</v>
      </c>
      <c r="C29" s="573" t="str">
        <f>估价对象房地状况!C21</f>
        <v>估价对象所在区域公共配套设施齐备情况较好</v>
      </c>
      <c r="D29" s="563">
        <v>100</v>
      </c>
      <c r="E29" s="564"/>
      <c r="F29" s="559">
        <f>SUMIF(102:102,E30,103:103)-SUMIF(102:102,C30,103:103)+100</f>
        <v>100</v>
      </c>
      <c r="G29" s="562"/>
      <c r="H29" s="559">
        <f>SUMIF(102:102,G30,103:103)-SUMIF(102:102,C30,103:103)+100</f>
        <v>98</v>
      </c>
      <c r="I29" s="564"/>
      <c r="J29" s="559">
        <f>SUMIF(102:102,I30,103:103)-SUMIF(102:102,C30,103:103)+100</f>
        <v>96</v>
      </c>
      <c r="K29" s="535">
        <v>2</v>
      </c>
      <c r="L29" s="2136"/>
      <c r="M29" s="2133"/>
      <c r="N29" s="2133"/>
      <c r="O29" s="2138"/>
      <c r="P29" s="3406"/>
      <c r="Q29" s="1151" t="str">
        <f t="shared" si="8"/>
        <v>公共配套设施</v>
      </c>
      <c r="R29" s="1569" t="s">
        <v>8</v>
      </c>
      <c r="S29" s="1570">
        <f>F29</f>
        <v>100</v>
      </c>
      <c r="T29" s="1569" t="s">
        <v>8</v>
      </c>
      <c r="U29" s="1570">
        <f>H29</f>
        <v>98</v>
      </c>
      <c r="V29" s="1569" t="s">
        <v>8</v>
      </c>
      <c r="W29" s="1570">
        <f>J29</f>
        <v>96</v>
      </c>
      <c r="X29" s="1571"/>
      <c r="Y29" s="3406"/>
      <c r="Z29" s="1150" t="str">
        <f>Q29</f>
        <v>公共配套设施</v>
      </c>
      <c r="AA29" s="1577">
        <f>D29/F29</f>
        <v>1</v>
      </c>
      <c r="AB29" s="1577">
        <f>D29/H29</f>
        <v>1.0204081632653061</v>
      </c>
      <c r="AC29" s="1577">
        <f>D29/J29</f>
        <v>1.0416666666666667</v>
      </c>
    </row>
    <row r="30" spans="1:29" s="1220" customFormat="1" ht="20.25">
      <c r="A30" s="577"/>
      <c r="B30" s="566"/>
      <c r="C30" s="579" t="s">
        <v>3013</v>
      </c>
      <c r="D30" s="557"/>
      <c r="E30" s="579" t="s">
        <v>3013</v>
      </c>
      <c r="F30" s="555"/>
      <c r="G30" s="579" t="s">
        <v>3014</v>
      </c>
      <c r="H30" s="555"/>
      <c r="I30" s="579" t="s">
        <v>3150</v>
      </c>
      <c r="J30" s="555"/>
      <c r="K30" s="531"/>
      <c r="L30" s="2136"/>
      <c r="M30" s="2133"/>
      <c r="N30" s="2133"/>
      <c r="O30" s="2138"/>
      <c r="P30" s="3406"/>
      <c r="Q30" s="1151"/>
      <c r="R30" s="1569"/>
      <c r="S30" s="1570"/>
      <c r="T30" s="1569"/>
      <c r="U30" s="1570"/>
      <c r="V30" s="1569"/>
      <c r="W30" s="1570"/>
      <c r="X30" s="1571"/>
      <c r="Y30" s="3406"/>
      <c r="Z30" s="1150"/>
      <c r="AA30" s="1577">
        <v>1</v>
      </c>
      <c r="AB30" s="1577">
        <v>1</v>
      </c>
      <c r="AC30" s="1577">
        <v>1</v>
      </c>
    </row>
    <row r="31" spans="1:29" s="1220" customFormat="1" ht="43.5" customHeight="1">
      <c r="A31" s="577"/>
      <c r="B31" s="2592" t="s">
        <v>2551</v>
      </c>
      <c r="C31" s="573" t="str">
        <f>估价对象房地状况!C22</f>
        <v>估价对象所在区域基础设施水平达到七通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06"/>
      <c r="Q31" s="2579" t="str">
        <f t="shared" ref="Q31" si="9">B31</f>
        <v>基础设施水平</v>
      </c>
      <c r="R31" s="1569" t="s">
        <v>8</v>
      </c>
      <c r="S31" s="1570">
        <f>F31</f>
        <v>100</v>
      </c>
      <c r="T31" s="1569" t="s">
        <v>8</v>
      </c>
      <c r="U31" s="1570">
        <f>H31</f>
        <v>100</v>
      </c>
      <c r="V31" s="1569" t="s">
        <v>8</v>
      </c>
      <c r="W31" s="1570">
        <f>J31</f>
        <v>100</v>
      </c>
      <c r="X31" s="1571"/>
      <c r="Y31" s="3406"/>
      <c r="Z31" s="2576" t="str">
        <f>Q31</f>
        <v>基础设施水平</v>
      </c>
      <c r="AA31" s="1577">
        <f>D31/F31</f>
        <v>1</v>
      </c>
      <c r="AB31" s="1577">
        <f>D31/H31</f>
        <v>1</v>
      </c>
      <c r="AC31" s="1577">
        <f>D31/J31</f>
        <v>1</v>
      </c>
    </row>
    <row r="32" spans="1:29" s="1220" customFormat="1" ht="20.25">
      <c r="A32" s="577"/>
      <c r="B32" s="566"/>
      <c r="C32" s="579" t="s">
        <v>3015</v>
      </c>
      <c r="D32" s="557"/>
      <c r="E32" s="579" t="s">
        <v>3015</v>
      </c>
      <c r="F32" s="555"/>
      <c r="G32" s="579" t="s">
        <v>3015</v>
      </c>
      <c r="H32" s="555"/>
      <c r="I32" s="579" t="s">
        <v>3015</v>
      </c>
      <c r="J32" s="555"/>
      <c r="K32" s="531"/>
      <c r="L32" s="2136"/>
      <c r="M32" s="2133"/>
      <c r="N32" s="2133"/>
      <c r="O32" s="2138"/>
      <c r="P32" s="3406"/>
      <c r="Q32" s="2579"/>
      <c r="R32" s="1569"/>
      <c r="S32" s="1570"/>
      <c r="T32" s="1569"/>
      <c r="U32" s="1570"/>
      <c r="V32" s="1569"/>
      <c r="W32" s="1570"/>
      <c r="X32" s="1571"/>
      <c r="Y32" s="3406"/>
      <c r="Z32" s="2576"/>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0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6"/>
      <c r="Z33" s="1576" t="str">
        <f t="shared" ref="Z33:Z47" si="13">Q33</f>
        <v>临街状况</v>
      </c>
      <c r="AA33" s="1577">
        <f t="shared" si="3"/>
        <v>1</v>
      </c>
      <c r="AB33" s="1577">
        <f t="shared" si="4"/>
        <v>1</v>
      </c>
      <c r="AC33" s="1577">
        <f t="shared" si="5"/>
        <v>1</v>
      </c>
    </row>
    <row r="34" spans="1:29" ht="27">
      <c r="A34" s="532"/>
      <c r="B34" s="578" t="s">
        <v>548</v>
      </c>
      <c r="C34" s="3188" t="s">
        <v>3022</v>
      </c>
      <c r="D34" s="563">
        <v>100</v>
      </c>
      <c r="E34" s="3200" t="s">
        <v>3149</v>
      </c>
      <c r="F34" s="559">
        <f>SUMIF(108:108,E35,109:109)-SUMIF(108:108,C35,109:109)+100</f>
        <v>102</v>
      </c>
      <c r="G34" s="562"/>
      <c r="H34" s="559">
        <f>SUMIF(108:108,G35,109:109)-SUMIF(108:108,C35,109:109)+100</f>
        <v>96</v>
      </c>
      <c r="I34" s="3200" t="s">
        <v>3151</v>
      </c>
      <c r="J34" s="559">
        <f>SUMIF(108:108,I35,109:109)-SUMIF(108:108,C35,109:109)+100</f>
        <v>100</v>
      </c>
      <c r="K34" s="535">
        <v>2</v>
      </c>
      <c r="L34" s="2143"/>
      <c r="M34" s="2133"/>
      <c r="N34" s="2133"/>
      <c r="O34" s="2142"/>
      <c r="P34" s="3406"/>
      <c r="Q34" s="1573" t="str">
        <f t="shared" si="8"/>
        <v>毗邻道路的类型与等级</v>
      </c>
      <c r="R34" s="1574" t="s">
        <v>8</v>
      </c>
      <c r="S34" s="1575">
        <f t="shared" si="10"/>
        <v>102</v>
      </c>
      <c r="T34" s="1574" t="s">
        <v>8</v>
      </c>
      <c r="U34" s="1575">
        <f t="shared" si="11"/>
        <v>96</v>
      </c>
      <c r="V34" s="1574" t="s">
        <v>8</v>
      </c>
      <c r="W34" s="1575">
        <f t="shared" si="12"/>
        <v>100</v>
      </c>
      <c r="X34" s="1568"/>
      <c r="Y34" s="3406"/>
      <c r="Z34" s="1576" t="str">
        <f t="shared" si="13"/>
        <v>毗邻道路的类型与等级</v>
      </c>
      <c r="AA34" s="1577">
        <f t="shared" si="3"/>
        <v>0.98039215686274506</v>
      </c>
      <c r="AB34" s="1577">
        <f t="shared" si="4"/>
        <v>1.0416666666666667</v>
      </c>
      <c r="AC34" s="1577">
        <f t="shared" si="5"/>
        <v>1</v>
      </c>
    </row>
    <row r="35" spans="1:29" ht="21" thickBot="1">
      <c r="A35" s="532"/>
      <c r="B35" s="566"/>
      <c r="C35" s="554" t="s">
        <v>3018</v>
      </c>
      <c r="D35" s="557"/>
      <c r="E35" s="576" t="s">
        <v>3148</v>
      </c>
      <c r="F35" s="555"/>
      <c r="G35" s="554" t="s">
        <v>3152</v>
      </c>
      <c r="H35" s="555"/>
      <c r="I35" s="576" t="s">
        <v>3018</v>
      </c>
      <c r="J35" s="555"/>
      <c r="K35" s="581"/>
      <c r="L35" s="2143"/>
      <c r="M35" s="2133"/>
      <c r="N35" s="2133"/>
      <c r="O35" s="2142"/>
      <c r="P35" s="3406"/>
      <c r="Q35" s="1573"/>
      <c r="R35" s="1574"/>
      <c r="S35" s="1575"/>
      <c r="T35" s="1574"/>
      <c r="U35" s="1575"/>
      <c r="V35" s="1574"/>
      <c r="W35" s="1575"/>
      <c r="X35" s="1568"/>
      <c r="Y35" s="3406"/>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06"/>
      <c r="Q36" s="1573" t="str">
        <f t="shared" si="8"/>
        <v>土地级别</v>
      </c>
      <c r="R36" s="1574" t="s">
        <v>8</v>
      </c>
      <c r="S36" s="1575">
        <f t="shared" si="10"/>
        <v>100</v>
      </c>
      <c r="T36" s="1574" t="s">
        <v>8</v>
      </c>
      <c r="U36" s="1575">
        <f t="shared" si="11"/>
        <v>100</v>
      </c>
      <c r="V36" s="1574" t="s">
        <v>8</v>
      </c>
      <c r="W36" s="1575">
        <f t="shared" si="12"/>
        <v>100</v>
      </c>
      <c r="X36" s="1568"/>
      <c r="Y36" s="340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6"/>
      <c r="Q37" s="1573">
        <f t="shared" si="8"/>
        <v>111</v>
      </c>
      <c r="R37" s="1574" t="s">
        <v>8</v>
      </c>
      <c r="S37" s="1575">
        <f t="shared" si="10"/>
        <v>100</v>
      </c>
      <c r="T37" s="1574" t="s">
        <v>8</v>
      </c>
      <c r="U37" s="1575">
        <f t="shared" si="11"/>
        <v>100</v>
      </c>
      <c r="V37" s="1574" t="s">
        <v>8</v>
      </c>
      <c r="W37" s="1575">
        <f t="shared" si="12"/>
        <v>100</v>
      </c>
      <c r="X37" s="1568"/>
      <c r="Y37" s="340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7" t="s">
        <v>550</v>
      </c>
      <c r="Q38" s="1573">
        <f t="shared" si="8"/>
        <v>111</v>
      </c>
      <c r="R38" s="1574" t="s">
        <v>8</v>
      </c>
      <c r="S38" s="1575">
        <f t="shared" si="10"/>
        <v>100</v>
      </c>
      <c r="T38" s="1574" t="s">
        <v>8</v>
      </c>
      <c r="U38" s="1575">
        <f t="shared" si="11"/>
        <v>100</v>
      </c>
      <c r="V38" s="1574" t="s">
        <v>8</v>
      </c>
      <c r="W38" s="1575">
        <f t="shared" si="12"/>
        <v>100</v>
      </c>
      <c r="X38" s="1568"/>
      <c r="Y38" s="3408"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8"/>
      <c r="Q39" s="1573">
        <f t="shared" si="8"/>
        <v>111</v>
      </c>
      <c r="R39" s="1578" t="s">
        <v>8</v>
      </c>
      <c r="S39" s="1579">
        <f t="shared" si="10"/>
        <v>100</v>
      </c>
      <c r="T39" s="1578" t="s">
        <v>8</v>
      </c>
      <c r="U39" s="1579">
        <f t="shared" si="11"/>
        <v>100</v>
      </c>
      <c r="V39" s="1578" t="s">
        <v>8</v>
      </c>
      <c r="W39" s="1579">
        <f t="shared" si="12"/>
        <v>100</v>
      </c>
      <c r="X39" s="1580"/>
      <c r="Y39" s="3408"/>
      <c r="Z39" s="1581">
        <f t="shared" si="13"/>
        <v>111</v>
      </c>
      <c r="AA39" s="1577">
        <f t="shared" si="3"/>
        <v>1</v>
      </c>
      <c r="AB39" s="1577">
        <f t="shared" si="4"/>
        <v>1</v>
      </c>
      <c r="AC39" s="1577">
        <f t="shared" si="5"/>
        <v>1</v>
      </c>
    </row>
    <row r="40" spans="1:29" ht="20.25">
      <c r="A40" s="2908" t="s">
        <v>2757</v>
      </c>
      <c r="B40" s="595" t="s">
        <v>552</v>
      </c>
      <c r="C40" s="596">
        <f>项目基本情况!C22</f>
        <v>31518.19</v>
      </c>
      <c r="D40" s="597">
        <v>100</v>
      </c>
      <c r="E40" s="596">
        <f>Sheet3!D2</f>
        <v>47345</v>
      </c>
      <c r="F40" s="597">
        <f>LOOKUP(E40,119:119,120:120)-LOOKUP(C40,119:119,120:120)+100</f>
        <v>100</v>
      </c>
      <c r="G40" s="596">
        <f>Sheet3!D4</f>
        <v>17953</v>
      </c>
      <c r="H40" s="597">
        <f>LOOKUP(G40,119:119,120:120)-LOOKUP(C40,119:119,120:120)+100</f>
        <v>100</v>
      </c>
      <c r="I40" s="598">
        <f>Sheet3!D6</f>
        <v>51071.7</v>
      </c>
      <c r="J40" s="597">
        <f>LOOKUP(I40,119:119,120:120)-LOOKUP(C40,119:119,120:120)+100</f>
        <v>102</v>
      </c>
      <c r="K40" s="581"/>
      <c r="L40" s="2143"/>
      <c r="M40" s="2133"/>
      <c r="N40" s="2133"/>
      <c r="O40" s="2142"/>
      <c r="P40" s="3408"/>
      <c r="Q40" s="1573" t="str">
        <f>B40</f>
        <v>宗地面积</v>
      </c>
      <c r="R40" s="1574" t="s">
        <v>8</v>
      </c>
      <c r="S40" s="1575">
        <f t="shared" si="10"/>
        <v>100</v>
      </c>
      <c r="T40" s="1574" t="s">
        <v>8</v>
      </c>
      <c r="U40" s="1575">
        <f t="shared" si="11"/>
        <v>100</v>
      </c>
      <c r="V40" s="1574" t="s">
        <v>8</v>
      </c>
      <c r="W40" s="1575">
        <f t="shared" si="12"/>
        <v>102</v>
      </c>
      <c r="X40" s="1568"/>
      <c r="Y40" s="3408"/>
      <c r="Z40" s="1576" t="str">
        <f t="shared" si="13"/>
        <v>宗地面积</v>
      </c>
      <c r="AA40" s="1577">
        <f t="shared" si="3"/>
        <v>1</v>
      </c>
      <c r="AB40" s="1577">
        <f t="shared" si="4"/>
        <v>1</v>
      </c>
      <c r="AC40" s="1577">
        <f t="shared" si="5"/>
        <v>0.98039215686274506</v>
      </c>
    </row>
    <row r="41" spans="1:29" ht="20.25">
      <c r="A41" s="594"/>
      <c r="B41" s="527" t="s">
        <v>553</v>
      </c>
      <c r="C41" s="599" t="s">
        <v>3110</v>
      </c>
      <c r="D41" s="540">
        <v>100</v>
      </c>
      <c r="E41" s="599" t="s">
        <v>3112</v>
      </c>
      <c r="F41" s="540">
        <f>SUMIF(121:121,E41,122:122)-SUMIF(121:121,C41,122:122)+100</f>
        <v>98</v>
      </c>
      <c r="G41" s="599" t="s">
        <v>3112</v>
      </c>
      <c r="H41" s="540">
        <f>SUMIF(121:121,G41,122:122)-SUMIF(121:121,C41,122:122)+100</f>
        <v>98</v>
      </c>
      <c r="I41" s="599" t="s">
        <v>3110</v>
      </c>
      <c r="J41" s="540">
        <f>SUMIF(121:121,I41,122:122)-SUMIF(121:121,C41,122:122)+100</f>
        <v>100</v>
      </c>
      <c r="K41" s="584">
        <v>2</v>
      </c>
      <c r="L41" s="2143"/>
      <c r="M41" s="2133"/>
      <c r="N41" s="2133"/>
      <c r="O41" s="2142"/>
      <c r="P41" s="3408"/>
      <c r="Q41" s="1573" t="str">
        <f t="shared" ref="Q41:Q47" si="14">B41</f>
        <v>宗地形状</v>
      </c>
      <c r="R41" s="1574" t="s">
        <v>8</v>
      </c>
      <c r="S41" s="1575">
        <f t="shared" si="10"/>
        <v>98</v>
      </c>
      <c r="T41" s="1574" t="s">
        <v>8</v>
      </c>
      <c r="U41" s="1575">
        <f t="shared" si="11"/>
        <v>98</v>
      </c>
      <c r="V41" s="1574" t="s">
        <v>8</v>
      </c>
      <c r="W41" s="1575">
        <f t="shared" si="12"/>
        <v>100</v>
      </c>
      <c r="X41" s="1568"/>
      <c r="Y41" s="3408"/>
      <c r="Z41" s="1576" t="str">
        <f t="shared" si="13"/>
        <v>宗地形状</v>
      </c>
      <c r="AA41" s="1577">
        <f t="shared" si="3"/>
        <v>1.0204081632653061</v>
      </c>
      <c r="AB41" s="1577">
        <f t="shared" si="4"/>
        <v>1.0204081632653061</v>
      </c>
      <c r="AC41" s="1577">
        <f t="shared" si="5"/>
        <v>1</v>
      </c>
    </row>
    <row r="42" spans="1:29" ht="20.25">
      <c r="A42" s="594"/>
      <c r="B42" s="527" t="s">
        <v>554</v>
      </c>
      <c r="C42" s="599" t="s">
        <v>3013</v>
      </c>
      <c r="D42" s="540">
        <v>100</v>
      </c>
      <c r="E42" s="599" t="s">
        <v>3014</v>
      </c>
      <c r="F42" s="540">
        <f>SUMIF(123:123,E42,124:124)-SUMIF(123:123,C42,124:124)+100</f>
        <v>98</v>
      </c>
      <c r="G42" s="599" t="s">
        <v>3014</v>
      </c>
      <c r="H42" s="540">
        <f>SUMIF(123:123,G42,124:124)-SUMIF(123:123,C42,124:124)+100</f>
        <v>98</v>
      </c>
      <c r="I42" s="599" t="s">
        <v>3013</v>
      </c>
      <c r="J42" s="540">
        <f>SUMIF(123:123,I42,124:124)-SUMIF(123:123,C42,124:124)+100</f>
        <v>100</v>
      </c>
      <c r="K42" s="584">
        <v>2</v>
      </c>
      <c r="L42" s="2143"/>
      <c r="M42" s="2133"/>
      <c r="N42" s="2133"/>
      <c r="O42" s="2142"/>
      <c r="P42" s="3408"/>
      <c r="Q42" s="1573" t="str">
        <f t="shared" si="14"/>
        <v>临街宽度及深度</v>
      </c>
      <c r="R42" s="1574" t="s">
        <v>8</v>
      </c>
      <c r="S42" s="1575">
        <f t="shared" si="10"/>
        <v>98</v>
      </c>
      <c r="T42" s="1574" t="s">
        <v>8</v>
      </c>
      <c r="U42" s="1575">
        <f t="shared" si="11"/>
        <v>98</v>
      </c>
      <c r="V42" s="1574" t="s">
        <v>8</v>
      </c>
      <c r="W42" s="1575">
        <f t="shared" si="12"/>
        <v>100</v>
      </c>
      <c r="X42" s="1568"/>
      <c r="Y42" s="3408"/>
      <c r="Z42" s="1576" t="str">
        <f t="shared" si="13"/>
        <v>临街宽度及深度</v>
      </c>
      <c r="AA42" s="1577">
        <f t="shared" si="3"/>
        <v>1.0204081632653061</v>
      </c>
      <c r="AB42" s="1577">
        <f t="shared" si="4"/>
        <v>1.0204081632653061</v>
      </c>
      <c r="AC42" s="1577">
        <f t="shared" si="5"/>
        <v>1</v>
      </c>
    </row>
    <row r="43" spans="1:29" s="1220" customFormat="1" ht="20.25">
      <c r="A43" s="600"/>
      <c r="B43" s="1896" t="s">
        <v>2426</v>
      </c>
      <c r="C43" s="601" t="s">
        <v>3122</v>
      </c>
      <c r="D43" s="255">
        <v>100</v>
      </c>
      <c r="E43" s="601" t="s">
        <v>3122</v>
      </c>
      <c r="F43" s="540">
        <f>SUMIF(125:125,E43,126:126)-SUMIF(125:125,C43,126:126)+100</f>
        <v>100</v>
      </c>
      <c r="G43" s="601" t="s">
        <v>3122</v>
      </c>
      <c r="H43" s="540">
        <f>SUMIF(125:125,G43,126:126)-SUMIF(125:125,C43,126:126)+100</f>
        <v>100</v>
      </c>
      <c r="I43" s="601" t="s">
        <v>3122</v>
      </c>
      <c r="J43" s="540">
        <f>SUMIF(125:125,I43,126:126)-SUMIF(125:125,C43,126:126)+100</f>
        <v>100</v>
      </c>
      <c r="K43" s="584">
        <v>2</v>
      </c>
      <c r="L43" s="2136"/>
      <c r="M43" s="2133"/>
      <c r="N43" s="2133"/>
      <c r="O43" s="2138"/>
      <c r="P43" s="3408"/>
      <c r="Q43" s="1573" t="str">
        <f t="shared" si="14"/>
        <v>宗地开发程度</v>
      </c>
      <c r="R43" s="1569" t="s">
        <v>8</v>
      </c>
      <c r="S43" s="1570">
        <f t="shared" si="10"/>
        <v>100</v>
      </c>
      <c r="T43" s="1569" t="s">
        <v>8</v>
      </c>
      <c r="U43" s="1570">
        <f t="shared" si="11"/>
        <v>100</v>
      </c>
      <c r="V43" s="1569" t="s">
        <v>8</v>
      </c>
      <c r="W43" s="1570">
        <f t="shared" si="12"/>
        <v>100</v>
      </c>
      <c r="X43" s="1571"/>
      <c r="Y43" s="3408"/>
      <c r="Z43" s="1150" t="str">
        <f t="shared" si="13"/>
        <v>宗地开发程度</v>
      </c>
      <c r="AA43" s="1572">
        <f t="shared" si="3"/>
        <v>1</v>
      </c>
      <c r="AB43" s="1572">
        <f t="shared" si="4"/>
        <v>1</v>
      </c>
      <c r="AC43" s="1572">
        <f t="shared" si="5"/>
        <v>1</v>
      </c>
    </row>
    <row r="44" spans="1:29" ht="21" thickBot="1">
      <c r="A44" s="594"/>
      <c r="B44" s="527" t="s">
        <v>555</v>
      </c>
      <c r="C44" s="599" t="s">
        <v>3013</v>
      </c>
      <c r="D44" s="540">
        <v>100</v>
      </c>
      <c r="E44" s="599" t="s">
        <v>3013</v>
      </c>
      <c r="F44" s="540">
        <f>SUMIF(127:127,E44,128:128)-SUMIF(127:127,C44,128:128)+100</f>
        <v>100</v>
      </c>
      <c r="G44" s="599" t="s">
        <v>3013</v>
      </c>
      <c r="H44" s="540">
        <f>SUMIF(127:127,G44,128:128)-SUMIF(127:127,C44,128:128)+100</f>
        <v>100</v>
      </c>
      <c r="I44" s="599" t="s">
        <v>3013</v>
      </c>
      <c r="J44" s="540">
        <f>SUMIF(127:127,I44,128:128)-SUMIF(127:127,C44,128:128)+100</f>
        <v>100</v>
      </c>
      <c r="K44" s="584">
        <v>2</v>
      </c>
      <c r="L44" s="2143"/>
      <c r="M44" s="2133"/>
      <c r="N44" s="2133"/>
      <c r="O44" s="2142"/>
      <c r="P44" s="3408" t="s">
        <v>550</v>
      </c>
      <c r="Q44" s="1573" t="str">
        <f t="shared" si="14"/>
        <v>工程地质条件</v>
      </c>
      <c r="R44" s="1574" t="s">
        <v>8</v>
      </c>
      <c r="S44" s="1575">
        <f t="shared" si="10"/>
        <v>100</v>
      </c>
      <c r="T44" s="1574" t="s">
        <v>8</v>
      </c>
      <c r="U44" s="1575">
        <f t="shared" si="11"/>
        <v>100</v>
      </c>
      <c r="V44" s="1574" t="s">
        <v>8</v>
      </c>
      <c r="W44" s="1575">
        <f t="shared" si="12"/>
        <v>100</v>
      </c>
      <c r="X44" s="1568"/>
      <c r="Y44" s="3408"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8"/>
      <c r="Q45" s="1573">
        <f t="shared" si="14"/>
        <v>111</v>
      </c>
      <c r="R45" s="1574" t="s">
        <v>8</v>
      </c>
      <c r="S45" s="1575">
        <f t="shared" si="10"/>
        <v>100</v>
      </c>
      <c r="T45" s="1574" t="s">
        <v>8</v>
      </c>
      <c r="U45" s="1575">
        <f t="shared" si="11"/>
        <v>100</v>
      </c>
      <c r="V45" s="1574" t="s">
        <v>8</v>
      </c>
      <c r="W45" s="1575">
        <f t="shared" si="12"/>
        <v>100</v>
      </c>
      <c r="X45" s="1568"/>
      <c r="Y45" s="340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8"/>
      <c r="Q46" s="1573">
        <f t="shared" si="14"/>
        <v>111</v>
      </c>
      <c r="R46" s="1574" t="s">
        <v>8</v>
      </c>
      <c r="S46" s="1575">
        <f t="shared" si="10"/>
        <v>100</v>
      </c>
      <c r="T46" s="1574" t="s">
        <v>8</v>
      </c>
      <c r="U46" s="1575">
        <f t="shared" si="11"/>
        <v>100</v>
      </c>
      <c r="V46" s="1574" t="s">
        <v>8</v>
      </c>
      <c r="W46" s="1575">
        <f t="shared" si="12"/>
        <v>100</v>
      </c>
      <c r="X46" s="1568"/>
      <c r="Y46" s="340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8"/>
      <c r="Q47" s="1573">
        <f t="shared" si="14"/>
        <v>111</v>
      </c>
      <c r="R47" s="1578" t="s">
        <v>8</v>
      </c>
      <c r="S47" s="1579">
        <f t="shared" si="10"/>
        <v>100</v>
      </c>
      <c r="T47" s="1578" t="s">
        <v>8</v>
      </c>
      <c r="U47" s="1579">
        <f t="shared" si="11"/>
        <v>100</v>
      </c>
      <c r="V47" s="1578" t="s">
        <v>8</v>
      </c>
      <c r="W47" s="1579">
        <f t="shared" si="12"/>
        <v>100</v>
      </c>
      <c r="X47" s="1580"/>
      <c r="Y47" s="3408"/>
      <c r="Z47" s="1581">
        <f t="shared" si="13"/>
        <v>111</v>
      </c>
      <c r="AA47" s="1577">
        <f t="shared" si="3"/>
        <v>1</v>
      </c>
      <c r="AB47" s="1577">
        <f t="shared" si="4"/>
        <v>1</v>
      </c>
      <c r="AC47" s="1577">
        <f t="shared" si="5"/>
        <v>1</v>
      </c>
    </row>
    <row r="48" spans="1:29" ht="20.25">
      <c r="A48" s="607" t="s">
        <v>556</v>
      </c>
      <c r="B48" s="608" t="s">
        <v>3097</v>
      </c>
      <c r="C48" s="609" t="s">
        <v>1</v>
      </c>
      <c r="D48" s="610"/>
      <c r="E48" s="611">
        <f>Sheet3!K2</f>
        <v>2813</v>
      </c>
      <c r="F48" s="612"/>
      <c r="G48" s="613">
        <f>Sheet3!K4</f>
        <v>2615</v>
      </c>
      <c r="H48" s="614"/>
      <c r="I48" s="611">
        <f>Sheet3!K6</f>
        <v>3000</v>
      </c>
      <c r="J48" s="614"/>
      <c r="K48" s="1340"/>
      <c r="L48" s="2145"/>
      <c r="M48" s="2133"/>
      <c r="N48" s="2133"/>
      <c r="O48" s="2146"/>
      <c r="P48" s="3370" t="str">
        <f>A48</f>
        <v>成交单价</v>
      </c>
      <c r="Q48" s="3370"/>
      <c r="R48" s="3371">
        <f>E48</f>
        <v>2813</v>
      </c>
      <c r="S48" s="3371"/>
      <c r="T48" s="3371">
        <f>G48</f>
        <v>2615</v>
      </c>
      <c r="U48" s="3371"/>
      <c r="V48" s="3371">
        <f>I48</f>
        <v>3000</v>
      </c>
      <c r="W48" s="3371"/>
      <c r="X48" s="1560"/>
      <c r="Y48" s="1582"/>
      <c r="Z48" s="1560"/>
      <c r="AA48" s="1560"/>
      <c r="AB48" s="1560"/>
      <c r="AC48" s="1560"/>
    </row>
    <row r="49" spans="1:29" ht="21" thickBot="1">
      <c r="A49" s="615" t="s">
        <v>2695</v>
      </c>
      <c r="B49" s="616"/>
      <c r="C49" s="617">
        <f>R50</f>
        <v>2788</v>
      </c>
      <c r="D49" s="618"/>
      <c r="E49" s="617">
        <f>R49</f>
        <v>2607</v>
      </c>
      <c r="F49" s="619"/>
      <c r="G49" s="620">
        <f>T49</f>
        <v>2681</v>
      </c>
      <c r="H49" s="618"/>
      <c r="I49" s="617">
        <f>V49</f>
        <v>3077</v>
      </c>
      <c r="J49" s="618"/>
      <c r="K49" s="1341"/>
      <c r="L49" s="2145"/>
      <c r="M49" s="2133"/>
      <c r="N49" s="2133"/>
      <c r="O49" s="2146"/>
      <c r="P49" s="3370" t="str">
        <f>A49</f>
        <v>比较价格（元/平方米）</v>
      </c>
      <c r="Q49" s="3370"/>
      <c r="R49" s="3372">
        <f>ROUND(PRODUCT(R48,AA9:AA47),0)</f>
        <v>2607</v>
      </c>
      <c r="S49" s="3372"/>
      <c r="T49" s="3372">
        <f>ROUND(PRODUCT(T48,AB9:AB47),0)</f>
        <v>2681</v>
      </c>
      <c r="U49" s="3372"/>
      <c r="V49" s="3372">
        <f>ROUND(PRODUCT(V48,AC9:AC47),0)</f>
        <v>3077</v>
      </c>
      <c r="W49" s="3372"/>
      <c r="X49" s="1560"/>
      <c r="Y49" s="1560"/>
      <c r="Z49" s="1560"/>
      <c r="AA49" s="1560"/>
      <c r="AB49" s="1560"/>
      <c r="AC49" s="1560"/>
    </row>
    <row r="50" spans="1:29" ht="21" thickBot="1">
      <c r="A50" s="621" t="s">
        <v>2936</v>
      </c>
      <c r="B50" s="622"/>
      <c r="C50" s="623">
        <f>R50</f>
        <v>2788</v>
      </c>
      <c r="D50" s="623"/>
      <c r="E50" s="623"/>
      <c r="F50" s="623"/>
      <c r="G50" s="623"/>
      <c r="H50" s="623"/>
      <c r="I50" s="623"/>
      <c r="J50" s="623"/>
      <c r="K50" s="1342"/>
      <c r="L50" s="2145"/>
      <c r="M50" s="2133"/>
      <c r="N50" s="2133"/>
      <c r="O50" s="2146"/>
      <c r="P50" s="3367" t="str">
        <f>A50</f>
        <v>估价对象XX用房的比较价格（楼面单价，元/平方米）</v>
      </c>
      <c r="Q50" s="3368"/>
      <c r="R50" s="3369">
        <f>ROUND(AVERAGE(R49:V49),0)</f>
        <v>2788</v>
      </c>
      <c r="S50" s="3369"/>
      <c r="T50" s="3369"/>
      <c r="U50" s="3369"/>
      <c r="V50" s="3369"/>
      <c r="W50" s="336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7.9018028385116956E-2</v>
      </c>
      <c r="F53" s="627" t="str">
        <f>IF(OR(E53&gt;=0.3,E53&lt;=-0.3),"超过30%","")</f>
        <v/>
      </c>
      <c r="G53" s="626">
        <f>IF(G48&lt;G49,G49/G48-1,G48/G49-1)</f>
        <v>2.5239005736137576E-2</v>
      </c>
      <c r="H53" s="627" t="str">
        <f>IF(OR(G53&gt;=0.3,G53&lt;=-0.3),"超过30%","")</f>
        <v/>
      </c>
      <c r="I53" s="626">
        <f>IF(I48&lt;I49,I49/I48-1,I48/I49-1)</f>
        <v>2.5666666666666726E-2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2.8385116992711845E-2</v>
      </c>
      <c r="F54" s="627" t="str">
        <f>IF(OR(E54&gt;=0.2,E54&lt;=-0.2),"超过20%","")</f>
        <v/>
      </c>
      <c r="G54" s="626">
        <f>IF(G49&lt;I49,I49/G49-1,G49/I49-1)</f>
        <v>0.1477060798209624</v>
      </c>
      <c r="H54" s="627" t="str">
        <f>IF(OR(G54&gt;=0.2,G54&lt;=-0.2),"超过20%","")</f>
        <v/>
      </c>
      <c r="I54" s="626">
        <f>IF(I49&lt;E49,E49/I49-1,I49/E49-1)</f>
        <v>0.18028385116992718</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7.5717017208412951E-2</v>
      </c>
      <c r="F55" s="627" t="str">
        <f>IF(OR(E55&gt;=0.3,E55&lt;=-0.3),"超过30%","")</f>
        <v/>
      </c>
      <c r="G55" s="626">
        <f>IF(G48&lt;I48,I48/G48-1,G48/I48-1)</f>
        <v>0.14722753346080308</v>
      </c>
      <c r="H55" s="627" t="str">
        <f>IF(OR(G55&gt;=0.3,G55&lt;=-0.3),"超过30%","")</f>
        <v/>
      </c>
      <c r="I55" s="626">
        <f>IF(I48&lt;E48,E48/I48-1,I48/E48-1)</f>
        <v>6.6477070742978928E-2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2295</v>
      </c>
      <c r="E57" s="631" t="s">
        <v>562</v>
      </c>
      <c r="F57" s="632" t="s">
        <v>563</v>
      </c>
      <c r="G57" s="3397" t="s">
        <v>2283</v>
      </c>
      <c r="H57" s="3398"/>
      <c r="I57" s="1556" t="s">
        <v>1723</v>
      </c>
      <c r="J57" s="1556" t="str">
        <f>项目基本情况!F41</f>
        <v>山东省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2788</v>
      </c>
      <c r="C58" s="635">
        <v>1</v>
      </c>
      <c r="D58" s="2229">
        <v>1</v>
      </c>
      <c r="E58" s="635">
        <f>'数据-汇总表'!E8+'数据-汇总表'!E9</f>
        <v>77782.010000000009</v>
      </c>
      <c r="F58" s="636">
        <f t="shared" ref="F58:F67" si="15">ROUND(B58*E58/10000,0)</f>
        <v>21686</v>
      </c>
      <c r="G58" s="3399"/>
      <c r="H58" s="340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1"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0</v>
      </c>
      <c r="C63" s="378">
        <f t="shared" si="16"/>
        <v>0</v>
      </c>
      <c r="D63" s="2230">
        <v>0.25</v>
      </c>
      <c r="E63" s="641">
        <f>'数据-汇总表'!E11</f>
        <v>0</v>
      </c>
      <c r="F63" s="636">
        <f t="shared" si="15"/>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35000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2296</v>
      </c>
      <c r="E68" s="643">
        <f>IF(B48="楼面地价",SUM(E58:E67),'数据-汇总表'!D3)</f>
        <v>112782.01000000001</v>
      </c>
      <c r="F68" s="644">
        <f>IF(B48="楼面地价",SUM(F58:F67),ROUND(C50*E68/10000,0))</f>
        <v>21686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69" t="s">
        <v>2534</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2649</v>
      </c>
      <c r="B73" s="479" t="str">
        <f>"北京市平均增长率"&amp;TEXT(SUMIF(基准地价!N21:N25,A73,基准地价!P21:P25),"0.00%")</f>
        <v>北京市平均增长率2.15%</v>
      </c>
      <c r="C73" s="894">
        <v>100</v>
      </c>
      <c r="D73" s="730">
        <v>100</v>
      </c>
      <c r="E73" s="730">
        <v>100</v>
      </c>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2648</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6" t="s">
        <v>3012</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2550</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2552</v>
      </c>
      <c r="C104" s="2599" t="s">
        <v>2553</v>
      </c>
      <c r="D104" s="2599" t="s">
        <v>2554</v>
      </c>
      <c r="E104" s="2599" t="s">
        <v>2555</v>
      </c>
      <c r="F104" s="2599" t="s">
        <v>2556</v>
      </c>
      <c r="G104" s="2599" t="s">
        <v>2557</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7" t="s">
        <v>3016</v>
      </c>
      <c r="D108" s="3187" t="s">
        <v>3017</v>
      </c>
      <c r="E108" s="3187" t="s">
        <v>3019</v>
      </c>
      <c r="F108" s="3187" t="s">
        <v>3020</v>
      </c>
      <c r="G108" s="3187" t="s">
        <v>3021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98</v>
      </c>
      <c r="D120" s="726">
        <v>100</v>
      </c>
      <c r="E120" s="726">
        <v>98</v>
      </c>
      <c r="F120" s="726">
        <v>96</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9" t="s">
        <v>3111</v>
      </c>
      <c r="D121" s="3199" t="s">
        <v>3113</v>
      </c>
      <c r="E121" s="3199" t="s">
        <v>3114</v>
      </c>
      <c r="F121" s="3199" t="s">
        <v>3115</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7" t="s">
        <v>3116</v>
      </c>
      <c r="D123" s="3187" t="s">
        <v>3117</v>
      </c>
      <c r="E123" s="3187" t="s">
        <v>3118</v>
      </c>
      <c r="F123" s="3199" t="s">
        <v>3119</v>
      </c>
      <c r="G123" s="3199" t="s">
        <v>3120</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6" t="s">
        <v>3121</v>
      </c>
      <c r="D125" s="1376" t="s">
        <v>3123</v>
      </c>
      <c r="E125" s="1376" t="s">
        <v>3124</v>
      </c>
      <c r="F125" s="1376" t="s">
        <v>3125</v>
      </c>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7" t="s">
        <v>3116</v>
      </c>
      <c r="D127" s="3187" t="s">
        <v>3117</v>
      </c>
      <c r="E127" s="3199" t="s">
        <v>3118</v>
      </c>
      <c r="F127" s="3199" t="s">
        <v>3119</v>
      </c>
      <c r="G127" s="3199" t="s">
        <v>3126</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0" sqref="M2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36108</v>
      </c>
      <c r="C2" s="2105"/>
      <c r="D2" s="2105"/>
      <c r="E2" s="2105"/>
      <c r="F2" s="2105"/>
      <c r="G2" s="2105"/>
      <c r="H2" s="2105"/>
      <c r="I2" s="2105"/>
      <c r="J2" s="2105"/>
      <c r="K2" s="2105"/>
    </row>
    <row r="3" spans="1:31" s="2042" customFormat="1" ht="18" customHeight="1">
      <c r="A3" s="2107" t="s">
        <v>1685</v>
      </c>
      <c r="B3" s="2108">
        <f ca="1">ROUND(B2*10000/IF(B1="",'数据-汇总表'!E3,INDIRECT("'数据-取费表'!K"&amp;$K$1)),0)</f>
        <v>2896</v>
      </c>
      <c r="C3" s="2105"/>
      <c r="D3" s="2105"/>
      <c r="E3" s="2105"/>
      <c r="F3" s="2105"/>
      <c r="G3" s="2105"/>
      <c r="H3" s="2105"/>
      <c r="I3" s="2105"/>
      <c r="J3" s="2105"/>
      <c r="K3" s="2105"/>
    </row>
    <row r="4" spans="1:31" s="2042" customFormat="1" ht="18" customHeight="1">
      <c r="A4" s="426" t="s">
        <v>468</v>
      </c>
      <c r="B4" s="427">
        <f ca="1">ROUND(B2*10000/IF(B1="",'数据-汇总表'!D3,INDIRECT("'数据-取费表'!R"&amp;$K$1)),0)</f>
        <v>11456</v>
      </c>
      <c r="C4" s="428"/>
      <c r="D4" s="422"/>
      <c r="E4" s="422"/>
      <c r="F4" s="422"/>
      <c r="G4" s="422"/>
      <c r="H4" s="422"/>
      <c r="I4" s="422"/>
      <c r="J4" s="422"/>
      <c r="K4" s="422"/>
    </row>
    <row r="5" spans="1:31" s="2042" customFormat="1" ht="18" customHeight="1" thickBot="1">
      <c r="A5" s="429"/>
      <c r="B5" s="430">
        <f ca="1">ROUND(B2/(IF(B1="",'数据-汇总表'!D3,INDIRECT("'数据-取费表'!R"&amp;$K$1))/666.67),0)</f>
        <v>764</v>
      </c>
      <c r="C5" s="431" t="s">
        <v>469</v>
      </c>
      <c r="D5" s="422"/>
      <c r="E5" s="422"/>
      <c r="F5" s="422"/>
      <c r="G5" s="422"/>
      <c r="H5" s="422"/>
      <c r="I5" s="422"/>
      <c r="J5" s="422"/>
      <c r="K5" s="422"/>
    </row>
    <row r="6" spans="1:31" s="2112" customFormat="1" ht="16.5" customHeight="1">
      <c r="A6" s="2829" t="s">
        <v>1843</v>
      </c>
      <c r="B6" s="2830"/>
      <c r="C6" s="2831">
        <f ca="1">SUM(C10:K10)</f>
        <v>105571</v>
      </c>
      <c r="D6" s="2830"/>
      <c r="E6" s="2830"/>
      <c r="F6" s="2830"/>
      <c r="G6" s="2830"/>
      <c r="H6" s="2830"/>
      <c r="I6" s="2830"/>
      <c r="J6" s="2830"/>
      <c r="K6" s="2832"/>
    </row>
    <row r="7" spans="1:31" s="2114" customFormat="1" ht="15">
      <c r="A7" s="2833" t="s">
        <v>470</v>
      </c>
      <c r="B7" s="2834" t="s">
        <v>471</v>
      </c>
      <c r="C7" s="436" t="s">
        <v>2994</v>
      </c>
      <c r="D7" s="436" t="s">
        <v>35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 ca="1">不动产收益法!B3</f>
        <v>11550</v>
      </c>
      <c r="D8" s="2835">
        <f ca="1">'不动产收益法 (地下车库)'!B3</f>
        <v>1209</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87740.640000000014</v>
      </c>
      <c r="D9" s="441">
        <f>SUMIF('数据-汇总表'!$C19:$C33,'剩余法-待开发'!D7,'数据-汇总表'!$E19:$E33)</f>
        <v>35000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 ca="1">不动产收益法!B2</f>
        <v>101339</v>
      </c>
      <c r="D10" s="3030">
        <f ca="1">'不动产收益法 (地下车库)'!B2</f>
        <v>4232</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33709</v>
      </c>
      <c r="D13" s="2845"/>
      <c r="E13" s="2846"/>
      <c r="F13" s="2847"/>
      <c r="G13" s="2813"/>
      <c r="H13" s="2814"/>
      <c r="I13" s="2814"/>
      <c r="J13" s="2814"/>
      <c r="K13" s="2815"/>
    </row>
    <row r="14" spans="1:31" s="2117" customFormat="1" ht="13.5" customHeight="1">
      <c r="A14" s="2843" t="s">
        <v>1850</v>
      </c>
      <c r="B14" s="2844" t="s">
        <v>480</v>
      </c>
      <c r="C14" s="53">
        <f ca="1">ROUND(C13*F14,0)</f>
        <v>1011</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2494</v>
      </c>
      <c r="D16" s="2845">
        <f ca="1">IF(B1="",'数据-汇总表'!E3,INDIRECT("'数据-取费表'!K"&amp;$K$1)+INDIRECT("'数据-取费表'!S"&amp;$K$1))</f>
        <v>124676.06000000001</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506</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37720</v>
      </c>
      <c r="D18" s="2854"/>
      <c r="E18" s="468"/>
      <c r="F18" s="468"/>
      <c r="G18" s="2817" t="s">
        <v>2432</v>
      </c>
      <c r="H18" s="2818"/>
      <c r="I18" s="2818"/>
      <c r="J18" s="2818"/>
      <c r="K18" s="2819"/>
    </row>
    <row r="19" spans="1:14" s="2117" customFormat="1" ht="13.5" customHeight="1">
      <c r="A19" s="2851" t="s">
        <v>1855</v>
      </c>
      <c r="B19" s="2852" t="s">
        <v>488</v>
      </c>
      <c r="C19" s="2809">
        <f ca="1">ROUND(D19*E19/10000,0)</f>
        <v>0</v>
      </c>
      <c r="D19" s="2855">
        <f ca="1">D16</f>
        <v>124676.06000000001</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1496</v>
      </c>
      <c r="D20" s="2855"/>
      <c r="E20" s="2809"/>
      <c r="F20" s="2856"/>
      <c r="G20" s="3089" t="s">
        <v>3033</v>
      </c>
      <c r="H20" s="2811"/>
      <c r="I20" s="2812" t="s">
        <v>2653</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120</v>
      </c>
      <c r="F21" s="2848"/>
      <c r="G21" s="26"/>
      <c r="H21" s="51"/>
      <c r="I21" s="51"/>
      <c r="J21" s="51"/>
      <c r="K21" s="2820"/>
    </row>
    <row r="22" spans="1:14" s="2117" customFormat="1" ht="13.5" customHeight="1">
      <c r="A22" s="2843" t="s">
        <v>1858</v>
      </c>
      <c r="B22" s="2844" t="s">
        <v>492</v>
      </c>
      <c r="C22" s="53">
        <f ca="1">ROUND(D22*E22/10000,0)</f>
        <v>1496</v>
      </c>
      <c r="D22" s="2845">
        <f ca="1">IF(B1="",'数据-汇总表'!E6,IF(INDIRECT("'数据-取费表'!c"&amp;$K$1)="住宅",INDIRECT("'数据-取费表'!s"&amp;$K$1),INDIRECT("'数据-取费表'!k"&amp;$K$1)+INDIRECT("'数据-取费表'!s"&amp;$K$1)))</f>
        <v>124676.06000000001</v>
      </c>
      <c r="E22" s="53">
        <f>'数据-取费表'!B28</f>
        <v>120</v>
      </c>
      <c r="F22" s="2848"/>
      <c r="G22" s="26"/>
      <c r="H22" s="51"/>
      <c r="I22" s="51"/>
      <c r="J22" s="51"/>
      <c r="K22" s="2820"/>
    </row>
    <row r="23" spans="1:14" s="2117" customFormat="1" ht="13.5" customHeight="1">
      <c r="A23" s="2851" t="s">
        <v>1859</v>
      </c>
      <c r="B23" s="3036" t="s">
        <v>2836</v>
      </c>
      <c r="C23" s="2853">
        <f ca="1">ROUND((C18+C19+C20)*F23,0)</f>
        <v>784</v>
      </c>
      <c r="D23" s="468"/>
      <c r="E23" s="468"/>
      <c r="F23" s="2857">
        <f>'数据-取费表'!B37</f>
        <v>0.02</v>
      </c>
      <c r="G23" s="2813" t="s">
        <v>2433</v>
      </c>
      <c r="H23" s="2814"/>
      <c r="I23" s="2814"/>
      <c r="J23" s="2814"/>
      <c r="K23" s="2815"/>
      <c r="L23" s="2119"/>
      <c r="M23" s="2119"/>
      <c r="N23" s="2119"/>
    </row>
    <row r="24" spans="1:14" s="2117" customFormat="1" ht="13.5" customHeight="1">
      <c r="A24" s="2851" t="s">
        <v>1860</v>
      </c>
      <c r="B24" s="3036" t="s">
        <v>2839</v>
      </c>
      <c r="C24" s="2853">
        <f ca="1">ROUND(C6*F24,0)</f>
        <v>2111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2291</v>
      </c>
      <c r="H25" s="2814"/>
      <c r="I25" s="2814"/>
      <c r="J25" s="2814"/>
      <c r="K25" s="2815"/>
    </row>
    <row r="26" spans="1:14" s="2119" customFormat="1" ht="13.5" customHeight="1">
      <c r="A26" s="2851" t="s">
        <v>1862</v>
      </c>
      <c r="B26" s="3037" t="s">
        <v>2838</v>
      </c>
      <c r="C26" s="2858">
        <f ca="1">C28</f>
        <v>2000</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2000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5630</v>
      </c>
      <c r="D29" s="468"/>
      <c r="E29" s="468"/>
      <c r="F29" s="3038">
        <f>'数据-取费表'!B41</f>
        <v>5.6000000000000001E-2</v>
      </c>
      <c r="G29" s="2822" t="s">
        <v>498</v>
      </c>
      <c r="H29" s="2814"/>
      <c r="I29" s="2814"/>
      <c r="J29" s="2814"/>
      <c r="K29" s="2815"/>
    </row>
    <row r="30" spans="1:14" s="2122" customFormat="1" ht="13.5" customHeight="1">
      <c r="A30" s="1636" t="s">
        <v>1864</v>
      </c>
      <c r="B30" s="2863" t="s">
        <v>500</v>
      </c>
      <c r="C30" s="2858">
        <f ca="1">C31</f>
        <v>49741</v>
      </c>
      <c r="D30" s="477">
        <f ca="1">C32</f>
        <v>0.12909999999999999</v>
      </c>
      <c r="E30" s="469" t="s">
        <v>495</v>
      </c>
      <c r="F30" s="471"/>
      <c r="G30" s="2821" t="s">
        <v>2975</v>
      </c>
      <c r="H30" s="2814"/>
      <c r="I30" s="2814"/>
      <c r="J30" s="2814"/>
      <c r="K30" s="2815"/>
    </row>
    <row r="31" spans="1:14" s="2121" customFormat="1" ht="13.5" customHeight="1">
      <c r="A31" s="803" t="s">
        <v>1857</v>
      </c>
      <c r="B31" s="2859"/>
      <c r="C31" s="450">
        <f ca="1">C18+C19+C20+C23+C24+C26+C29</f>
        <v>49741</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8001</v>
      </c>
      <c r="D33" s="467">
        <f ca="1">C34</f>
        <v>0.19550000000000001</v>
      </c>
      <c r="E33" s="469" t="s">
        <v>495</v>
      </c>
      <c r="F33" s="479">
        <f ca="1">IF(B1="",'数据-取费表'!Q16,INDIRECT("'数据-取费表'!q"&amp;$K$1))</f>
        <v>0.19</v>
      </c>
      <c r="G33" s="2817"/>
      <c r="H33" s="2818"/>
      <c r="I33" s="2818"/>
      <c r="J33" s="2818"/>
      <c r="K33" s="2819"/>
    </row>
    <row r="34" spans="1:11" s="2124" customFormat="1" ht="13.5" customHeight="1">
      <c r="A34" s="375" t="s">
        <v>1857</v>
      </c>
      <c r="B34" s="2864" t="s">
        <v>501</v>
      </c>
      <c r="C34" s="472">
        <f ca="1">ROUND((1+C25)*F33,4)</f>
        <v>0.19550000000000001</v>
      </c>
      <c r="D34" s="472"/>
      <c r="E34" s="473"/>
      <c r="F34" s="480"/>
      <c r="G34" s="261" t="s">
        <v>2292</v>
      </c>
      <c r="H34" s="2816"/>
      <c r="I34" s="2816"/>
      <c r="J34" s="2816"/>
      <c r="K34" s="279"/>
    </row>
    <row r="35" spans="1:11" s="2124" customFormat="1" ht="13.5" customHeight="1" thickBot="1">
      <c r="A35" s="1637" t="s">
        <v>1858</v>
      </c>
      <c r="B35" s="3034" t="s">
        <v>2841</v>
      </c>
      <c r="C35" s="1629">
        <f ca="1">ROUND((C18+C19+C20+C23+C24)*F33,0)</f>
        <v>8001</v>
      </c>
      <c r="D35" s="1630"/>
      <c r="E35" s="2865"/>
      <c r="F35" s="1631"/>
      <c r="G35" s="2823"/>
      <c r="H35" s="2824"/>
      <c r="I35" s="2824"/>
      <c r="J35" s="2824"/>
      <c r="K35" s="2825"/>
    </row>
    <row r="36" spans="1:11" s="2086" customFormat="1" ht="13.5" customHeight="1" thickBot="1">
      <c r="A36" s="284" t="s">
        <v>1845</v>
      </c>
      <c r="B36" s="2827"/>
      <c r="C36" s="2866">
        <f ca="1">ROUND((C6-C30-C33)/(1+D30+D33),0)</f>
        <v>36108</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2" t="str">
        <f>项目基本情况!B1</f>
        <v>山东省青岛市城阳街道大北曲后社区青岛北曲后汇豪置业有限公司出让国有建设用地使用权抵押价格预评估</v>
      </c>
      <c r="C37" s="3202"/>
      <c r="D37" s="3202"/>
      <c r="E37" s="3202"/>
      <c r="F37" s="3202"/>
      <c r="G37" s="3202"/>
      <c r="H37" s="3202"/>
      <c r="I37" s="3202"/>
    </row>
    <row r="38" spans="1:9">
      <c r="A38" s="1657"/>
      <c r="B38" s="1657"/>
    </row>
    <row r="39" spans="1:9">
      <c r="A39" s="1655" t="s">
        <v>1902</v>
      </c>
      <c r="B39" s="1655" t="s">
        <v>2048</v>
      </c>
    </row>
    <row r="40" spans="1:9">
      <c r="A40" s="1655"/>
      <c r="B40" s="1655" t="str">
        <f>项目基本情况!B5</f>
        <v>青岛北曲后汇豪置业有限公司</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吴薇、赵雯</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2654</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33709</v>
      </c>
      <c r="D13" s="451"/>
      <c r="E13" s="365"/>
      <c r="F13" s="452"/>
      <c r="G13" s="444"/>
      <c r="H13" s="447"/>
      <c r="I13" s="447"/>
      <c r="J13" s="447"/>
      <c r="K13" s="448"/>
    </row>
    <row r="14" spans="1:41" s="2117" customFormat="1" ht="13.5" customHeight="1">
      <c r="A14" s="1634" t="s">
        <v>1850</v>
      </c>
      <c r="B14" s="449" t="s">
        <v>480</v>
      </c>
      <c r="C14" s="53">
        <f ca="1">ROUND(C13*F14,0)</f>
        <v>1011</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2494</v>
      </c>
      <c r="D16" s="451">
        <f ca="1">IF(B1="",'数据-汇总表'!E3,INDIRECT("'数据-取费表'!K"&amp;$K$1)+INDIRECT("'数据-取费表'!S"&amp;$K$1))</f>
        <v>124676.06000000001</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506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37720</v>
      </c>
      <c r="D18" s="461"/>
      <c r="E18" s="462"/>
      <c r="F18" s="462"/>
      <c r="G18" s="1327" t="s">
        <v>2434</v>
      </c>
      <c r="H18" s="447"/>
      <c r="I18" s="447"/>
      <c r="J18" s="447"/>
      <c r="K18" s="448"/>
    </row>
    <row r="19" spans="1:14" s="2120" customFormat="1" ht="13.5" customHeight="1">
      <c r="A19" s="1635" t="s">
        <v>1855</v>
      </c>
      <c r="B19" s="459" t="s">
        <v>493</v>
      </c>
      <c r="C19" s="460">
        <f ca="1">ROUND(C18*F19,0)</f>
        <v>754</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1828</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4" t="s">
        <v>1849</v>
      </c>
      <c r="B22" s="1328" t="s">
        <v>2437</v>
      </c>
      <c r="C22" s="487">
        <f ca="1">ROUND(IF('数据-取费表'!B22&lt;=1,(C18+C19)*F21*'数据-取费表'!B20/2,(C18+C19)*(POWER((1+F21),'数据-取费表'!B20/2)-1)),0)</f>
        <v>1828</v>
      </c>
      <c r="D22" s="472"/>
      <c r="E22" s="473"/>
      <c r="F22" s="474"/>
      <c r="G22" s="2568"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33" t="s">
        <v>2834</v>
      </c>
      <c r="C24" s="478">
        <f ca="1">C25</f>
        <v>7310</v>
      </c>
      <c r="D24" s="489">
        <f ca="1">C26</f>
        <v>3.8E-3</v>
      </c>
      <c r="E24" s="469" t="s">
        <v>507</v>
      </c>
      <c r="F24" s="479">
        <f ca="1">IF(B1="",'数据-取费表'!Q16,INDIRECT("'数据-取费表'!q"&amp;$K$1))</f>
        <v>0.19</v>
      </c>
      <c r="G24" s="444"/>
      <c r="H24" s="447"/>
      <c r="I24" s="447"/>
      <c r="J24" s="447"/>
      <c r="K24" s="448"/>
    </row>
    <row r="25" spans="1:14" s="2121" customFormat="1" ht="13.5" customHeight="1">
      <c r="A25" s="1634" t="s">
        <v>1849</v>
      </c>
      <c r="B25" s="1328" t="s">
        <v>2438</v>
      </c>
      <c r="C25" s="490">
        <f ca="1">ROUND((C18+C19)*F24,0)</f>
        <v>7310</v>
      </c>
      <c r="D25" s="472"/>
      <c r="E25" s="473"/>
      <c r="F25" s="480"/>
      <c r="G25" s="1326" t="s">
        <v>2435</v>
      </c>
      <c r="H25" s="457"/>
      <c r="I25" s="457"/>
      <c r="J25" s="457"/>
      <c r="K25" s="458"/>
    </row>
    <row r="26" spans="1:14" s="2121" customFormat="1" ht="13.5" customHeight="1">
      <c r="A26" s="1634" t="s">
        <v>1850</v>
      </c>
      <c r="B26" s="1328" t="s">
        <v>509</v>
      </c>
      <c r="C26" s="491">
        <f ca="1">ROUND(F20*F24,4)</f>
        <v>3.8E-3</v>
      </c>
      <c r="D26" s="472"/>
      <c r="E26" s="481"/>
      <c r="F26" s="480"/>
      <c r="G26" s="1326" t="s">
        <v>510</v>
      </c>
      <c r="H26" s="457"/>
      <c r="I26" s="457"/>
      <c r="J26" s="457"/>
      <c r="K26" s="458"/>
    </row>
    <row r="27" spans="1:14" s="2121" customFormat="1" ht="13.5" customHeight="1">
      <c r="A27" s="1638" t="s">
        <v>1868</v>
      </c>
      <c r="B27" s="459" t="s">
        <v>511</v>
      </c>
      <c r="C27" s="3032">
        <f>ROUND(F27/(1+'数据-取费表'!C42),4)</f>
        <v>5.33E-2</v>
      </c>
      <c r="D27" s="462" t="s">
        <v>2832</v>
      </c>
      <c r="E27" s="462"/>
      <c r="F27" s="466">
        <f>'数据-取费表'!B41</f>
        <v>5.6000000000000001E-2</v>
      </c>
      <c r="G27" s="1961" t="s">
        <v>2293</v>
      </c>
      <c r="H27" s="447"/>
      <c r="I27" s="447"/>
      <c r="J27" s="447"/>
      <c r="K27" s="448"/>
    </row>
    <row r="28" spans="1:14" s="2122" customFormat="1" ht="13.5" customHeight="1">
      <c r="A28" s="1638" t="s">
        <v>1869</v>
      </c>
      <c r="B28" s="476" t="s">
        <v>512</v>
      </c>
      <c r="C28" s="470">
        <f ca="1">ROUND((C18+C19+C21+C24)/(1-C20-D21-D24-C27),0)</f>
        <v>51646</v>
      </c>
      <c r="D28" s="477"/>
      <c r="E28" s="469"/>
      <c r="F28" s="471"/>
      <c r="G28" s="1327" t="s">
        <v>2436</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6" t="s">
        <v>522</v>
      </c>
      <c r="D6" s="3377"/>
      <c r="E6" s="3411" t="s">
        <v>523</v>
      </c>
      <c r="F6" s="3412"/>
      <c r="G6" s="3376" t="s">
        <v>524</v>
      </c>
      <c r="H6" s="3377"/>
      <c r="I6" s="3376" t="s">
        <v>525</v>
      </c>
      <c r="J6" s="3377"/>
      <c r="K6" s="514" t="s">
        <v>526</v>
      </c>
      <c r="L6" s="2134"/>
      <c r="M6" s="2135"/>
      <c r="N6" s="2135"/>
      <c r="O6" s="2135"/>
      <c r="P6" s="3378" t="s">
        <v>527</v>
      </c>
      <c r="Q6" s="3379"/>
      <c r="R6" s="3384" t="s">
        <v>523</v>
      </c>
      <c r="S6" s="3385"/>
      <c r="T6" s="3384" t="s">
        <v>524</v>
      </c>
      <c r="U6" s="3385"/>
      <c r="V6" s="3371" t="s">
        <v>525</v>
      </c>
      <c r="W6" s="3371"/>
      <c r="X6" s="1568"/>
      <c r="Y6" s="3384" t="s">
        <v>527</v>
      </c>
      <c r="Z6" s="3385"/>
      <c r="AA6" s="3373" t="s">
        <v>523</v>
      </c>
      <c r="AB6" s="3374" t="s">
        <v>524</v>
      </c>
      <c r="AC6" s="3373" t="s">
        <v>525</v>
      </c>
    </row>
    <row r="7" spans="1:29" ht="15">
      <c r="A7" s="515"/>
      <c r="B7" s="516"/>
      <c r="C7" s="3392" t="s">
        <v>2930</v>
      </c>
      <c r="D7" s="3393"/>
      <c r="E7" s="3413" t="s">
        <v>2931</v>
      </c>
      <c r="F7" s="3414"/>
      <c r="G7" s="3392" t="s">
        <v>2932</v>
      </c>
      <c r="H7" s="3393"/>
      <c r="I7" s="3392" t="s">
        <v>2933</v>
      </c>
      <c r="J7" s="3393"/>
      <c r="K7" s="514"/>
      <c r="L7" s="2134"/>
      <c r="M7" s="2135"/>
      <c r="N7" s="2135"/>
      <c r="O7" s="2135"/>
      <c r="P7" s="3380"/>
      <c r="Q7" s="3381"/>
      <c r="R7" s="3386"/>
      <c r="S7" s="3387"/>
      <c r="T7" s="3386"/>
      <c r="U7" s="3387"/>
      <c r="V7" s="3371"/>
      <c r="W7" s="3371"/>
      <c r="X7" s="1568"/>
      <c r="Y7" s="3386"/>
      <c r="Z7" s="3387"/>
      <c r="AA7" s="3374"/>
      <c r="AB7" s="3374"/>
      <c r="AC7" s="3374"/>
    </row>
    <row r="8" spans="1:29" ht="15.75" thickBot="1">
      <c r="A8" s="517"/>
      <c r="B8" s="518"/>
      <c r="C8" s="3390" t="s">
        <v>2934</v>
      </c>
      <c r="D8" s="3391"/>
      <c r="E8" s="3409" t="s">
        <v>2934</v>
      </c>
      <c r="F8" s="3410"/>
      <c r="G8" s="3390" t="s">
        <v>2934</v>
      </c>
      <c r="H8" s="3391"/>
      <c r="I8" s="3390" t="s">
        <v>2934</v>
      </c>
      <c r="J8" s="3391"/>
      <c r="K8" s="514" t="s">
        <v>528</v>
      </c>
      <c r="L8" s="2134"/>
      <c r="M8" s="2135"/>
      <c r="N8" s="2135"/>
      <c r="O8" s="2135"/>
      <c r="P8" s="3382"/>
      <c r="Q8" s="3383"/>
      <c r="R8" s="3386"/>
      <c r="S8" s="3387"/>
      <c r="T8" s="3388"/>
      <c r="U8" s="3389"/>
      <c r="V8" s="3371"/>
      <c r="W8" s="3371"/>
      <c r="X8" s="1568"/>
      <c r="Y8" s="3388"/>
      <c r="Z8" s="3389"/>
      <c r="AA8" s="3375"/>
      <c r="AB8" s="3375"/>
      <c r="AC8" s="3375"/>
    </row>
    <row r="9" spans="1:29" s="1220" customFormat="1" ht="15.75" thickBot="1">
      <c r="A9" s="2913"/>
      <c r="B9" s="2920" t="s">
        <v>529</v>
      </c>
      <c r="C9" s="519">
        <f>'数据-取费表'!B2</f>
        <v>43342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2" t="s">
        <v>530</v>
      </c>
      <c r="Q9" s="3404"/>
      <c r="R9" s="1569" t="s">
        <v>8</v>
      </c>
      <c r="S9" s="1570">
        <f t="shared" ref="S9:S17" si="0">F9</f>
        <v>0</v>
      </c>
      <c r="T9" s="1569" t="s">
        <v>8</v>
      </c>
      <c r="U9" s="1570">
        <f t="shared" ref="U9:U17" si="1">H9</f>
        <v>0</v>
      </c>
      <c r="V9" s="1569" t="s">
        <v>8</v>
      </c>
      <c r="W9" s="1570">
        <f t="shared" ref="W9:W17" si="2">J9</f>
        <v>0</v>
      </c>
      <c r="X9" s="1571"/>
      <c r="Y9" s="3402" t="s">
        <v>530</v>
      </c>
      <c r="Z9" s="3403"/>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2" t="s">
        <v>533</v>
      </c>
      <c r="Q10" s="3403"/>
      <c r="R10" s="1569" t="s">
        <v>8</v>
      </c>
      <c r="S10" s="1570">
        <f t="shared" si="0"/>
        <v>0</v>
      </c>
      <c r="T10" s="1569" t="s">
        <v>8</v>
      </c>
      <c r="U10" s="1570">
        <f t="shared" si="1"/>
        <v>0</v>
      </c>
      <c r="V10" s="1569" t="s">
        <v>8</v>
      </c>
      <c r="W10" s="1570">
        <f t="shared" si="2"/>
        <v>0</v>
      </c>
      <c r="X10" s="1571"/>
      <c r="Y10" s="3402" t="s">
        <v>533</v>
      </c>
      <c r="Z10" s="3403"/>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0" t="s">
        <v>535</v>
      </c>
      <c r="Q11" s="1151" t="str">
        <f t="shared" ref="Q11:Q17" si="6">B11</f>
        <v>用途</v>
      </c>
      <c r="R11" s="1569" t="s">
        <v>8</v>
      </c>
      <c r="S11" s="1570">
        <f t="shared" si="0"/>
        <v>100</v>
      </c>
      <c r="T11" s="1569" t="s">
        <v>8</v>
      </c>
      <c r="U11" s="1570">
        <f t="shared" si="1"/>
        <v>100</v>
      </c>
      <c r="V11" s="1569" t="s">
        <v>8</v>
      </c>
      <c r="W11" s="1570">
        <f t="shared" si="2"/>
        <v>100</v>
      </c>
      <c r="X11" s="1571"/>
      <c r="Y11" s="3316"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70"/>
      <c r="Q12" s="1151" t="str">
        <f t="shared" si="6"/>
        <v>土地使用年限（年）</v>
      </c>
      <c r="R12" s="1569" t="s">
        <v>8</v>
      </c>
      <c r="S12" s="1570">
        <f t="shared" si="0"/>
        <v>108</v>
      </c>
      <c r="T12" s="1569" t="s">
        <v>8</v>
      </c>
      <c r="U12" s="1570">
        <f t="shared" si="1"/>
        <v>108</v>
      </c>
      <c r="V12" s="1569" t="s">
        <v>8</v>
      </c>
      <c r="W12" s="1570">
        <f t="shared" si="2"/>
        <v>108</v>
      </c>
      <c r="X12" s="1571"/>
      <c r="Y12" s="3316"/>
      <c r="Z12" s="1150" t="str">
        <f t="shared" si="7"/>
        <v>土地使用年限（年）</v>
      </c>
      <c r="AA12" s="1572">
        <f t="shared" si="3"/>
        <v>0.92592592592592593</v>
      </c>
      <c r="AB12" s="1572">
        <f t="shared" si="4"/>
        <v>0.92592592592592593</v>
      </c>
      <c r="AC12" s="1572">
        <f t="shared" si="5"/>
        <v>0.92592592592592593</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0"/>
      <c r="Q13" s="1151" t="str">
        <f t="shared" si="6"/>
        <v>容积率</v>
      </c>
      <c r="R13" s="1569" t="s">
        <v>8</v>
      </c>
      <c r="S13" s="1570" t="e">
        <f t="shared" si="0"/>
        <v>#N/A</v>
      </c>
      <c r="T13" s="1569" t="s">
        <v>8</v>
      </c>
      <c r="U13" s="1570" t="e">
        <f t="shared" si="1"/>
        <v>#N/A</v>
      </c>
      <c r="V13" s="1569" t="s">
        <v>8</v>
      </c>
      <c r="W13" s="1570" t="e">
        <f t="shared" si="2"/>
        <v>#N/A</v>
      </c>
      <c r="X13" s="1571"/>
      <c r="Y13" s="3316"/>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0"/>
      <c r="Q15" s="1151">
        <f t="shared" si="6"/>
        <v>111</v>
      </c>
      <c r="R15" s="1569" t="s">
        <v>8</v>
      </c>
      <c r="S15" s="1570">
        <f t="shared" si="0"/>
        <v>100</v>
      </c>
      <c r="T15" s="1569" t="s">
        <v>8</v>
      </c>
      <c r="U15" s="1570">
        <f t="shared" si="1"/>
        <v>100</v>
      </c>
      <c r="V15" s="1569" t="s">
        <v>8</v>
      </c>
      <c r="W15" s="1570">
        <f t="shared" si="2"/>
        <v>100</v>
      </c>
      <c r="X15" s="1571"/>
      <c r="Y15" s="3316"/>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0"/>
      <c r="Q16" s="1151">
        <f t="shared" si="6"/>
        <v>111</v>
      </c>
      <c r="R16" s="1569" t="s">
        <v>8</v>
      </c>
      <c r="S16" s="1570">
        <f t="shared" si="0"/>
        <v>100</v>
      </c>
      <c r="T16" s="1569" t="s">
        <v>8</v>
      </c>
      <c r="U16" s="1570">
        <f t="shared" si="1"/>
        <v>100</v>
      </c>
      <c r="V16" s="1569" t="s">
        <v>8</v>
      </c>
      <c r="W16" s="1570">
        <f t="shared" si="2"/>
        <v>100</v>
      </c>
      <c r="X16" s="1571"/>
      <c r="Y16" s="3316"/>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5" t="s">
        <v>540</v>
      </c>
      <c r="Q17" s="1573" t="str">
        <f t="shared" si="6"/>
        <v>产业集聚程度</v>
      </c>
      <c r="R17" s="1574" t="s">
        <v>8</v>
      </c>
      <c r="S17" s="1575">
        <f t="shared" si="0"/>
        <v>100</v>
      </c>
      <c r="T17" s="1574" t="s">
        <v>8</v>
      </c>
      <c r="U17" s="1575">
        <f t="shared" si="1"/>
        <v>100</v>
      </c>
      <c r="V17" s="1574" t="s">
        <v>8</v>
      </c>
      <c r="W17" s="1575">
        <f t="shared" si="2"/>
        <v>100</v>
      </c>
      <c r="X17" s="1568"/>
      <c r="Y17" s="340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6"/>
      <c r="Q18" s="1573"/>
      <c r="R18" s="1574"/>
      <c r="S18" s="1575"/>
      <c r="T18" s="1574"/>
      <c r="U18" s="1575"/>
      <c r="V18" s="1574"/>
      <c r="W18" s="1575"/>
      <c r="X18" s="1568"/>
      <c r="Y18" s="340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6"/>
      <c r="Q19" s="1573" t="str">
        <f>B19</f>
        <v>交通便捷度</v>
      </c>
      <c r="R19" s="1574" t="s">
        <v>8</v>
      </c>
      <c r="S19" s="1575">
        <f>F19</f>
        <v>100</v>
      </c>
      <c r="T19" s="1574" t="s">
        <v>8</v>
      </c>
      <c r="U19" s="1575">
        <f>H19</f>
        <v>100</v>
      </c>
      <c r="V19" s="1574" t="s">
        <v>8</v>
      </c>
      <c r="W19" s="1575">
        <f>J19</f>
        <v>100</v>
      </c>
      <c r="X19" s="1568"/>
      <c r="Y19" s="340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6"/>
      <c r="Q20" s="1573"/>
      <c r="R20" s="1574"/>
      <c r="S20" s="1575"/>
      <c r="T20" s="1574"/>
      <c r="U20" s="1575"/>
      <c r="V20" s="1574"/>
      <c r="W20" s="1575"/>
      <c r="X20" s="1568"/>
      <c r="Y20" s="340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6"/>
      <c r="Q21" s="1573" t="str">
        <f t="shared" ref="Q21:Q35" si="8">B21</f>
        <v>区域土地利用方向</v>
      </c>
      <c r="R21" s="1574" t="s">
        <v>8</v>
      </c>
      <c r="S21" s="1575">
        <f>F21</f>
        <v>100</v>
      </c>
      <c r="T21" s="1574" t="s">
        <v>8</v>
      </c>
      <c r="U21" s="1575">
        <f>H21</f>
        <v>100</v>
      </c>
      <c r="V21" s="1574" t="s">
        <v>8</v>
      </c>
      <c r="W21" s="1575">
        <f>J21</f>
        <v>100</v>
      </c>
      <c r="X21" s="1568"/>
      <c r="Y21" s="340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6"/>
      <c r="Q22" s="1573"/>
      <c r="R22" s="1574"/>
      <c r="S22" s="1575"/>
      <c r="T22" s="1574"/>
      <c r="U22" s="1575"/>
      <c r="V22" s="1574"/>
      <c r="W22" s="1575"/>
      <c r="X22" s="1568"/>
      <c r="Y22" s="340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6"/>
      <c r="Q23" s="1573" t="str">
        <f t="shared" si="8"/>
        <v>环境状况</v>
      </c>
      <c r="R23" s="1574" t="s">
        <v>8</v>
      </c>
      <c r="S23" s="1575">
        <f>F23</f>
        <v>100</v>
      </c>
      <c r="T23" s="1574" t="s">
        <v>8</v>
      </c>
      <c r="U23" s="1575">
        <f>H23</f>
        <v>100</v>
      </c>
      <c r="V23" s="1574" t="s">
        <v>8</v>
      </c>
      <c r="W23" s="1575">
        <f>J23</f>
        <v>100</v>
      </c>
      <c r="X23" s="1568"/>
      <c r="Y23" s="340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6"/>
      <c r="Q24" s="1573"/>
      <c r="R24" s="1574"/>
      <c r="S24" s="1575"/>
      <c r="T24" s="1574"/>
      <c r="U24" s="1575"/>
      <c r="V24" s="1574"/>
      <c r="W24" s="1575"/>
      <c r="X24" s="1568"/>
      <c r="Y24" s="3406"/>
      <c r="Z24" s="1576"/>
      <c r="AA24" s="1577">
        <v>1</v>
      </c>
      <c r="AB24" s="1577">
        <v>1</v>
      </c>
      <c r="AC24" s="1577">
        <v>1</v>
      </c>
    </row>
    <row r="25" spans="1:29" s="1220" customFormat="1" ht="42.75">
      <c r="A25" s="577"/>
      <c r="B25" s="2594"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6"/>
      <c r="Q25" s="1151" t="str">
        <f t="shared" si="8"/>
        <v>公共配套设施</v>
      </c>
      <c r="R25" s="1569" t="s">
        <v>8</v>
      </c>
      <c r="S25" s="1570">
        <f>F25</f>
        <v>100</v>
      </c>
      <c r="T25" s="1569" t="s">
        <v>8</v>
      </c>
      <c r="U25" s="1570">
        <f>H25</f>
        <v>100</v>
      </c>
      <c r="V25" s="1569" t="s">
        <v>8</v>
      </c>
      <c r="W25" s="1570">
        <f>J25</f>
        <v>100</v>
      </c>
      <c r="X25" s="1571"/>
      <c r="Y25" s="3406"/>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6"/>
      <c r="M26" s="2137"/>
      <c r="N26" s="2137"/>
      <c r="O26" s="2138"/>
      <c r="P26" s="3406"/>
      <c r="Q26" s="1151"/>
      <c r="R26" s="1569"/>
      <c r="S26" s="1570"/>
      <c r="T26" s="1569"/>
      <c r="U26" s="1570"/>
      <c r="V26" s="1569"/>
      <c r="W26" s="1570"/>
      <c r="X26" s="1571"/>
      <c r="Y26" s="3406"/>
      <c r="Z26" s="1150"/>
      <c r="AA26" s="1572">
        <v>1</v>
      </c>
      <c r="AB26" s="1572">
        <v>1</v>
      </c>
      <c r="AC26" s="1572">
        <v>1</v>
      </c>
    </row>
    <row r="27" spans="1:29" s="1220" customFormat="1" ht="28.5">
      <c r="A27" s="577"/>
      <c r="B27" s="2594"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6"/>
      <c r="Q27" s="2579" t="str">
        <f t="shared" ref="Q27" si="9">B27</f>
        <v>基础设施水平</v>
      </c>
      <c r="R27" s="1569" t="s">
        <v>8</v>
      </c>
      <c r="S27" s="1570">
        <f>F27</f>
        <v>100</v>
      </c>
      <c r="T27" s="1569" t="s">
        <v>8</v>
      </c>
      <c r="U27" s="1570">
        <f>H27</f>
        <v>100</v>
      </c>
      <c r="V27" s="1569" t="s">
        <v>8</v>
      </c>
      <c r="W27" s="1570">
        <f>J27</f>
        <v>100</v>
      </c>
      <c r="X27" s="1571"/>
      <c r="Y27" s="3406"/>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6"/>
      <c r="M28" s="2137"/>
      <c r="N28" s="2137"/>
      <c r="O28" s="2138"/>
      <c r="P28" s="3406"/>
      <c r="Q28" s="2579"/>
      <c r="R28" s="1569"/>
      <c r="S28" s="1570"/>
      <c r="T28" s="1569"/>
      <c r="U28" s="1570"/>
      <c r="V28" s="1569"/>
      <c r="W28" s="1570"/>
      <c r="X28" s="1571"/>
      <c r="Y28" s="3406"/>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6"/>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6"/>
      <c r="Q30" s="1573" t="str">
        <f t="shared" si="8"/>
        <v>毗邻道路的类型与等级</v>
      </c>
      <c r="R30" s="1574" t="s">
        <v>8</v>
      </c>
      <c r="S30" s="1575">
        <f t="shared" si="10"/>
        <v>100</v>
      </c>
      <c r="T30" s="1574" t="s">
        <v>8</v>
      </c>
      <c r="U30" s="1575">
        <f t="shared" si="11"/>
        <v>100</v>
      </c>
      <c r="V30" s="1574" t="s">
        <v>8</v>
      </c>
      <c r="W30" s="1575">
        <f t="shared" si="12"/>
        <v>100</v>
      </c>
      <c r="X30" s="1568"/>
      <c r="Y30" s="340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6"/>
      <c r="Q31" s="1573"/>
      <c r="R31" s="1574"/>
      <c r="S31" s="1575"/>
      <c r="T31" s="1574"/>
      <c r="U31" s="1575"/>
      <c r="V31" s="1574"/>
      <c r="W31" s="1575"/>
      <c r="X31" s="1568"/>
      <c r="Y31" s="3406"/>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6"/>
      <c r="Q32" s="1573" t="str">
        <f t="shared" si="8"/>
        <v>土地级别</v>
      </c>
      <c r="R32" s="1574" t="s">
        <v>8</v>
      </c>
      <c r="S32" s="1575">
        <f t="shared" si="10"/>
        <v>100</v>
      </c>
      <c r="T32" s="1574" t="s">
        <v>8</v>
      </c>
      <c r="U32" s="1575">
        <f t="shared" si="11"/>
        <v>100</v>
      </c>
      <c r="V32" s="1574" t="s">
        <v>8</v>
      </c>
      <c r="W32" s="1575">
        <f t="shared" si="12"/>
        <v>100</v>
      </c>
      <c r="X32" s="1568"/>
      <c r="Y32" s="340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6"/>
      <c r="Q33" s="1573">
        <f t="shared" si="8"/>
        <v>111</v>
      </c>
      <c r="R33" s="1574" t="s">
        <v>8</v>
      </c>
      <c r="S33" s="1575">
        <f t="shared" si="10"/>
        <v>100</v>
      </c>
      <c r="T33" s="1574" t="s">
        <v>8</v>
      </c>
      <c r="U33" s="1575">
        <f t="shared" si="11"/>
        <v>100</v>
      </c>
      <c r="V33" s="1574" t="s">
        <v>8</v>
      </c>
      <c r="W33" s="1575">
        <f t="shared" si="12"/>
        <v>100</v>
      </c>
      <c r="X33" s="1568"/>
      <c r="Y33" s="340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7" t="s">
        <v>550</v>
      </c>
      <c r="Q34" s="1573">
        <f t="shared" si="8"/>
        <v>111</v>
      </c>
      <c r="R34" s="1574" t="s">
        <v>8</v>
      </c>
      <c r="S34" s="1575">
        <f t="shared" si="10"/>
        <v>100</v>
      </c>
      <c r="T34" s="1574" t="s">
        <v>8</v>
      </c>
      <c r="U34" s="1575">
        <f t="shared" si="11"/>
        <v>100</v>
      </c>
      <c r="V34" s="1574" t="s">
        <v>8</v>
      </c>
      <c r="W34" s="1575">
        <f t="shared" si="12"/>
        <v>100</v>
      </c>
      <c r="X34" s="1568"/>
      <c r="Y34" s="3408"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8"/>
      <c r="Q35" s="1573">
        <f t="shared" si="8"/>
        <v>111</v>
      </c>
      <c r="R35" s="1578" t="s">
        <v>8</v>
      </c>
      <c r="S35" s="1579">
        <f t="shared" si="10"/>
        <v>100</v>
      </c>
      <c r="T35" s="1578" t="s">
        <v>8</v>
      </c>
      <c r="U35" s="1579">
        <f t="shared" si="11"/>
        <v>100</v>
      </c>
      <c r="V35" s="1578" t="s">
        <v>8</v>
      </c>
      <c r="W35" s="1579">
        <f t="shared" si="12"/>
        <v>100</v>
      </c>
      <c r="X35" s="1580"/>
      <c r="Y35" s="3408"/>
      <c r="Z35" s="1581">
        <f t="shared" si="13"/>
        <v>111</v>
      </c>
      <c r="AA35" s="1577">
        <f t="shared" si="3"/>
        <v>1</v>
      </c>
      <c r="AB35" s="1577">
        <f t="shared" si="4"/>
        <v>1</v>
      </c>
      <c r="AC35" s="1577">
        <f t="shared" si="5"/>
        <v>1</v>
      </c>
    </row>
    <row r="36" spans="1:29" ht="15">
      <c r="A36" s="2908"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8"/>
      <c r="Q36" s="1573" t="str">
        <f>B36</f>
        <v>宗地面积</v>
      </c>
      <c r="R36" s="1574" t="s">
        <v>8</v>
      </c>
      <c r="S36" s="1575" t="e">
        <f t="shared" si="10"/>
        <v>#N/A</v>
      </c>
      <c r="T36" s="1574" t="s">
        <v>8</v>
      </c>
      <c r="U36" s="1575" t="e">
        <f t="shared" si="11"/>
        <v>#N/A</v>
      </c>
      <c r="V36" s="1574" t="s">
        <v>8</v>
      </c>
      <c r="W36" s="1575" t="e">
        <f t="shared" si="12"/>
        <v>#N/A</v>
      </c>
      <c r="X36" s="1568"/>
      <c r="Y36" s="340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8"/>
      <c r="Q37" s="1573" t="str">
        <f t="shared" ref="Q37:Q42" si="14">B37</f>
        <v>宗地形状</v>
      </c>
      <c r="R37" s="1574" t="s">
        <v>8</v>
      </c>
      <c r="S37" s="1575">
        <f t="shared" si="10"/>
        <v>100</v>
      </c>
      <c r="T37" s="1574" t="s">
        <v>8</v>
      </c>
      <c r="U37" s="1575">
        <f t="shared" si="11"/>
        <v>100</v>
      </c>
      <c r="V37" s="1574" t="s">
        <v>8</v>
      </c>
      <c r="W37" s="1575">
        <f t="shared" si="12"/>
        <v>100</v>
      </c>
      <c r="X37" s="1568"/>
      <c r="Y37" s="3408"/>
      <c r="Z37" s="1576" t="str">
        <f t="shared" si="13"/>
        <v>宗地形状</v>
      </c>
      <c r="AA37" s="1577">
        <f t="shared" si="3"/>
        <v>1</v>
      </c>
      <c r="AB37" s="1577">
        <f t="shared" si="4"/>
        <v>1</v>
      </c>
      <c r="AC37" s="1577">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8"/>
      <c r="Q38" s="1573" t="str">
        <f t="shared" si="14"/>
        <v>宗地开发程度</v>
      </c>
      <c r="R38" s="1569" t="s">
        <v>8</v>
      </c>
      <c r="S38" s="1570">
        <f t="shared" si="10"/>
        <v>100</v>
      </c>
      <c r="T38" s="1569" t="s">
        <v>8</v>
      </c>
      <c r="U38" s="1570">
        <f t="shared" si="11"/>
        <v>100</v>
      </c>
      <c r="V38" s="1569" t="s">
        <v>8</v>
      </c>
      <c r="W38" s="1570">
        <f t="shared" si="12"/>
        <v>100</v>
      </c>
      <c r="X38" s="1571"/>
      <c r="Y38" s="340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8" t="s">
        <v>601</v>
      </c>
      <c r="Q39" s="1573" t="str">
        <f t="shared" si="14"/>
        <v>工程地质条件</v>
      </c>
      <c r="R39" s="1574" t="s">
        <v>8</v>
      </c>
      <c r="S39" s="1575">
        <f t="shared" si="10"/>
        <v>100</v>
      </c>
      <c r="T39" s="1574" t="s">
        <v>8</v>
      </c>
      <c r="U39" s="1575">
        <f t="shared" si="11"/>
        <v>100</v>
      </c>
      <c r="V39" s="1574" t="s">
        <v>8</v>
      </c>
      <c r="W39" s="1575">
        <f t="shared" si="12"/>
        <v>100</v>
      </c>
      <c r="X39" s="1568"/>
      <c r="Y39" s="340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8"/>
      <c r="Q40" s="1573">
        <f t="shared" si="14"/>
        <v>111</v>
      </c>
      <c r="R40" s="1574" t="s">
        <v>8</v>
      </c>
      <c r="S40" s="1575">
        <f t="shared" si="10"/>
        <v>100</v>
      </c>
      <c r="T40" s="1574" t="s">
        <v>8</v>
      </c>
      <c r="U40" s="1575">
        <f t="shared" si="11"/>
        <v>100</v>
      </c>
      <c r="V40" s="1574" t="s">
        <v>8</v>
      </c>
      <c r="W40" s="1575">
        <f t="shared" si="12"/>
        <v>100</v>
      </c>
      <c r="X40" s="1568"/>
      <c r="Y40" s="340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8"/>
      <c r="Q41" s="1573">
        <f t="shared" si="14"/>
        <v>111</v>
      </c>
      <c r="R41" s="1574" t="s">
        <v>8</v>
      </c>
      <c r="S41" s="1575">
        <f t="shared" si="10"/>
        <v>100</v>
      </c>
      <c r="T41" s="1574" t="s">
        <v>8</v>
      </c>
      <c r="U41" s="1575">
        <f t="shared" si="11"/>
        <v>100</v>
      </c>
      <c r="V41" s="1574" t="s">
        <v>8</v>
      </c>
      <c r="W41" s="1575">
        <f t="shared" si="12"/>
        <v>100</v>
      </c>
      <c r="X41" s="1568"/>
      <c r="Y41" s="340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8"/>
      <c r="Q42" s="1573">
        <f t="shared" si="14"/>
        <v>111</v>
      </c>
      <c r="R42" s="1578" t="s">
        <v>8</v>
      </c>
      <c r="S42" s="1579">
        <f t="shared" si="10"/>
        <v>100</v>
      </c>
      <c r="T42" s="1578" t="s">
        <v>8</v>
      </c>
      <c r="U42" s="1579">
        <f t="shared" si="11"/>
        <v>100</v>
      </c>
      <c r="V42" s="1578" t="s">
        <v>8</v>
      </c>
      <c r="W42" s="1579">
        <f t="shared" si="12"/>
        <v>100</v>
      </c>
      <c r="X42" s="1580"/>
      <c r="Y42" s="3408"/>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5"/>
      <c r="M43" s="2135"/>
      <c r="N43" s="2135"/>
      <c r="O43" s="2146"/>
      <c r="P43" s="3370" t="str">
        <f>A43</f>
        <v>成交单价</v>
      </c>
      <c r="Q43" s="3370"/>
      <c r="R43" s="3371">
        <f>E43</f>
        <v>0</v>
      </c>
      <c r="S43" s="3371"/>
      <c r="T43" s="3371">
        <f>G43</f>
        <v>0</v>
      </c>
      <c r="U43" s="3371"/>
      <c r="V43" s="3371">
        <f>I43</f>
        <v>0</v>
      </c>
      <c r="W43" s="3371"/>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5"/>
      <c r="M44" s="2135"/>
      <c r="N44" s="2135"/>
      <c r="O44" s="2146"/>
      <c r="P44" s="3370" t="str">
        <f>A44</f>
        <v>比较价格（元/平方米）</v>
      </c>
      <c r="Q44" s="3370"/>
      <c r="R44" s="3372" t="e">
        <f>ROUND(PRODUCT(R43,AA9:AA42),0)</f>
        <v>#DIV/0!</v>
      </c>
      <c r="S44" s="3372"/>
      <c r="T44" s="3372" t="e">
        <f>ROUND(PRODUCT(T43,AB9:AB42),0)</f>
        <v>#DIV/0!</v>
      </c>
      <c r="U44" s="3372"/>
      <c r="V44" s="3372" t="e">
        <f>ROUND(PRODUCT(V43,AC9:AC42),0)</f>
        <v>#DIV/0!</v>
      </c>
      <c r="W44" s="3372"/>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5"/>
      <c r="M45" s="2135"/>
      <c r="N45" s="2135"/>
      <c r="O45" s="2146"/>
      <c r="P45" s="3367" t="str">
        <f>A45</f>
        <v>估价对象XX用房的比较价格（楼面单价，元/平方米）</v>
      </c>
      <c r="Q45" s="3368"/>
      <c r="R45" s="3369" t="e">
        <f>ROUND(AVERAGE(R44:V44),0)</f>
        <v>#DIV/0!</v>
      </c>
      <c r="S45" s="3369"/>
      <c r="T45" s="3369"/>
      <c r="U45" s="3369"/>
      <c r="V45" s="3369"/>
      <c r="W45" s="336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2295</v>
      </c>
      <c r="E52" s="631" t="s">
        <v>562</v>
      </c>
      <c r="F52" s="1952" t="s">
        <v>563</v>
      </c>
      <c r="G52" s="3415" t="s">
        <v>2286</v>
      </c>
      <c r="H52" s="3416"/>
      <c r="I52" s="1953" t="s">
        <v>1948</v>
      </c>
      <c r="J52" s="1556" t="str">
        <f>项目基本情况!F41</f>
        <v>山东省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77782.010000000009</v>
      </c>
      <c r="F53" s="1951" t="e">
        <f t="shared" ref="F53:F62" si="15">ROUND(B53*E53/10000,0)</f>
        <v>#DIV/0!</v>
      </c>
      <c r="G53" s="3417"/>
      <c r="H53" s="341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19"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1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1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1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35000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2296</v>
      </c>
      <c r="E63" s="643">
        <f>IF(B43="楼面地价",SUM(E53:E62),'数据-汇总表'!D3)</f>
        <v>31518.19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69" t="s">
        <v>2535</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2651</v>
      </c>
      <c r="B68" s="479" t="str">
        <f>"北京市平均增长率"&amp;TEXT(基准地价!P24,"0.00%")</f>
        <v>北京市平均增长率1.28%</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2550</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2552</v>
      </c>
      <c r="C95" s="2599" t="s">
        <v>2553</v>
      </c>
      <c r="D95" s="2599" t="s">
        <v>2554</v>
      </c>
      <c r="E95" s="2599" t="s">
        <v>2555</v>
      </c>
      <c r="F95" s="2599" t="s">
        <v>2556</v>
      </c>
      <c r="G95" s="2599" t="s">
        <v>2557</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3"/>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2.4900000000000002</v>
      </c>
      <c r="H3" s="1415" t="s">
        <v>929</v>
      </c>
      <c r="I3" s="1040">
        <v>8</v>
      </c>
      <c r="J3" s="1411" t="s">
        <v>930</v>
      </c>
      <c r="K3" s="1402"/>
      <c r="L3" s="1886" t="s">
        <v>2242</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2282</v>
      </c>
      <c r="B4" s="2454"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20"/>
      <c r="AE6" s="1420"/>
      <c r="AF6" s="1420"/>
      <c r="AG6" s="1420"/>
      <c r="AH6" s="1420"/>
      <c r="AI6" s="1420"/>
      <c r="AJ6" s="1421"/>
    </row>
    <row r="7" spans="1:39" ht="24">
      <c r="A7" s="3429" t="str">
        <f>IF(E2="商业",IF(C8="不临58条商业街","",2),"")</f>
        <v/>
      </c>
      <c r="B7" s="1428" t="s">
        <v>932</v>
      </c>
      <c r="C7" s="1043" t="e">
        <f>IF(C8="不临58条商业街",1,ROUND(1+(1.6*E8+1.2*E9+0.8*E10+0.4*E11)*C9,4))</f>
        <v>#DIV/0!</v>
      </c>
      <c r="D7" s="1429" t="s">
        <v>933</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2.4900000000000002</v>
      </c>
      <c r="AA7" s="2193"/>
      <c r="AB7" s="2193"/>
      <c r="AC7" s="2194"/>
      <c r="AD7" s="2930"/>
      <c r="AE7" s="2930"/>
      <c r="AF7" s="2930"/>
      <c r="AG7" s="2930"/>
      <c r="AH7" s="2930"/>
      <c r="AI7" s="2930"/>
      <c r="AJ7" s="2931"/>
    </row>
    <row r="8" spans="1:39" ht="15">
      <c r="A8" s="3430"/>
      <c r="B8" s="1415" t="s">
        <v>934</v>
      </c>
      <c r="C8" s="1530"/>
      <c r="D8" s="1045" t="s">
        <v>935</v>
      </c>
      <c r="E8" s="1046" t="e">
        <f>ROUND(C11/E7,4)</f>
        <v>#DIV/0!</v>
      </c>
      <c r="F8" s="1433" t="s">
        <v>936</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1" t="s">
        <v>2785</v>
      </c>
      <c r="X8" s="3422"/>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30"/>
      <c r="B9" s="1415" t="s">
        <v>937</v>
      </c>
      <c r="C9" s="1047">
        <f>SUMIF(修正!C59:C119,C8,修正!E59:E119)</f>
        <v>0</v>
      </c>
      <c r="D9" s="1048" t="s">
        <v>938</v>
      </c>
      <c r="E9" s="1048" t="e">
        <f>ROUND(C11/E7,4)</f>
        <v>#DIV/0!</v>
      </c>
      <c r="F9" s="1433" t="s">
        <v>939</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0" t="s">
        <v>2781</v>
      </c>
      <c r="X9" s="2932" t="s">
        <v>2782</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0"/>
      <c r="B10" s="1415" t="s">
        <v>940</v>
      </c>
      <c r="C10" s="1048">
        <f>SUMIF(修正!C59:C119,C8,修正!F59:F119)</f>
        <v>0</v>
      </c>
      <c r="D10" s="1048" t="s">
        <v>941</v>
      </c>
      <c r="E10" s="1048" t="e">
        <f>ROUND(C11/E7,4)</f>
        <v>#DIV/0!</v>
      </c>
      <c r="F10" s="1433" t="s">
        <v>942</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0"/>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0"/>
      <c r="B11" s="1436" t="s">
        <v>943</v>
      </c>
      <c r="C11" s="1049">
        <f>C10/4</f>
        <v>0</v>
      </c>
      <c r="D11" s="1049" t="s">
        <v>944</v>
      </c>
      <c r="E11" s="1049" t="e">
        <f>ROUND(C11/E7,4)</f>
        <v>#DIV/0!</v>
      </c>
      <c r="F11" s="1437" t="s">
        <v>945</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0" t="s">
        <v>2783</v>
      </c>
      <c r="X11" s="1048" t="s">
        <v>2768</v>
      </c>
      <c r="Y11" s="1654">
        <f>$G$3</f>
        <v>2.4900000000000002</v>
      </c>
      <c r="Z11" s="1654">
        <f t="shared" ref="Z11:AJ11" si="3">$G$3</f>
        <v>2.4900000000000002</v>
      </c>
      <c r="AA11" s="1654">
        <f t="shared" si="3"/>
        <v>2.4900000000000002</v>
      </c>
      <c r="AB11" s="1654">
        <f t="shared" si="3"/>
        <v>2.4900000000000002</v>
      </c>
      <c r="AC11" s="1654">
        <f t="shared" si="3"/>
        <v>2.4900000000000002</v>
      </c>
      <c r="AD11" s="1654">
        <f t="shared" si="3"/>
        <v>2.4900000000000002</v>
      </c>
      <c r="AE11" s="1654">
        <f t="shared" si="3"/>
        <v>2.4900000000000002</v>
      </c>
      <c r="AF11" s="1654">
        <f t="shared" si="3"/>
        <v>2.4900000000000002</v>
      </c>
      <c r="AG11" s="1654">
        <f t="shared" si="3"/>
        <v>2.4900000000000002</v>
      </c>
      <c r="AH11" s="1654">
        <f t="shared" si="3"/>
        <v>2.4900000000000002</v>
      </c>
      <c r="AI11" s="1654">
        <f t="shared" si="3"/>
        <v>2.4900000000000002</v>
      </c>
      <c r="AJ11" s="1654">
        <f t="shared" si="3"/>
        <v>2.4900000000000002</v>
      </c>
    </row>
    <row r="12" spans="1:39" ht="25.5" thickBot="1">
      <c r="A12" s="3429" t="s">
        <v>1872</v>
      </c>
      <c r="B12" s="1440" t="s">
        <v>946</v>
      </c>
      <c r="C12" s="1043">
        <f>ROUND(C15*D15*E15*F15*G15*H15*I15*J15,4)</f>
        <v>1</v>
      </c>
      <c r="D12" s="1441" t="s">
        <v>947</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0"/>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38">
        <v>12</v>
      </c>
      <c r="S13" s="2927"/>
      <c r="T13" s="2938" t="e">
        <f t="shared" si="0"/>
        <v>#DIV/0!</v>
      </c>
      <c r="U13" s="2927"/>
      <c r="V13" s="2938" t="e">
        <f t="shared" si="1"/>
        <v>#DIV/0!</v>
      </c>
      <c r="W13" s="3420"/>
      <c r="X13" s="2935"/>
      <c r="Y13" s="2934">
        <f>(-0.163*(Y12^2)-0.59*Y12+7617)*(10^(-4))/Y11</f>
        <v>0.30590361445783132</v>
      </c>
      <c r="Z13" s="2934">
        <f t="shared" ref="Z13:AJ13" si="5">(-0.163*(Z12^2)-0.59*Z12+7617)*(10^(-4))/Z11</f>
        <v>0.30590361445783132</v>
      </c>
      <c r="AA13" s="2934">
        <f t="shared" si="5"/>
        <v>0.30590361445783132</v>
      </c>
      <c r="AB13" s="2934">
        <f t="shared" si="5"/>
        <v>0.30590361445783132</v>
      </c>
      <c r="AC13" s="2934">
        <f t="shared" si="5"/>
        <v>0.30590361445783132</v>
      </c>
      <c r="AD13" s="2934">
        <f t="shared" si="5"/>
        <v>0.30590361445783132</v>
      </c>
      <c r="AE13" s="2934">
        <f t="shared" si="5"/>
        <v>0.30590361445783132</v>
      </c>
      <c r="AF13" s="2934">
        <f t="shared" si="5"/>
        <v>0.30590361445783132</v>
      </c>
      <c r="AG13" s="2934">
        <f t="shared" si="5"/>
        <v>0.30590361445783132</v>
      </c>
      <c r="AH13" s="2934">
        <f t="shared" si="5"/>
        <v>0.30590361445783132</v>
      </c>
      <c r="AI13" s="2934">
        <f t="shared" si="5"/>
        <v>0.30590361445783132</v>
      </c>
      <c r="AJ13" s="2934">
        <f t="shared" si="5"/>
        <v>0.30590361445783132</v>
      </c>
    </row>
    <row r="14" spans="1:39" ht="12.75" customHeight="1" thickBot="1">
      <c r="A14" s="3431"/>
      <c r="B14" s="1452"/>
      <c r="C14" s="1453"/>
      <c r="D14" s="1454"/>
      <c r="E14" s="1454"/>
      <c r="F14" s="1455"/>
      <c r="G14" s="1456" t="s">
        <v>949</v>
      </c>
      <c r="H14" s="1457"/>
      <c r="I14" s="1458"/>
      <c r="J14" s="1459"/>
      <c r="K14" s="1402"/>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3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38">
        <v>14</v>
      </c>
      <c r="S15" s="2927"/>
      <c r="T15" s="2938" t="e">
        <f t="shared" si="0"/>
        <v>#DIV/0!</v>
      </c>
      <c r="U15" s="2927"/>
      <c r="V15" s="2938" t="e">
        <f t="shared" si="1"/>
        <v>#DIV/0!</v>
      </c>
      <c r="W15" s="2190"/>
      <c r="X15" s="2190"/>
      <c r="Y15" s="2190"/>
      <c r="Z15" s="2190"/>
      <c r="AA15" s="2190"/>
      <c r="AB15" s="2190"/>
      <c r="AC15" s="2191"/>
    </row>
    <row r="16" spans="1:39" ht="24">
      <c r="A16" s="342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3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43342</v>
      </c>
      <c r="H19" s="1476" t="s">
        <v>2938</v>
      </c>
      <c r="I19" s="2785" t="str">
        <f>IF(H19="季度增幅（自定义）",SUMIF(N21:N24,E2,O21:O24),"")</f>
        <v/>
      </c>
      <c r="J19" s="1472"/>
      <c r="K19" s="1482"/>
      <c r="L19" s="3041" t="s">
        <v>2843</v>
      </c>
      <c r="M19" s="3042">
        <f>ROUND(SUMIF(地价!B2:F2,E2,地价!B23:F23),0)</f>
        <v>0</v>
      </c>
      <c r="N19" s="2787" t="s">
        <v>1677</v>
      </c>
      <c r="O19" s="2786">
        <f>ROUNDDOWN(DATEDIF(E19,G19,"M")/3,0)</f>
        <v>18</v>
      </c>
      <c r="P19" s="1597"/>
      <c r="R19" s="2926"/>
      <c r="S19" s="2926"/>
      <c r="T19" s="2926"/>
      <c r="U19" s="2926"/>
      <c r="V19" s="2926"/>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2844</v>
      </c>
      <c r="M20" s="3044">
        <f>ROUND(SUMPRODUCT((地价!A4:A23=YEAR(G19)&amp;"-"&amp;ROUNDUP(MONTH(G19)/3,0))*(地价!B2:F2=E2)*(地价!B4:F23)),0)</f>
        <v>0</v>
      </c>
      <c r="N20" s="2790" t="s">
        <v>2647</v>
      </c>
      <c r="O20" s="2788" t="s">
        <v>2646</v>
      </c>
      <c r="P20" s="2789" t="s">
        <v>2652</v>
      </c>
      <c r="R20" s="2926"/>
      <c r="S20" s="2926"/>
      <c r="T20" s="2926"/>
      <c r="U20" s="2926"/>
      <c r="V20" s="2926"/>
      <c r="W20" s="2196"/>
      <c r="X20" s="2196"/>
      <c r="Y20" s="2196"/>
      <c r="Z20" s="2196"/>
      <c r="AA20" s="2196"/>
      <c r="AB20" s="2196"/>
      <c r="AC20" s="2196"/>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1.49E-2</v>
      </c>
      <c r="R21" s="2926"/>
      <c r="S21" s="2926"/>
      <c r="T21" s="2926"/>
      <c r="U21" s="2926"/>
      <c r="V21" s="2926"/>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1.49E-2</v>
      </c>
      <c r="R22" s="2926"/>
      <c r="S22" s="2926"/>
      <c r="T22" s="2926"/>
      <c r="U22" s="2926"/>
      <c r="V22" s="2926"/>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2.3699999999999999E-2</v>
      </c>
      <c r="R23" s="2926"/>
      <c r="S23" s="2926"/>
      <c r="T23" s="2926"/>
      <c r="U23" s="2926"/>
      <c r="V23" s="2926"/>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1.2800000000000001E-2</v>
      </c>
      <c r="R24" s="2926"/>
      <c r="S24" s="2926"/>
      <c r="T24" s="2926"/>
      <c r="U24" s="2926"/>
      <c r="V24" s="2926"/>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98" t="s">
        <v>2650</v>
      </c>
      <c r="O25" s="2196"/>
      <c r="P25" s="1542">
        <f>SUMPRODUCT((地价!A3:A23=YEAR(G19)&amp;"-"&amp;ROUNDUP(MONTH(G19)/3,0))*(地价!AD2:AH2=N25)*(地价!AD3:AH23))</f>
        <v>2.1499999999999998E-2</v>
      </c>
      <c r="R25" s="2926"/>
      <c r="S25" s="2926"/>
      <c r="T25" s="2926"/>
      <c r="U25" s="2926"/>
      <c r="V25" s="2926"/>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26"/>
      <c r="S26" s="2926"/>
      <c r="T26" s="2926"/>
      <c r="U26" s="2926"/>
      <c r="V26" s="2926"/>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26"/>
      <c r="S27" s="2926"/>
      <c r="T27" s="2926"/>
      <c r="U27" s="2926"/>
      <c r="V27" s="2926"/>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26"/>
      <c r="S28" s="2926"/>
      <c r="T28" s="2926"/>
      <c r="U28" s="2926"/>
      <c r="V28" s="2926"/>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26"/>
      <c r="S29" s="2926"/>
      <c r="T29" s="2926"/>
      <c r="U29" s="2926"/>
      <c r="V29" s="2926"/>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5" t="s">
        <v>2964</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2252</v>
      </c>
      <c r="G46" s="2432" t="s">
        <v>1015</v>
      </c>
      <c r="H46" s="2415" t="s">
        <v>2420</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48">
      <c r="A47" s="1067" t="s">
        <v>1021</v>
      </c>
      <c r="B47" s="2412" t="str">
        <f>估价对象房地状况!C16</f>
        <v>估价对象位于青岛市城阳区，周边商业氛围较成熟，人流量较大，商业繁华度较好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估价对象周边道路状况较好、公共交通通达情况较好、停车便捷程度较好，综合评价交通便捷度较好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09" t="str">
        <f>估价对象房地状况!C19</f>
        <v>一般</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98" t="s">
        <v>2940</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09" t="str">
        <f>估价对象房地状况!C24</f>
        <v>主干道—正阳中路</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97" t="s">
        <v>2939</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估价对象所在区域公共配套设施齐备情况较好</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估价对象所在区域基础设施水平达到七通</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2253</v>
      </c>
      <c r="G57" s="2432" t="s">
        <v>1015</v>
      </c>
      <c r="H57" s="2415" t="s">
        <v>2420</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估价对象周边道路状况较好、公共交通通达情况较好、停车便捷程度较好，综合评价交通便捷度较好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09" t="str">
        <f>估价对象房地状况!C19</f>
        <v>一般</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98"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09" t="str">
        <f>估价对象房地状况!C24</f>
        <v>主干道—正阳中路</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97" t="s">
        <v>2939</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估价对象所在区域基础设施水平达到七通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2254</v>
      </c>
      <c r="G68" s="2432" t="s">
        <v>1015</v>
      </c>
      <c r="H68" s="2415" t="s">
        <v>2420</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估价对象周边道路状况较好、公共交通通达情况较好、停车便捷程度较好，综合评价交通便捷度较好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09" t="str">
        <f>估价对象房地状况!C19</f>
        <v>一般</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09" t="str">
        <f>估价对象房地状况!C24</f>
        <v>主干道—正阳中路</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估价对象所在区域基础设施水平达到七通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97" t="s">
        <v>2939</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2255</v>
      </c>
      <c r="G79" s="2432" t="s">
        <v>1015</v>
      </c>
      <c r="H79" s="2415" t="s">
        <v>2420</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7" t="s">
        <v>2939</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33" t="s">
        <v>1634</v>
      </c>
      <c r="B90" s="3433"/>
      <c r="C90" s="3433"/>
      <c r="D90" s="3433"/>
      <c r="E90" s="3433"/>
      <c r="F90" s="3433"/>
      <c r="G90" s="3433"/>
      <c r="H90" s="3433"/>
      <c r="I90" s="3433"/>
      <c r="J90" s="3433"/>
      <c r="K90" s="2451"/>
      <c r="L90" s="2451"/>
      <c r="M90" s="2451"/>
      <c r="N90" s="2451"/>
    </row>
    <row r="91" spans="1:40">
      <c r="A91" s="3434" t="s">
        <v>1444</v>
      </c>
      <c r="B91" s="3434" t="s">
        <v>1635</v>
      </c>
      <c r="C91" s="1140" t="s">
        <v>1636</v>
      </c>
      <c r="D91" s="1141"/>
      <c r="E91" s="1141"/>
      <c r="F91" s="1141"/>
      <c r="G91" s="1141"/>
      <c r="H91" s="1141"/>
      <c r="I91" s="1141"/>
      <c r="J91" s="1142"/>
      <c r="K91" s="1134"/>
      <c r="L91" s="1134"/>
      <c r="M91" s="1134"/>
      <c r="N91" s="1134"/>
    </row>
    <row r="92" spans="1:40">
      <c r="A92" s="3434"/>
      <c r="B92" s="3434"/>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23"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1638</v>
      </c>
      <c r="B101" s="1147" t="s">
        <v>906</v>
      </c>
      <c r="C101" s="1148">
        <f>$G$3</f>
        <v>2.4900000000000002</v>
      </c>
      <c r="D101" s="1148">
        <f t="shared" ref="D101:N101" si="31">$G$3</f>
        <v>2.4900000000000002</v>
      </c>
      <c r="E101" s="1148">
        <f t="shared" si="31"/>
        <v>2.4900000000000002</v>
      </c>
      <c r="F101" s="1148">
        <f t="shared" si="31"/>
        <v>2.4900000000000002</v>
      </c>
      <c r="G101" s="1148">
        <f t="shared" si="31"/>
        <v>2.4900000000000002</v>
      </c>
      <c r="H101" s="1148">
        <f t="shared" si="31"/>
        <v>2.4900000000000002</v>
      </c>
      <c r="I101" s="1148">
        <f t="shared" si="31"/>
        <v>2.4900000000000002</v>
      </c>
      <c r="J101" s="1148">
        <f t="shared" si="31"/>
        <v>2.4900000000000002</v>
      </c>
      <c r="K101" s="1148">
        <f t="shared" si="31"/>
        <v>2.4900000000000002</v>
      </c>
      <c r="L101" s="1148">
        <f t="shared" si="31"/>
        <v>2.4900000000000002</v>
      </c>
      <c r="M101" s="1148">
        <f t="shared" si="31"/>
        <v>2.4900000000000002</v>
      </c>
      <c r="N101" s="1148">
        <f t="shared" si="31"/>
        <v>2.4900000000000002</v>
      </c>
    </row>
    <row r="102" spans="1:14">
      <c r="A102" s="3424"/>
      <c r="B102" s="1143">
        <v>1</v>
      </c>
      <c r="C102" s="1144">
        <f>1.9362/C101</f>
        <v>0.77759036144578308</v>
      </c>
      <c r="D102" s="1144">
        <f>1.9362/D101</f>
        <v>0.77759036144578308</v>
      </c>
      <c r="E102" s="1144">
        <f>1.8629/E101</f>
        <v>0.74815261044176695</v>
      </c>
      <c r="F102" s="1144">
        <f>1.8629/F101</f>
        <v>0.74815261044176695</v>
      </c>
      <c r="G102" s="1144">
        <f>1.8629/G101</f>
        <v>0.74815261044176695</v>
      </c>
      <c r="H102" s="1144">
        <f>1.8629/H101</f>
        <v>0.74815261044176695</v>
      </c>
      <c r="I102" s="1144">
        <f>1.8629/I101</f>
        <v>0.74815261044176695</v>
      </c>
      <c r="J102" s="1144">
        <f>1.942/J101</f>
        <v>0.77991967871485934</v>
      </c>
      <c r="K102" s="1144">
        <f>1.942/K101</f>
        <v>0.77991967871485934</v>
      </c>
      <c r="L102" s="1144">
        <f>1.942/L101</f>
        <v>0.77991967871485934</v>
      </c>
      <c r="M102" s="1144">
        <f>1.942/M101</f>
        <v>0.77991967871485934</v>
      </c>
      <c r="N102" s="1144">
        <f>1.942/N101</f>
        <v>0.77991967871485934</v>
      </c>
    </row>
    <row r="103" spans="1:14">
      <c r="A103" s="3424"/>
      <c r="B103" s="1143">
        <v>2</v>
      </c>
      <c r="C103" s="1144">
        <f>1.4198/C101</f>
        <v>0.57020080321285138</v>
      </c>
      <c r="D103" s="1144">
        <f>1.4198/D101</f>
        <v>0.57020080321285138</v>
      </c>
      <c r="E103" s="1144">
        <f>1.3372/E101</f>
        <v>0.53702811244979909</v>
      </c>
      <c r="F103" s="1144">
        <f>1.3372/F101</f>
        <v>0.53702811244979909</v>
      </c>
      <c r="G103" s="1144">
        <f>1.3372/G101</f>
        <v>0.53702811244979909</v>
      </c>
      <c r="H103" s="1144">
        <f>1.3372/H101</f>
        <v>0.53702811244979909</v>
      </c>
      <c r="I103" s="1144">
        <f>1.3372/I101</f>
        <v>0.53702811244979909</v>
      </c>
      <c r="J103" s="1144">
        <f>1.2799/J101</f>
        <v>0.51401606425702806</v>
      </c>
      <c r="K103" s="1144">
        <f>1.2799/K101</f>
        <v>0.51401606425702806</v>
      </c>
      <c r="L103" s="1144">
        <f>1.2799/L101</f>
        <v>0.51401606425702806</v>
      </c>
      <c r="M103" s="1144">
        <f>1.2799/M101</f>
        <v>0.51401606425702806</v>
      </c>
      <c r="N103" s="1144">
        <f>1.2799/N101</f>
        <v>0.51401606425702806</v>
      </c>
    </row>
    <row r="104" spans="1:14">
      <c r="A104" s="3424"/>
      <c r="B104" s="1143">
        <v>3</v>
      </c>
      <c r="C104" s="1144">
        <f>1.1594/C101</f>
        <v>0.46562248995983929</v>
      </c>
      <c r="D104" s="1144">
        <f>1.1594/D101</f>
        <v>0.46562248995983929</v>
      </c>
      <c r="E104" s="1144">
        <f>1.0788/E101</f>
        <v>0.43325301204819272</v>
      </c>
      <c r="F104" s="1144">
        <f>1.0788/F101</f>
        <v>0.43325301204819272</v>
      </c>
      <c r="G104" s="1144">
        <f>1.0788/G101</f>
        <v>0.43325301204819272</v>
      </c>
      <c r="H104" s="1144">
        <f>1.0788/H101</f>
        <v>0.43325301204819272</v>
      </c>
      <c r="I104" s="1144">
        <f>1.0788/I101</f>
        <v>0.43325301204819272</v>
      </c>
      <c r="J104" s="1144">
        <f>1.0072/J101</f>
        <v>0.40449799196787151</v>
      </c>
      <c r="K104" s="1144">
        <f>1.0072/K101</f>
        <v>0.40449799196787151</v>
      </c>
      <c r="L104" s="1144">
        <f>1.0072/L101</f>
        <v>0.40449799196787151</v>
      </c>
      <c r="M104" s="1144">
        <f>1.0072/M101</f>
        <v>0.40449799196787151</v>
      </c>
      <c r="N104" s="1144">
        <f>1.0072/N101</f>
        <v>0.40449799196787151</v>
      </c>
    </row>
    <row r="105" spans="1:14">
      <c r="A105" s="3424"/>
      <c r="B105" s="1143">
        <v>4</v>
      </c>
      <c r="C105" s="1144">
        <f>0.9622/C101</f>
        <v>0.38642570281124494</v>
      </c>
      <c r="D105" s="1144">
        <f>0.9622/D101</f>
        <v>0.38642570281124494</v>
      </c>
      <c r="E105" s="1144">
        <f>0.8656/E101</f>
        <v>0.34763052208835338</v>
      </c>
      <c r="F105" s="1144">
        <f>0.8656/F101</f>
        <v>0.34763052208835338</v>
      </c>
      <c r="G105" s="1144">
        <f>0.8656/G101</f>
        <v>0.34763052208835338</v>
      </c>
      <c r="H105" s="1144">
        <f>0.8656/H101</f>
        <v>0.34763052208835338</v>
      </c>
      <c r="I105" s="1144">
        <f>0.8656/I101</f>
        <v>0.34763052208835338</v>
      </c>
      <c r="J105" s="1144">
        <f>0.7525/J101</f>
        <v>0.30220883534136539</v>
      </c>
      <c r="K105" s="1144">
        <f>0.7525/K101</f>
        <v>0.30220883534136539</v>
      </c>
      <c r="L105" s="1144">
        <f>0.7525/L101</f>
        <v>0.30220883534136539</v>
      </c>
      <c r="M105" s="1144">
        <f>0.7525/M101</f>
        <v>0.30220883534136539</v>
      </c>
      <c r="N105" s="1144">
        <f>0.7525/N101</f>
        <v>0.30220883534136539</v>
      </c>
    </row>
    <row r="106" spans="1:14">
      <c r="A106" s="3424"/>
      <c r="B106" s="1143">
        <v>5</v>
      </c>
      <c r="C106" s="1144">
        <f>0.8417/C101</f>
        <v>0.33803212851405617</v>
      </c>
      <c r="D106" s="1144">
        <f>0.8417/D101</f>
        <v>0.33803212851405617</v>
      </c>
      <c r="E106" s="1144">
        <f>0.7371/E101</f>
        <v>0.29602409638554211</v>
      </c>
      <c r="F106" s="1144">
        <f>0.7371/F101</f>
        <v>0.29602409638554211</v>
      </c>
      <c r="G106" s="1144">
        <f>0.7371/G101</f>
        <v>0.29602409638554211</v>
      </c>
      <c r="H106" s="1144">
        <f>0.7371/H101</f>
        <v>0.29602409638554211</v>
      </c>
      <c r="I106" s="1144">
        <f>0.7371/I101</f>
        <v>0.29602409638554211</v>
      </c>
      <c r="J106" s="1144">
        <f>0.5659/J101</f>
        <v>0.22726907630522084</v>
      </c>
      <c r="K106" s="1144">
        <f>0.5659/K101</f>
        <v>0.22726907630522084</v>
      </c>
      <c r="L106" s="1144">
        <f>0.5659/L101</f>
        <v>0.22726907630522084</v>
      </c>
      <c r="M106" s="1144">
        <f>0.5659/M101</f>
        <v>0.22726907630522084</v>
      </c>
      <c r="N106" s="1144">
        <f>0.5659/N101</f>
        <v>0.22726907630522084</v>
      </c>
    </row>
    <row r="107" spans="1:14">
      <c r="A107" s="3424"/>
      <c r="B107" s="1143">
        <v>6</v>
      </c>
      <c r="C107" s="1144">
        <f>0.7608/C101</f>
        <v>0.3055421686746988</v>
      </c>
      <c r="D107" s="1144">
        <f>0.7608/D101</f>
        <v>0.3055421686746988</v>
      </c>
      <c r="E107" s="1144">
        <f>0.6482/E101</f>
        <v>0.26032128514056224</v>
      </c>
      <c r="F107" s="1144">
        <f>0.6482/F101</f>
        <v>0.26032128514056224</v>
      </c>
      <c r="G107" s="1144">
        <f>0.6482/G101</f>
        <v>0.26032128514056224</v>
      </c>
      <c r="H107" s="1144">
        <f>0.6482/H101</f>
        <v>0.26032128514056224</v>
      </c>
      <c r="I107" s="1144">
        <f>0.6482/I101</f>
        <v>0.26032128514056224</v>
      </c>
      <c r="J107" s="1144">
        <f>0.4525/J101</f>
        <v>0.18172690763052207</v>
      </c>
      <c r="K107" s="1144">
        <f>0.4525/K101</f>
        <v>0.18172690763052207</v>
      </c>
      <c r="L107" s="1144">
        <f>0.4525/L101</f>
        <v>0.18172690763052207</v>
      </c>
      <c r="M107" s="1144">
        <f>0.4525/M101</f>
        <v>0.18172690763052207</v>
      </c>
      <c r="N107" s="1144">
        <f>0.4525/N101</f>
        <v>0.18172690763052207</v>
      </c>
    </row>
    <row r="108" spans="1:14">
      <c r="A108" s="3424"/>
      <c r="B108" s="342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0.3052951004016064</v>
      </c>
      <c r="D109" s="1146">
        <f>(-0.163*(D108^2)-0.59*D108+7617)*(10^(-4))/D101</f>
        <v>0.3052951004016064</v>
      </c>
      <c r="E109" s="1146">
        <f>(-0.161*(E108^2)-7.509*E108+6533)*(10^(-4))/E101</f>
        <v>0.25954313253012046</v>
      </c>
      <c r="F109" s="1146">
        <f>(-0.161*(F108^2)-7.509*F108+6533)*(10^(-4))/F101</f>
        <v>0.25954313253012046</v>
      </c>
      <c r="G109" s="1146">
        <f>(-0.161*(G108^2)-7.509*G108+6533)*(10^(-4))/G101</f>
        <v>0.25954313253012046</v>
      </c>
      <c r="H109" s="1146">
        <f>(-0.161*(H108^2)-7.509*H108+6533)*(10^(-4))/H101</f>
        <v>0.25954313253012046</v>
      </c>
      <c r="I109" s="1146">
        <f>(-0.161*(I108^2)-7.509*I108+6533)*(10^(-4))/I101</f>
        <v>0.25954313253012046</v>
      </c>
      <c r="J109" s="1146">
        <f>(-0.214*(J108^2)-21.991*J108+4665)*(10^(-4))/J101</f>
        <v>0.17973397590361445</v>
      </c>
      <c r="K109" s="1146">
        <f>(-0.214*(K108^2)-21.991*K108+4665)*(10^(-4))/K101</f>
        <v>0.17973397590361445</v>
      </c>
      <c r="L109" s="1146">
        <f>(-0.214*(L108^2)-21.991*L108+4665)*(10^(-4))/L101</f>
        <v>0.17973397590361445</v>
      </c>
      <c r="M109" s="1146">
        <f>(-0.214*(M108^2)-21.991*M108+4665)*(10^(-4))/M101</f>
        <v>0.17973397590361445</v>
      </c>
      <c r="N109" s="1146">
        <f>(-0.214*(N108^2)-21.991*N108+4665)*(10^(-4))/N101</f>
        <v>0.17973397590361445</v>
      </c>
    </row>
    <row r="110" spans="1:14">
      <c r="A110" s="3428" t="s">
        <v>1640</v>
      </c>
      <c r="B110" s="3428"/>
      <c r="C110" s="3428"/>
      <c r="D110" s="3428"/>
      <c r="E110" s="3428"/>
      <c r="F110" s="3428"/>
      <c r="G110" s="3428"/>
      <c r="H110" s="3428"/>
      <c r="I110" s="3428"/>
      <c r="J110" s="3428"/>
      <c r="K110" s="2449"/>
      <c r="L110" s="2449"/>
      <c r="M110" s="2449"/>
      <c r="N110" s="2449"/>
    </row>
    <row r="112" spans="1:14" ht="12.75" thickBot="1"/>
    <row r="113" spans="1:13" ht="25.5" thickBot="1">
      <c r="A113" s="1016" t="s">
        <v>896</v>
      </c>
      <c r="B113" s="2452">
        <f>G3</f>
        <v>2.4900000000000002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0.91010000000000002</v>
      </c>
      <c r="C115" s="1030">
        <f>B115</f>
        <v>0.91010000000000002</v>
      </c>
      <c r="D115" s="1030">
        <f>ROUND(0.8331-0.0109*B113,4)</f>
        <v>0.80600000000000005</v>
      </c>
      <c r="E115" s="1030">
        <f>D115</f>
        <v>0.80600000000000005</v>
      </c>
      <c r="F115" s="1030">
        <f>E115</f>
        <v>0.80600000000000005</v>
      </c>
      <c r="G115" s="1030">
        <f>F115</f>
        <v>0.80600000000000005</v>
      </c>
      <c r="H115" s="1030">
        <f>G115</f>
        <v>0.80600000000000005</v>
      </c>
      <c r="I115" s="1030">
        <f>ROUND(0.689-0.0155*B113,4)</f>
        <v>0.65039999999999998</v>
      </c>
      <c r="J115" s="1030">
        <f t="shared" ref="J115:M118" si="33">I115</f>
        <v>0.65039999999999998</v>
      </c>
      <c r="K115" s="1030">
        <f t="shared" si="33"/>
        <v>0.65039999999999998</v>
      </c>
      <c r="L115" s="1030">
        <f t="shared" si="33"/>
        <v>0.65039999999999998</v>
      </c>
      <c r="M115" s="1031">
        <f t="shared" si="33"/>
        <v>0.65039999999999998</v>
      </c>
    </row>
    <row r="116" spans="1:13" ht="12.75">
      <c r="A116" s="1029" t="s">
        <v>901</v>
      </c>
      <c r="B116" s="1030">
        <f>ROUND(0.949-0.012*B113,4)</f>
        <v>0.91910000000000003</v>
      </c>
      <c r="C116" s="1030">
        <f>B116</f>
        <v>0.91910000000000003</v>
      </c>
      <c r="D116" s="1030">
        <f>ROUND(0.8567-0.013*B113,4)</f>
        <v>0.82430000000000003</v>
      </c>
      <c r="E116" s="1030">
        <f t="shared" ref="E116:H117" si="34">D116</f>
        <v>0.82430000000000003</v>
      </c>
      <c r="F116" s="1030">
        <f t="shared" si="34"/>
        <v>0.82430000000000003</v>
      </c>
      <c r="G116" s="1030">
        <f t="shared" si="34"/>
        <v>0.82430000000000003</v>
      </c>
      <c r="H116" s="1030">
        <f t="shared" si="34"/>
        <v>0.82430000000000003</v>
      </c>
      <c r="I116" s="1030">
        <f>ROUND(0.7694-0.014*B113,4)</f>
        <v>0.73450000000000004</v>
      </c>
      <c r="J116" s="1030">
        <f t="shared" si="33"/>
        <v>0.73450000000000004</v>
      </c>
      <c r="K116" s="1030">
        <f t="shared" si="33"/>
        <v>0.73450000000000004</v>
      </c>
      <c r="L116" s="1030">
        <f t="shared" si="33"/>
        <v>0.73450000000000004</v>
      </c>
      <c r="M116" s="1031">
        <f t="shared" si="33"/>
        <v>0.73450000000000004</v>
      </c>
    </row>
    <row r="117" spans="1:13" ht="12.75">
      <c r="A117" s="1032" t="s">
        <v>902</v>
      </c>
      <c r="B117" s="1030">
        <f>ROUND(0.8808-0.006*B113,4)</f>
        <v>0.8659</v>
      </c>
      <c r="C117" s="1030">
        <f>B117</f>
        <v>0.8659</v>
      </c>
      <c r="D117" s="1030">
        <f>ROUND(0.8748-0.008*B113,4)</f>
        <v>0.85489999999999999</v>
      </c>
      <c r="E117" s="1030">
        <f t="shared" si="34"/>
        <v>0.85489999999999999</v>
      </c>
      <c r="F117" s="1030">
        <f t="shared" si="34"/>
        <v>0.85489999999999999</v>
      </c>
      <c r="G117" s="1030">
        <f t="shared" si="34"/>
        <v>0.85489999999999999</v>
      </c>
      <c r="H117" s="1030">
        <f t="shared" si="34"/>
        <v>0.85489999999999999</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0.7026</v>
      </c>
      <c r="C118" s="1034">
        <f>B118</f>
        <v>0.7026</v>
      </c>
      <c r="D118" s="1034">
        <f>ROUND(0.7043-0.012*B113,4)</f>
        <v>0.6744</v>
      </c>
      <c r="E118" s="1034">
        <f>D118</f>
        <v>0.6744</v>
      </c>
      <c r="F118" s="1034">
        <f>E118</f>
        <v>0.6744</v>
      </c>
      <c r="G118" s="1034">
        <f>ROUND(0.6299-0.0122*B113,4)</f>
        <v>0.59950000000000003</v>
      </c>
      <c r="H118" s="1034">
        <f>G118</f>
        <v>0.59950000000000003</v>
      </c>
      <c r="I118" s="1034">
        <f>ROUND(0.5667-0.0136*B113,4)</f>
        <v>0.53280000000000005</v>
      </c>
      <c r="J118" s="1034">
        <f t="shared" si="33"/>
        <v>0.53280000000000005</v>
      </c>
      <c r="K118" s="1034">
        <f t="shared" si="33"/>
        <v>0.53280000000000005</v>
      </c>
      <c r="L118" s="1034">
        <f t="shared" si="33"/>
        <v>0.53280000000000005</v>
      </c>
      <c r="M118" s="1035">
        <f t="shared" si="33"/>
        <v>0.53280000000000005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4" t="s">
        <v>1008</v>
      </c>
      <c r="B18" s="1154" t="s">
        <v>1447</v>
      </c>
      <c r="C18" s="1131" t="s">
        <v>1448</v>
      </c>
      <c r="D18" s="1132"/>
      <c r="E18" s="1154">
        <v>1</v>
      </c>
      <c r="F18" s="1133" t="s">
        <v>1449</v>
      </c>
      <c r="G18" s="1134"/>
      <c r="H18" s="1105"/>
      <c r="I18" s="1105"/>
    </row>
    <row r="19" spans="1:9" s="1600" customFormat="1" ht="19.5" customHeight="1">
      <c r="A19" s="3434"/>
      <c r="B19" s="3434" t="s">
        <v>1450</v>
      </c>
      <c r="C19" s="1131" t="s">
        <v>1451</v>
      </c>
      <c r="D19" s="1132"/>
      <c r="E19" s="1154">
        <v>0.9</v>
      </c>
      <c r="F19" s="1133" t="s">
        <v>1452</v>
      </c>
      <c r="G19" s="1134"/>
      <c r="H19" s="1105"/>
      <c r="I19" s="1105"/>
    </row>
    <row r="20" spans="1:9" s="1600" customFormat="1" ht="19.5" customHeight="1">
      <c r="A20" s="3434"/>
      <c r="B20" s="3434"/>
      <c r="C20" s="1131" t="s">
        <v>1453</v>
      </c>
      <c r="D20" s="1132"/>
      <c r="E20" s="1154">
        <v>1.1000000000000001</v>
      </c>
      <c r="F20" s="1133" t="s">
        <v>1454</v>
      </c>
      <c r="G20" s="1134"/>
      <c r="H20" s="1105"/>
      <c r="I20" s="1105"/>
    </row>
    <row r="21" spans="1:9" s="1600" customFormat="1" ht="19.5" customHeight="1">
      <c r="A21" s="3434"/>
      <c r="B21" s="3434"/>
      <c r="C21" s="1131" t="s">
        <v>1455</v>
      </c>
      <c r="D21" s="1132"/>
      <c r="E21" s="1154">
        <v>0.8</v>
      </c>
      <c r="F21" s="1133" t="s">
        <v>1456</v>
      </c>
      <c r="G21" s="1134"/>
      <c r="H21" s="1105"/>
      <c r="I21" s="1105"/>
    </row>
    <row r="22" spans="1:9" s="1600" customFormat="1" ht="19.5" customHeight="1">
      <c r="A22" s="3434"/>
      <c r="B22" s="3434"/>
      <c r="C22" s="1131" t="s">
        <v>1457</v>
      </c>
      <c r="D22" s="1132"/>
      <c r="E22" s="1154">
        <v>0.5</v>
      </c>
      <c r="F22" s="1133"/>
      <c r="G22" s="1134"/>
      <c r="H22" s="1105"/>
      <c r="I22" s="1105"/>
    </row>
    <row r="23" spans="1:9" s="1600" customFormat="1" ht="19.5" customHeight="1">
      <c r="A23" s="3434" t="s">
        <v>1030</v>
      </c>
      <c r="B23" s="1154" t="s">
        <v>1447</v>
      </c>
      <c r="C23" s="1131" t="s">
        <v>1458</v>
      </c>
      <c r="D23" s="1132"/>
      <c r="E23" s="1154">
        <v>1</v>
      </c>
      <c r="F23" s="1133" t="s">
        <v>1459</v>
      </c>
      <c r="G23" s="1134"/>
      <c r="H23" s="1105"/>
      <c r="I23" s="1105"/>
    </row>
    <row r="24" spans="1:9" s="1600" customFormat="1" ht="19.5" customHeight="1">
      <c r="A24" s="3434"/>
      <c r="B24" s="3434" t="s">
        <v>1450</v>
      </c>
      <c r="C24" s="1131" t="s">
        <v>1460</v>
      </c>
      <c r="D24" s="1132"/>
      <c r="E24" s="1154">
        <v>0.5</v>
      </c>
      <c r="F24" s="1133"/>
      <c r="G24" s="1134"/>
      <c r="H24" s="1105"/>
      <c r="I24" s="1105"/>
    </row>
    <row r="25" spans="1:9" s="1600" customFormat="1" ht="19.5" customHeight="1">
      <c r="A25" s="3434"/>
      <c r="B25" s="3434"/>
      <c r="C25" s="1131" t="s">
        <v>1461</v>
      </c>
      <c r="D25" s="1132"/>
      <c r="E25" s="1154">
        <v>1.1000000000000001</v>
      </c>
      <c r="F25" s="1133"/>
      <c r="G25" s="1134"/>
      <c r="H25" s="1105"/>
      <c r="I25" s="1105"/>
    </row>
    <row r="26" spans="1:9" s="1600" customFormat="1" ht="19.5" customHeight="1">
      <c r="A26" s="3434"/>
      <c r="B26" s="3434"/>
      <c r="C26" s="1131" t="s">
        <v>1462</v>
      </c>
      <c r="D26" s="1132"/>
      <c r="E26" s="1154">
        <v>1.1000000000000001</v>
      </c>
      <c r="F26" s="1133"/>
      <c r="G26" s="1134"/>
      <c r="H26" s="1105"/>
      <c r="I26" s="1105"/>
    </row>
    <row r="27" spans="1:9" s="1600" customFormat="1" ht="19.5" customHeight="1">
      <c r="A27" s="3434"/>
      <c r="B27" s="3434"/>
      <c r="C27" s="1131" t="s">
        <v>1463</v>
      </c>
      <c r="D27" s="1132"/>
      <c r="E27" s="1154">
        <v>0.9</v>
      </c>
      <c r="F27" s="1133" t="s">
        <v>1464</v>
      </c>
      <c r="G27" s="1134"/>
      <c r="H27" s="1105"/>
      <c r="I27" s="1105"/>
    </row>
    <row r="28" spans="1:9" s="1600" customFormat="1" ht="19.5" customHeight="1">
      <c r="A28" s="3434"/>
      <c r="B28" s="3434"/>
      <c r="C28" s="1131" t="s">
        <v>1465</v>
      </c>
      <c r="D28" s="1132"/>
      <c r="E28" s="1154">
        <v>0.9</v>
      </c>
      <c r="F28" s="1133" t="s">
        <v>1466</v>
      </c>
      <c r="G28" s="1134"/>
      <c r="H28" s="1105"/>
      <c r="I28" s="1105"/>
    </row>
    <row r="29" spans="1:9" s="1600" customFormat="1" ht="19.5" customHeight="1">
      <c r="A29" s="3434"/>
      <c r="B29" s="3434"/>
      <c r="C29" s="1131" t="s">
        <v>1467</v>
      </c>
      <c r="D29" s="1132"/>
      <c r="E29" s="1154">
        <v>0.9</v>
      </c>
      <c r="F29" s="1133" t="s">
        <v>1468</v>
      </c>
      <c r="G29" s="1134"/>
      <c r="H29" s="1105"/>
      <c r="I29" s="1105"/>
    </row>
    <row r="30" spans="1:9" s="1600" customFormat="1" ht="19.5" customHeight="1">
      <c r="A30" s="3434"/>
      <c r="B30" s="3434"/>
      <c r="C30" s="1131" t="s">
        <v>1469</v>
      </c>
      <c r="D30" s="1132"/>
      <c r="E30" s="1154">
        <v>0.9</v>
      </c>
      <c r="F30" s="1133" t="s">
        <v>1470</v>
      </c>
      <c r="G30" s="1134"/>
      <c r="H30" s="1105"/>
      <c r="I30" s="1105"/>
    </row>
    <row r="31" spans="1:9" s="1600" customFormat="1" ht="19.5" customHeight="1">
      <c r="A31" s="3434"/>
      <c r="B31" s="3434"/>
      <c r="C31" s="1131" t="s">
        <v>1471</v>
      </c>
      <c r="D31" s="1132"/>
      <c r="E31" s="1154">
        <v>0.8</v>
      </c>
      <c r="F31" s="1133" t="s">
        <v>1472</v>
      </c>
      <c r="G31" s="1134"/>
      <c r="H31" s="1105"/>
      <c r="I31" s="1105"/>
    </row>
    <row r="32" spans="1:9" s="1600" customFormat="1" ht="19.5" customHeight="1">
      <c r="A32" s="3434"/>
      <c r="B32" s="3434"/>
      <c r="C32" s="1131" t="s">
        <v>1473</v>
      </c>
      <c r="D32" s="1132"/>
      <c r="E32" s="1154">
        <v>0.8</v>
      </c>
      <c r="F32" s="1133" t="s">
        <v>1474</v>
      </c>
      <c r="G32" s="1134"/>
      <c r="H32" s="1105"/>
      <c r="I32" s="1105"/>
    </row>
    <row r="33" spans="1:9" s="1600" customFormat="1" ht="19.5" customHeight="1">
      <c r="A33" s="3434" t="s">
        <v>1475</v>
      </c>
      <c r="B33" s="1154" t="s">
        <v>1447</v>
      </c>
      <c r="C33" s="1131" t="s">
        <v>1476</v>
      </c>
      <c r="D33" s="1132"/>
      <c r="E33" s="1154">
        <v>1</v>
      </c>
      <c r="F33" s="1133" t="s">
        <v>1477</v>
      </c>
      <c r="G33" s="1134"/>
      <c r="H33" s="1105"/>
      <c r="I33" s="1105"/>
    </row>
    <row r="34" spans="1:9" s="1600" customFormat="1" ht="19.5" customHeight="1">
      <c r="A34" s="3434"/>
      <c r="B34" s="1154" t="s">
        <v>1450</v>
      </c>
      <c r="C34" s="1131" t="s">
        <v>1478</v>
      </c>
      <c r="D34" s="1132"/>
      <c r="E34" s="1154">
        <v>1.5</v>
      </c>
      <c r="F34" s="1133" t="s">
        <v>1479</v>
      </c>
      <c r="G34" s="1134"/>
      <c r="H34" s="1105"/>
      <c r="I34" s="1105"/>
    </row>
    <row r="35" spans="1:9" s="1600" customFormat="1" ht="19.5" customHeight="1">
      <c r="A35" s="3434" t="s">
        <v>1433</v>
      </c>
      <c r="B35" s="1154" t="s">
        <v>1447</v>
      </c>
      <c r="C35" s="1131" t="s">
        <v>1480</v>
      </c>
      <c r="D35" s="1132"/>
      <c r="E35" s="1154">
        <v>1</v>
      </c>
      <c r="F35" s="1133" t="s">
        <v>1481</v>
      </c>
      <c r="G35" s="1134"/>
      <c r="H35" s="1105"/>
      <c r="I35" s="1105"/>
    </row>
    <row r="36" spans="1:9" s="1600" customFormat="1" ht="19.5" customHeight="1">
      <c r="A36" s="3434"/>
      <c r="B36" s="3434" t="s">
        <v>1450</v>
      </c>
      <c r="C36" s="1131" t="s">
        <v>1482</v>
      </c>
      <c r="D36" s="1132"/>
      <c r="E36" s="1154">
        <v>1</v>
      </c>
      <c r="F36" s="1133" t="s">
        <v>1483</v>
      </c>
      <c r="G36" s="1134"/>
      <c r="H36" s="1105"/>
      <c r="I36" s="1105"/>
    </row>
    <row r="37" spans="1:9" s="1600" customFormat="1" ht="19.5" customHeight="1">
      <c r="A37" s="3434"/>
      <c r="B37" s="3434"/>
      <c r="C37" s="1131" t="s">
        <v>1484</v>
      </c>
      <c r="D37" s="1132"/>
      <c r="E37" s="1154">
        <v>1.5</v>
      </c>
      <c r="F37" s="1133" t="s">
        <v>1485</v>
      </c>
      <c r="G37" s="1134"/>
      <c r="H37" s="1105"/>
      <c r="I37" s="1105"/>
    </row>
    <row r="38" spans="1:9" s="1600" customFormat="1" ht="19.5" customHeight="1">
      <c r="A38" s="3434"/>
      <c r="B38" s="3434"/>
      <c r="C38" s="1131" t="s">
        <v>1486</v>
      </c>
      <c r="D38" s="1132"/>
      <c r="E38" s="1154">
        <v>1</v>
      </c>
      <c r="F38" s="1133" t="s">
        <v>1487</v>
      </c>
      <c r="G38" s="1134"/>
      <c r="H38" s="1105"/>
      <c r="I38" s="1105"/>
    </row>
    <row r="39" spans="1:9" s="1600" customFormat="1" ht="19.5" customHeight="1">
      <c r="A39" s="3434"/>
      <c r="B39" s="343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4" t="s">
        <v>1502</v>
      </c>
      <c r="C61" s="1068" t="s">
        <v>1503</v>
      </c>
      <c r="D61" s="1068" t="s">
        <v>1504</v>
      </c>
      <c r="E61" s="1139">
        <v>0.5</v>
      </c>
      <c r="F61" s="1154">
        <v>80</v>
      </c>
      <c r="H61" s="1105">
        <f>SUMIF(C59:C119,基准地价!C8,E59:E119)</f>
        <v>0</v>
      </c>
    </row>
    <row r="62" spans="1:8" s="1105" customFormat="1" ht="24">
      <c r="A62" s="1154">
        <v>2</v>
      </c>
      <c r="B62" s="3434"/>
      <c r="C62" s="1068" t="s">
        <v>1505</v>
      </c>
      <c r="D62" s="1068" t="s">
        <v>1506</v>
      </c>
      <c r="E62" s="1139">
        <v>0.5</v>
      </c>
      <c r="F62" s="1154">
        <v>80</v>
      </c>
    </row>
    <row r="63" spans="1:8" s="1105" customFormat="1" ht="36">
      <c r="A63" s="1154">
        <v>3</v>
      </c>
      <c r="B63" s="3434"/>
      <c r="C63" s="1068" t="s">
        <v>1507</v>
      </c>
      <c r="D63" s="1068" t="s">
        <v>1508</v>
      </c>
      <c r="E63" s="1139">
        <v>0.5</v>
      </c>
      <c r="F63" s="1154">
        <v>80</v>
      </c>
    </row>
    <row r="64" spans="1:8" s="1105" customFormat="1" ht="36">
      <c r="A64" s="1154">
        <v>4</v>
      </c>
      <c r="B64" s="3434"/>
      <c r="C64" s="1068" t="s">
        <v>1509</v>
      </c>
      <c r="D64" s="1068" t="s">
        <v>1510</v>
      </c>
      <c r="E64" s="1139">
        <v>0.4</v>
      </c>
      <c r="F64" s="1154">
        <v>60</v>
      </c>
    </row>
    <row r="65" spans="1:6" s="1105" customFormat="1" ht="36">
      <c r="A65" s="1154">
        <v>5</v>
      </c>
      <c r="B65" s="3434"/>
      <c r="C65" s="1068" t="s">
        <v>1511</v>
      </c>
      <c r="D65" s="1068" t="s">
        <v>1512</v>
      </c>
      <c r="E65" s="1139">
        <v>0.2</v>
      </c>
      <c r="F65" s="1154">
        <v>30</v>
      </c>
    </row>
    <row r="66" spans="1:6" s="1105" customFormat="1" ht="36">
      <c r="A66" s="1154">
        <v>6</v>
      </c>
      <c r="B66" s="3434"/>
      <c r="C66" s="1068" t="s">
        <v>1513</v>
      </c>
      <c r="D66" s="1068" t="s">
        <v>1514</v>
      </c>
      <c r="E66" s="1139">
        <v>0.3</v>
      </c>
      <c r="F66" s="1154">
        <v>50</v>
      </c>
    </row>
    <row r="67" spans="1:6" s="1105" customFormat="1" ht="36">
      <c r="A67" s="1154">
        <v>7</v>
      </c>
      <c r="B67" s="3434"/>
      <c r="C67" s="1068" t="s">
        <v>1515</v>
      </c>
      <c r="D67" s="1068" t="s">
        <v>1516</v>
      </c>
      <c r="E67" s="1139">
        <v>0.2</v>
      </c>
      <c r="F67" s="1154">
        <v>30</v>
      </c>
    </row>
    <row r="68" spans="1:6" s="1105" customFormat="1" ht="36">
      <c r="A68" s="1154">
        <v>8</v>
      </c>
      <c r="B68" s="3434"/>
      <c r="C68" s="1068" t="s">
        <v>1517</v>
      </c>
      <c r="D68" s="1068" t="s">
        <v>1518</v>
      </c>
      <c r="E68" s="1139">
        <v>0.2</v>
      </c>
      <c r="F68" s="1154">
        <v>30</v>
      </c>
    </row>
    <row r="69" spans="1:6" s="1105" customFormat="1" ht="36">
      <c r="A69" s="1154">
        <v>9</v>
      </c>
      <c r="B69" s="3434"/>
      <c r="C69" s="1068" t="s">
        <v>1519</v>
      </c>
      <c r="D69" s="1068" t="s">
        <v>1520</v>
      </c>
      <c r="E69" s="1139">
        <v>0.2</v>
      </c>
      <c r="F69" s="1154">
        <v>30</v>
      </c>
    </row>
    <row r="70" spans="1:6" s="1105" customFormat="1" ht="48">
      <c r="A70" s="1154">
        <v>10</v>
      </c>
      <c r="B70" s="3434"/>
      <c r="C70" s="1068" t="s">
        <v>1521</v>
      </c>
      <c r="D70" s="1068" t="s">
        <v>1522</v>
      </c>
      <c r="E70" s="1139">
        <v>0.2</v>
      </c>
      <c r="F70" s="1154">
        <v>30</v>
      </c>
    </row>
    <row r="71" spans="1:6" s="1105" customFormat="1" ht="48">
      <c r="A71" s="1154">
        <v>11</v>
      </c>
      <c r="B71" s="3434"/>
      <c r="C71" s="1068" t="s">
        <v>1523</v>
      </c>
      <c r="D71" s="1068" t="s">
        <v>1524</v>
      </c>
      <c r="E71" s="1139">
        <v>0.2</v>
      </c>
      <c r="F71" s="1154">
        <v>30</v>
      </c>
    </row>
    <row r="72" spans="1:6" s="1105" customFormat="1" ht="36">
      <c r="A72" s="1154">
        <v>12</v>
      </c>
      <c r="B72" s="3434"/>
      <c r="C72" s="1068" t="s">
        <v>1525</v>
      </c>
      <c r="D72" s="1068" t="s">
        <v>1526</v>
      </c>
      <c r="E72" s="1139">
        <v>0.5</v>
      </c>
      <c r="F72" s="1154">
        <v>80</v>
      </c>
    </row>
    <row r="73" spans="1:6" s="1105" customFormat="1" ht="24">
      <c r="A73" s="1154">
        <v>13</v>
      </c>
      <c r="B73" s="3434"/>
      <c r="C73" s="1068" t="s">
        <v>1527</v>
      </c>
      <c r="D73" s="1068" t="s">
        <v>1528</v>
      </c>
      <c r="E73" s="1139">
        <v>0.4</v>
      </c>
      <c r="F73" s="1154">
        <v>60</v>
      </c>
    </row>
    <row r="74" spans="1:6" s="1105" customFormat="1" ht="24">
      <c r="A74" s="1154">
        <v>14</v>
      </c>
      <c r="B74" s="3434"/>
      <c r="C74" s="1068" t="s">
        <v>1529</v>
      </c>
      <c r="D74" s="1068" t="s">
        <v>1530</v>
      </c>
      <c r="E74" s="1139">
        <v>0.2</v>
      </c>
      <c r="F74" s="1154">
        <v>30</v>
      </c>
    </row>
    <row r="75" spans="1:6" s="1105" customFormat="1" ht="24">
      <c r="A75" s="1154">
        <v>15</v>
      </c>
      <c r="B75" s="3434"/>
      <c r="C75" s="1068" t="s">
        <v>1531</v>
      </c>
      <c r="D75" s="1068" t="s">
        <v>1532</v>
      </c>
      <c r="E75" s="1139">
        <v>0.2</v>
      </c>
      <c r="F75" s="1154">
        <v>30</v>
      </c>
    </row>
    <row r="76" spans="1:6" s="1105" customFormat="1" ht="24">
      <c r="A76" s="1154">
        <v>16</v>
      </c>
      <c r="B76" s="3434" t="s">
        <v>1533</v>
      </c>
      <c r="C76" s="1068" t="s">
        <v>1534</v>
      </c>
      <c r="D76" s="1068" t="s">
        <v>1535</v>
      </c>
      <c r="E76" s="1139">
        <v>0.5</v>
      </c>
      <c r="F76" s="1154">
        <v>80</v>
      </c>
    </row>
    <row r="77" spans="1:6" s="1105" customFormat="1" ht="24">
      <c r="A77" s="1154">
        <v>17</v>
      </c>
      <c r="B77" s="3434"/>
      <c r="C77" s="1068" t="s">
        <v>1536</v>
      </c>
      <c r="D77" s="1068" t="s">
        <v>1537</v>
      </c>
      <c r="E77" s="1139">
        <v>0.5</v>
      </c>
      <c r="F77" s="1154">
        <v>80</v>
      </c>
    </row>
    <row r="78" spans="1:6" s="1105" customFormat="1" ht="24">
      <c r="A78" s="1154">
        <v>18</v>
      </c>
      <c r="B78" s="3434"/>
      <c r="C78" s="1068" t="s">
        <v>1538</v>
      </c>
      <c r="D78" s="1068" t="s">
        <v>1539</v>
      </c>
      <c r="E78" s="1139">
        <v>0.2</v>
      </c>
      <c r="F78" s="1154">
        <v>30</v>
      </c>
    </row>
    <row r="79" spans="1:6" s="1105" customFormat="1" ht="24">
      <c r="A79" s="1154">
        <v>19</v>
      </c>
      <c r="B79" s="3434"/>
      <c r="C79" s="1068" t="s">
        <v>1540</v>
      </c>
      <c r="D79" s="1068" t="s">
        <v>1541</v>
      </c>
      <c r="E79" s="1139">
        <v>0.5</v>
      </c>
      <c r="F79" s="1154">
        <v>80</v>
      </c>
    </row>
    <row r="80" spans="1:6" s="1105" customFormat="1" ht="36">
      <c r="A80" s="1154">
        <v>20</v>
      </c>
      <c r="B80" s="3434"/>
      <c r="C80" s="1068" t="s">
        <v>1542</v>
      </c>
      <c r="D80" s="1068" t="s">
        <v>1543</v>
      </c>
      <c r="E80" s="1139">
        <v>0.2</v>
      </c>
      <c r="F80" s="1154">
        <v>30</v>
      </c>
    </row>
    <row r="81" spans="1:6" s="1105" customFormat="1" ht="36">
      <c r="A81" s="1154">
        <v>21</v>
      </c>
      <c r="B81" s="3434"/>
      <c r="C81" s="1068" t="s">
        <v>1544</v>
      </c>
      <c r="D81" s="1068" t="s">
        <v>1545</v>
      </c>
      <c r="E81" s="1139">
        <v>0.2</v>
      </c>
      <c r="F81" s="1154">
        <v>30</v>
      </c>
    </row>
    <row r="82" spans="1:6" s="1105" customFormat="1" ht="48">
      <c r="A82" s="1154">
        <v>22</v>
      </c>
      <c r="B82" s="3434"/>
      <c r="C82" s="1068" t="s">
        <v>1546</v>
      </c>
      <c r="D82" s="1068" t="s">
        <v>1547</v>
      </c>
      <c r="E82" s="1139">
        <v>0.2</v>
      </c>
      <c r="F82" s="1154">
        <v>30</v>
      </c>
    </row>
    <row r="83" spans="1:6" s="1105" customFormat="1" ht="48">
      <c r="A83" s="1154">
        <v>23</v>
      </c>
      <c r="B83" s="3434"/>
      <c r="C83" s="1068" t="s">
        <v>1548</v>
      </c>
      <c r="D83" s="1068" t="s">
        <v>1549</v>
      </c>
      <c r="E83" s="1139">
        <v>0.2</v>
      </c>
      <c r="F83" s="1154">
        <v>30</v>
      </c>
    </row>
    <row r="84" spans="1:6" s="1105" customFormat="1" ht="36">
      <c r="A84" s="1154">
        <v>24</v>
      </c>
      <c r="B84" s="3434"/>
      <c r="C84" s="1068" t="s">
        <v>1550</v>
      </c>
      <c r="D84" s="1068" t="s">
        <v>1551</v>
      </c>
      <c r="E84" s="1139">
        <v>0.2</v>
      </c>
      <c r="F84" s="1154">
        <v>30</v>
      </c>
    </row>
    <row r="85" spans="1:6" s="1105" customFormat="1" ht="36">
      <c r="A85" s="1154">
        <v>25</v>
      </c>
      <c r="B85" s="3434"/>
      <c r="C85" s="1068" t="s">
        <v>1552</v>
      </c>
      <c r="D85" s="1068" t="s">
        <v>1553</v>
      </c>
      <c r="E85" s="1139">
        <v>0.5</v>
      </c>
      <c r="F85" s="1154">
        <v>80</v>
      </c>
    </row>
    <row r="86" spans="1:6" s="1105" customFormat="1" ht="36">
      <c r="A86" s="1154">
        <v>26</v>
      </c>
      <c r="B86" s="3434"/>
      <c r="C86" s="1068" t="s">
        <v>1554</v>
      </c>
      <c r="D86" s="1068" t="s">
        <v>1555</v>
      </c>
      <c r="E86" s="1139">
        <v>0.2</v>
      </c>
      <c r="F86" s="1154">
        <v>30</v>
      </c>
    </row>
    <row r="87" spans="1:6" s="1105" customFormat="1" ht="36">
      <c r="A87" s="1154">
        <v>27</v>
      </c>
      <c r="B87" s="3434"/>
      <c r="C87" s="1068" t="s">
        <v>1556</v>
      </c>
      <c r="D87" s="1068" t="s">
        <v>1557</v>
      </c>
      <c r="E87" s="1139">
        <v>0.2</v>
      </c>
      <c r="F87" s="1154">
        <v>30</v>
      </c>
    </row>
    <row r="88" spans="1:6" s="1105" customFormat="1" ht="36">
      <c r="A88" s="1154">
        <v>28</v>
      </c>
      <c r="B88" s="3434"/>
      <c r="C88" s="1068" t="s">
        <v>1558</v>
      </c>
      <c r="D88" s="1068" t="s">
        <v>1559</v>
      </c>
      <c r="E88" s="1139">
        <v>0.2</v>
      </c>
      <c r="F88" s="1154">
        <v>30</v>
      </c>
    </row>
    <row r="89" spans="1:6" s="1105" customFormat="1" ht="24">
      <c r="A89" s="1154">
        <v>29</v>
      </c>
      <c r="B89" s="3434"/>
      <c r="C89" s="1068" t="s">
        <v>1560</v>
      </c>
      <c r="D89" s="1068" t="s">
        <v>1561</v>
      </c>
      <c r="E89" s="1139">
        <v>0.2</v>
      </c>
      <c r="F89" s="1154">
        <v>30</v>
      </c>
    </row>
    <row r="90" spans="1:6" s="1105" customFormat="1" ht="24">
      <c r="A90" s="1154">
        <v>30</v>
      </c>
      <c r="B90" s="3434"/>
      <c r="C90" s="1068" t="s">
        <v>1562</v>
      </c>
      <c r="D90" s="1068" t="s">
        <v>1563</v>
      </c>
      <c r="E90" s="1139">
        <v>0.2</v>
      </c>
      <c r="F90" s="1154">
        <v>30</v>
      </c>
    </row>
    <row r="91" spans="1:6" s="1105" customFormat="1" ht="36">
      <c r="A91" s="1154">
        <v>31</v>
      </c>
      <c r="B91" s="3434"/>
      <c r="C91" s="1068" t="s">
        <v>1564</v>
      </c>
      <c r="D91" s="1068" t="s">
        <v>1565</v>
      </c>
      <c r="E91" s="1139">
        <v>0.2</v>
      </c>
      <c r="F91" s="1154">
        <v>30</v>
      </c>
    </row>
    <row r="92" spans="1:6" s="1105" customFormat="1" ht="24">
      <c r="A92" s="1154">
        <v>32</v>
      </c>
      <c r="B92" s="3434" t="s">
        <v>1566</v>
      </c>
      <c r="C92" s="1154" t="s">
        <v>1567</v>
      </c>
      <c r="D92" s="1068" t="s">
        <v>1568</v>
      </c>
      <c r="E92" s="1139">
        <v>0.2</v>
      </c>
      <c r="F92" s="1154">
        <v>30</v>
      </c>
    </row>
    <row r="93" spans="1:6" s="1105" customFormat="1" ht="36">
      <c r="A93" s="1154">
        <v>33</v>
      </c>
      <c r="B93" s="3434"/>
      <c r="C93" s="1154" t="s">
        <v>1569</v>
      </c>
      <c r="D93" s="1068" t="s">
        <v>1570</v>
      </c>
      <c r="E93" s="1139">
        <v>0.2</v>
      </c>
      <c r="F93" s="1154">
        <v>30</v>
      </c>
    </row>
    <row r="94" spans="1:6" s="1105" customFormat="1" ht="48">
      <c r="A94" s="1154">
        <v>34</v>
      </c>
      <c r="B94" s="3434"/>
      <c r="C94" s="1154" t="s">
        <v>1571</v>
      </c>
      <c r="D94" s="1068" t="s">
        <v>1572</v>
      </c>
      <c r="E94" s="1139">
        <v>0.2</v>
      </c>
      <c r="F94" s="1154">
        <v>30</v>
      </c>
    </row>
    <row r="95" spans="1:6" s="1105" customFormat="1" ht="36">
      <c r="A95" s="1154">
        <v>35</v>
      </c>
      <c r="B95" s="3434"/>
      <c r="C95" s="1154" t="s">
        <v>1573</v>
      </c>
      <c r="D95" s="1068" t="s">
        <v>1574</v>
      </c>
      <c r="E95" s="1139">
        <v>0.2</v>
      </c>
      <c r="F95" s="1154">
        <v>30</v>
      </c>
    </row>
    <row r="96" spans="1:6" s="1105" customFormat="1" ht="48">
      <c r="A96" s="1154">
        <v>36</v>
      </c>
      <c r="B96" s="3434"/>
      <c r="C96" s="1068" t="s">
        <v>1575</v>
      </c>
      <c r="D96" s="1068" t="s">
        <v>1576</v>
      </c>
      <c r="E96" s="1139">
        <v>0.2</v>
      </c>
      <c r="F96" s="1154">
        <v>30</v>
      </c>
    </row>
    <row r="97" spans="1:6" s="1105" customFormat="1" ht="36">
      <c r="A97" s="1154">
        <v>37</v>
      </c>
      <c r="B97" s="3434"/>
      <c r="C97" s="1154" t="s">
        <v>1577</v>
      </c>
      <c r="D97" s="1068" t="s">
        <v>1578</v>
      </c>
      <c r="E97" s="1139">
        <v>0.2</v>
      </c>
      <c r="F97" s="1154">
        <v>30</v>
      </c>
    </row>
    <row r="98" spans="1:6" s="1105" customFormat="1" ht="36">
      <c r="A98" s="1154">
        <v>38</v>
      </c>
      <c r="B98" s="3434"/>
      <c r="C98" s="1154" t="s">
        <v>1579</v>
      </c>
      <c r="D98" s="1068" t="s">
        <v>1580</v>
      </c>
      <c r="E98" s="1139">
        <v>0.2</v>
      </c>
      <c r="F98" s="1154">
        <v>30</v>
      </c>
    </row>
    <row r="99" spans="1:6" s="1105" customFormat="1" ht="36">
      <c r="A99" s="1154">
        <v>39</v>
      </c>
      <c r="B99" s="3434" t="s">
        <v>1581</v>
      </c>
      <c r="C99" s="1154" t="s">
        <v>1582</v>
      </c>
      <c r="D99" s="1068" t="s">
        <v>1583</v>
      </c>
      <c r="E99" s="1139">
        <v>0.3</v>
      </c>
      <c r="F99" s="1154">
        <v>50</v>
      </c>
    </row>
    <row r="100" spans="1:6" s="1105" customFormat="1" ht="24">
      <c r="A100" s="1154">
        <v>40</v>
      </c>
      <c r="B100" s="3434"/>
      <c r="C100" s="1154" t="s">
        <v>1584</v>
      </c>
      <c r="D100" s="1068" t="s">
        <v>1585</v>
      </c>
      <c r="E100" s="1139">
        <v>0.2</v>
      </c>
      <c r="F100" s="1154">
        <v>30</v>
      </c>
    </row>
    <row r="101" spans="1:6" s="1105" customFormat="1" ht="36">
      <c r="A101" s="1154">
        <v>41</v>
      </c>
      <c r="B101" s="343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4" t="s">
        <v>1596</v>
      </c>
      <c r="C105" s="1154" t="s">
        <v>1597</v>
      </c>
      <c r="D105" s="1068" t="s">
        <v>1598</v>
      </c>
      <c r="E105" s="1139">
        <v>0.2</v>
      </c>
      <c r="F105" s="1154">
        <v>30</v>
      </c>
    </row>
    <row r="106" spans="1:6" s="1105" customFormat="1" ht="36">
      <c r="A106" s="1154">
        <v>46</v>
      </c>
      <c r="B106" s="3434"/>
      <c r="C106" s="1154" t="s">
        <v>1599</v>
      </c>
      <c r="D106" s="1068" t="s">
        <v>1600</v>
      </c>
      <c r="E106" s="1139">
        <v>0.2</v>
      </c>
      <c r="F106" s="1154">
        <v>30</v>
      </c>
    </row>
    <row r="107" spans="1:6" s="1105" customFormat="1" ht="36">
      <c r="A107" s="1154">
        <v>47</v>
      </c>
      <c r="B107" s="3434" t="s">
        <v>1601</v>
      </c>
      <c r="C107" s="1154" t="s">
        <v>1602</v>
      </c>
      <c r="D107" s="1068" t="s">
        <v>1603</v>
      </c>
      <c r="E107" s="1139">
        <v>0.3</v>
      </c>
      <c r="F107" s="1154">
        <v>50</v>
      </c>
    </row>
    <row r="108" spans="1:6" s="1105" customFormat="1" ht="36">
      <c r="A108" s="1154">
        <v>48</v>
      </c>
      <c r="B108" s="343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4" t="s">
        <v>1612</v>
      </c>
      <c r="C111" s="1154" t="s">
        <v>1613</v>
      </c>
      <c r="D111" s="1068" t="s">
        <v>1614</v>
      </c>
      <c r="E111" s="1139">
        <v>0.2</v>
      </c>
      <c r="F111" s="1154">
        <v>30</v>
      </c>
    </row>
    <row r="112" spans="1:6" s="1105" customFormat="1" ht="24">
      <c r="A112" s="1154">
        <v>52</v>
      </c>
      <c r="B112" s="3434"/>
      <c r="C112" s="1154" t="s">
        <v>1615</v>
      </c>
      <c r="D112" s="1068" t="s">
        <v>1616</v>
      </c>
      <c r="E112" s="1139">
        <v>0.2</v>
      </c>
      <c r="F112" s="1154">
        <v>30</v>
      </c>
    </row>
    <row r="113" spans="1:14" s="1105" customFormat="1" ht="24">
      <c r="A113" s="1154">
        <v>53</v>
      </c>
      <c r="B113" s="343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4" t="s">
        <v>1625</v>
      </c>
      <c r="C116" s="1154" t="s">
        <v>1626</v>
      </c>
      <c r="D116" s="1068" t="s">
        <v>1627</v>
      </c>
      <c r="E116" s="1139">
        <v>0.2</v>
      </c>
      <c r="F116" s="1154">
        <v>30</v>
      </c>
    </row>
    <row r="117" spans="1:14" ht="36">
      <c r="A117" s="1154">
        <v>57</v>
      </c>
      <c r="B117" s="343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3" t="s">
        <v>1634</v>
      </c>
      <c r="B121" s="3433"/>
      <c r="C121" s="3433"/>
      <c r="D121" s="3433"/>
      <c r="E121" s="3433"/>
      <c r="F121" s="3433"/>
      <c r="G121" s="3433"/>
      <c r="H121" s="3433"/>
      <c r="I121" s="3433"/>
      <c r="J121" s="343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1040</v>
      </c>
      <c r="B1" s="3438"/>
      <c r="C1" s="3438"/>
      <c r="D1" s="3438"/>
      <c r="E1" s="3438"/>
      <c r="F1" s="343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9" t="s">
        <v>1053</v>
      </c>
      <c r="B2" s="3439"/>
      <c r="C2" s="3439"/>
      <c r="D2" s="3439"/>
      <c r="E2" s="3439"/>
      <c r="F2" s="343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2" t="s">
        <v>2081</v>
      </c>
      <c r="B1" s="3442"/>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1097</v>
      </c>
      <c r="B6" s="1860" t="s">
        <v>2090</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2091</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2092</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2093</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2094</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2095</v>
      </c>
      <c r="C72" s="1870"/>
      <c r="D72" s="1870"/>
      <c r="E72" s="1870"/>
      <c r="F72" s="1862">
        <v>0.05</v>
      </c>
    </row>
    <row r="73" spans="1:6" ht="14.25" thickBot="1">
      <c r="A73" s="1856" t="s">
        <v>925</v>
      </c>
      <c r="B73" s="1860" t="s">
        <v>2096</v>
      </c>
      <c r="C73" s="1870"/>
      <c r="D73" s="1870"/>
      <c r="E73" s="1870"/>
      <c r="F73" s="1862">
        <v>0.05</v>
      </c>
    </row>
    <row r="74" spans="1:6" ht="14.25" thickBot="1">
      <c r="A74" s="1856" t="s">
        <v>925</v>
      </c>
      <c r="B74" s="1860" t="s">
        <v>2097</v>
      </c>
      <c r="C74" s="1870"/>
      <c r="D74" s="1870"/>
      <c r="E74" s="1870"/>
      <c r="F74" s="1862">
        <v>0.05</v>
      </c>
    </row>
    <row r="75" spans="1:6" ht="14.25" thickBot="1">
      <c r="A75" s="1864" t="s">
        <v>925</v>
      </c>
      <c r="B75" s="1871" t="s">
        <v>2098</v>
      </c>
      <c r="C75" s="1867"/>
      <c r="D75" s="1867"/>
      <c r="E75" s="1867"/>
      <c r="F75" s="1872">
        <v>0.05</v>
      </c>
    </row>
    <row r="76" spans="1:6" ht="14.25" thickBot="1">
      <c r="A76" s="1856" t="s">
        <v>1408</v>
      </c>
      <c r="B76" s="1857" t="s">
        <v>2099</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2100</v>
      </c>
      <c r="C102" s="1870"/>
      <c r="D102" s="1870"/>
      <c r="E102" s="1870"/>
      <c r="F102" s="1862">
        <v>0.05</v>
      </c>
    </row>
    <row r="103" spans="1:6" ht="24.75" thickBot="1">
      <c r="A103" s="1856" t="s">
        <v>1408</v>
      </c>
      <c r="B103" s="1860" t="s">
        <v>2101</v>
      </c>
      <c r="C103" s="1870"/>
      <c r="D103" s="1870"/>
      <c r="E103" s="1870"/>
      <c r="F103" s="1862">
        <v>0.05</v>
      </c>
    </row>
    <row r="104" spans="1:6" ht="14.25" thickBot="1">
      <c r="A104" s="1856" t="s">
        <v>1408</v>
      </c>
      <c r="B104" s="1860" t="s">
        <v>2102</v>
      </c>
      <c r="C104" s="1870"/>
      <c r="D104" s="1870"/>
      <c r="E104" s="1870"/>
      <c r="F104" s="1862">
        <v>0.05</v>
      </c>
    </row>
    <row r="105" spans="1:6" ht="14.25" thickBot="1">
      <c r="A105" s="1856" t="s">
        <v>1408</v>
      </c>
      <c r="B105" s="1860" t="s">
        <v>2103</v>
      </c>
      <c r="C105" s="1870"/>
      <c r="D105" s="1870"/>
      <c r="E105" s="1870"/>
      <c r="F105" s="1862">
        <v>0.05</v>
      </c>
    </row>
    <row r="106" spans="1:6" ht="14.25" thickBot="1">
      <c r="A106" s="1856" t="s">
        <v>1408</v>
      </c>
      <c r="B106" s="1860" t="s">
        <v>2104</v>
      </c>
      <c r="C106" s="1870"/>
      <c r="D106" s="1870"/>
      <c r="E106" s="1870"/>
      <c r="F106" s="1862">
        <v>0.05</v>
      </c>
    </row>
    <row r="107" spans="1:6" ht="24.75" thickBot="1">
      <c r="A107" s="1856" t="s">
        <v>1408</v>
      </c>
      <c r="B107" s="1860" t="s">
        <v>2105</v>
      </c>
      <c r="C107" s="1870"/>
      <c r="D107" s="1870"/>
      <c r="E107" s="1870"/>
      <c r="F107" s="1862">
        <v>0.05</v>
      </c>
    </row>
    <row r="108" spans="1:6" ht="24.75" thickBot="1">
      <c r="A108" s="1856" t="s">
        <v>1408</v>
      </c>
      <c r="B108" s="1860" t="s">
        <v>2106</v>
      </c>
      <c r="C108" s="1870"/>
      <c r="D108" s="1870"/>
      <c r="E108" s="1870"/>
      <c r="F108" s="1862">
        <v>0.05</v>
      </c>
    </row>
    <row r="109" spans="1:6" ht="24.75" thickBot="1">
      <c r="A109" s="1864" t="s">
        <v>1408</v>
      </c>
      <c r="B109" s="1871" t="s">
        <v>2107</v>
      </c>
      <c r="C109" s="1867"/>
      <c r="D109" s="1867"/>
      <c r="E109" s="1867"/>
      <c r="F109" s="1872">
        <v>0.05</v>
      </c>
    </row>
    <row r="110" spans="1:6" ht="14.25" thickBot="1">
      <c r="A110" s="1856" t="s">
        <v>1410</v>
      </c>
      <c r="B110" s="1857" t="s">
        <v>2108</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2109</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2110</v>
      </c>
      <c r="C138" s="1861">
        <v>0.105</v>
      </c>
      <c r="D138" s="1861">
        <v>0.125</v>
      </c>
      <c r="E138" s="1861">
        <v>0.112</v>
      </c>
      <c r="F138" s="1869"/>
    </row>
    <row r="139" spans="1:6" ht="14.25" thickBot="1">
      <c r="A139" s="1856" t="s">
        <v>1410</v>
      </c>
      <c r="B139" s="1860" t="s">
        <v>2111</v>
      </c>
      <c r="C139" s="1861">
        <v>0.127</v>
      </c>
      <c r="D139" s="1861">
        <v>0.127</v>
      </c>
      <c r="E139" s="1861">
        <v>0.122</v>
      </c>
      <c r="F139" s="1862">
        <v>0.13</v>
      </c>
    </row>
    <row r="140" spans="1:6" ht="14.25" thickBot="1">
      <c r="A140" s="1856" t="s">
        <v>1410</v>
      </c>
      <c r="B140" s="1860" t="s">
        <v>2112</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2113</v>
      </c>
      <c r="C144" s="1874">
        <v>0.126</v>
      </c>
      <c r="D144" s="1874">
        <v>0.126</v>
      </c>
      <c r="E144" s="1874">
        <v>0.121</v>
      </c>
      <c r="F144" s="1869"/>
    </row>
    <row r="145" spans="1:6" ht="14.25" thickBot="1">
      <c r="A145" s="1864" t="s">
        <v>1410</v>
      </c>
      <c r="B145" s="1875" t="s">
        <v>2114</v>
      </c>
      <c r="C145" s="1876"/>
      <c r="D145" s="1876"/>
      <c r="E145" s="1876"/>
      <c r="F145" s="1877">
        <v>0.05</v>
      </c>
    </row>
    <row r="146" spans="1:6" ht="24.75" thickBot="1">
      <c r="A146" s="1878" t="s">
        <v>1410</v>
      </c>
      <c r="B146" s="1863" t="s">
        <v>2115</v>
      </c>
      <c r="C146" s="1870"/>
      <c r="D146" s="1870"/>
      <c r="E146" s="1870"/>
      <c r="F146" s="1879">
        <v>0.05</v>
      </c>
    </row>
    <row r="147" spans="1:6" ht="24.75" thickBot="1">
      <c r="A147" s="1856" t="s">
        <v>1410</v>
      </c>
      <c r="B147" s="1860" t="s">
        <v>2116</v>
      </c>
      <c r="C147" s="1870"/>
      <c r="D147" s="1870"/>
      <c r="E147" s="1870"/>
      <c r="F147" s="1862">
        <v>0.05</v>
      </c>
    </row>
    <row r="148" spans="1:6" ht="24.75" thickBot="1">
      <c r="A148" s="1856" t="s">
        <v>1410</v>
      </c>
      <c r="B148" s="1860" t="s">
        <v>2117</v>
      </c>
      <c r="C148" s="1870"/>
      <c r="D148" s="1870"/>
      <c r="E148" s="1870"/>
      <c r="F148" s="1862">
        <v>0.05</v>
      </c>
    </row>
    <row r="149" spans="1:6" ht="24.75" thickBot="1">
      <c r="A149" s="1856" t="s">
        <v>1410</v>
      </c>
      <c r="B149" s="1860" t="s">
        <v>2118</v>
      </c>
      <c r="C149" s="1870"/>
      <c r="D149" s="1870"/>
      <c r="E149" s="1870"/>
      <c r="F149" s="1862">
        <v>0.05</v>
      </c>
    </row>
    <row r="150" spans="1:6" ht="24.75" thickBot="1">
      <c r="A150" s="1856" t="s">
        <v>1410</v>
      </c>
      <c r="B150" s="1860" t="s">
        <v>2119</v>
      </c>
      <c r="C150" s="1870"/>
      <c r="D150" s="1870"/>
      <c r="E150" s="1870"/>
      <c r="F150" s="1862">
        <v>0.05</v>
      </c>
    </row>
    <row r="151" spans="1:6" ht="24.75" thickBot="1">
      <c r="A151" s="1856" t="s">
        <v>1410</v>
      </c>
      <c r="B151" s="1860" t="s">
        <v>2120</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2121</v>
      </c>
      <c r="C153" s="1870"/>
      <c r="D153" s="1870"/>
      <c r="E153" s="1870"/>
      <c r="F153" s="1862">
        <v>0.05</v>
      </c>
    </row>
    <row r="154" spans="1:6" ht="14.25" thickBot="1">
      <c r="A154" s="1856" t="s">
        <v>1410</v>
      </c>
      <c r="B154" s="1860" t="s">
        <v>2122</v>
      </c>
      <c r="C154" s="1870"/>
      <c r="D154" s="1870"/>
      <c r="E154" s="1870"/>
      <c r="F154" s="1862">
        <v>0.05</v>
      </c>
    </row>
    <row r="155" spans="1:6" ht="24.75" thickBot="1">
      <c r="A155" s="1856" t="s">
        <v>1410</v>
      </c>
      <c r="B155" s="1860" t="s">
        <v>2123</v>
      </c>
      <c r="C155" s="1870"/>
      <c r="D155" s="1870"/>
      <c r="E155" s="1870"/>
      <c r="F155" s="1862">
        <v>0.05</v>
      </c>
    </row>
    <row r="156" spans="1:6" ht="24.75" thickBot="1">
      <c r="A156" s="1856" t="s">
        <v>1410</v>
      </c>
      <c r="B156" s="1860" t="s">
        <v>2124</v>
      </c>
      <c r="C156" s="1870"/>
      <c r="D156" s="1870"/>
      <c r="E156" s="1870"/>
      <c r="F156" s="1862">
        <v>0.05</v>
      </c>
    </row>
    <row r="157" spans="1:6" ht="14.25" thickBot="1">
      <c r="A157" s="1864" t="s">
        <v>1410</v>
      </c>
      <c r="B157" s="1871" t="s">
        <v>2125</v>
      </c>
      <c r="C157" s="1867"/>
      <c r="D157" s="1867"/>
      <c r="E157" s="1867"/>
      <c r="F157" s="1872">
        <v>0.05</v>
      </c>
    </row>
    <row r="158" spans="1:6" ht="14.25" thickBot="1">
      <c r="A158" s="1856" t="s">
        <v>1412</v>
      </c>
      <c r="B158" s="1857" t="s">
        <v>2126</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2127</v>
      </c>
      <c r="C171" s="1861">
        <v>0.127</v>
      </c>
      <c r="D171" s="1861">
        <v>0.126</v>
      </c>
      <c r="E171" s="1861">
        <v>0.126</v>
      </c>
      <c r="F171" s="1862">
        <v>0.11799999999999999</v>
      </c>
    </row>
    <row r="172" spans="1:6" ht="14.25" thickBot="1">
      <c r="A172" s="1856" t="s">
        <v>1412</v>
      </c>
      <c r="B172" s="1860" t="s">
        <v>2128</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2129</v>
      </c>
      <c r="C174" s="1861">
        <v>0.13</v>
      </c>
      <c r="D174" s="1861">
        <v>0.13</v>
      </c>
      <c r="E174" s="1861">
        <v>0.13</v>
      </c>
      <c r="F174" s="1862">
        <v>0.13</v>
      </c>
    </row>
    <row r="175" spans="1:6" ht="14.25" thickBot="1">
      <c r="A175" s="1856" t="s">
        <v>1412</v>
      </c>
      <c r="B175" s="1860" t="s">
        <v>2130</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2131</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2132</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2133</v>
      </c>
      <c r="C185" s="1861">
        <v>0.127</v>
      </c>
      <c r="D185" s="1861">
        <v>0.127</v>
      </c>
      <c r="E185" s="1861">
        <v>0.128</v>
      </c>
      <c r="F185" s="1862">
        <v>0.13</v>
      </c>
    </row>
    <row r="186" spans="1:6" ht="24.75" thickBot="1">
      <c r="A186" s="1856" t="s">
        <v>1412</v>
      </c>
      <c r="B186" s="1860" t="s">
        <v>2134</v>
      </c>
      <c r="C186" s="1870"/>
      <c r="D186" s="1870"/>
      <c r="E186" s="1870"/>
      <c r="F186" s="1862">
        <v>0.05</v>
      </c>
    </row>
    <row r="187" spans="1:6" ht="14.25" thickBot="1">
      <c r="A187" s="1856" t="s">
        <v>1412</v>
      </c>
      <c r="B187" s="1860" t="s">
        <v>2135</v>
      </c>
      <c r="C187" s="1870"/>
      <c r="D187" s="1870"/>
      <c r="E187" s="1870"/>
      <c r="F187" s="1862">
        <v>0.05</v>
      </c>
    </row>
    <row r="188" spans="1:6" ht="14.25" thickBot="1">
      <c r="A188" s="1856" t="s">
        <v>1412</v>
      </c>
      <c r="B188" s="1860" t="s">
        <v>2136</v>
      </c>
      <c r="C188" s="1870"/>
      <c r="D188" s="1870"/>
      <c r="E188" s="1870"/>
      <c r="F188" s="1862">
        <v>0.05</v>
      </c>
    </row>
    <row r="189" spans="1:6" ht="24.75" thickBot="1">
      <c r="A189" s="1856" t="s">
        <v>1412</v>
      </c>
      <c r="B189" s="1860" t="s">
        <v>2137</v>
      </c>
      <c r="C189" s="1870"/>
      <c r="D189" s="1870"/>
      <c r="E189" s="1870"/>
      <c r="F189" s="1862">
        <v>0.05</v>
      </c>
    </row>
    <row r="190" spans="1:6" ht="24.75" thickBot="1">
      <c r="A190" s="1856" t="s">
        <v>1412</v>
      </c>
      <c r="B190" s="1860" t="s">
        <v>2138</v>
      </c>
      <c r="C190" s="1870"/>
      <c r="D190" s="1870"/>
      <c r="E190" s="1870"/>
      <c r="F190" s="1862">
        <v>0.05</v>
      </c>
    </row>
    <row r="191" spans="1:6" ht="24.75" thickBot="1">
      <c r="A191" s="1856" t="s">
        <v>1412</v>
      </c>
      <c r="B191" s="1860" t="s">
        <v>2139</v>
      </c>
      <c r="C191" s="1870"/>
      <c r="D191" s="1870"/>
      <c r="E191" s="1870"/>
      <c r="F191" s="1862">
        <v>0.05</v>
      </c>
    </row>
    <row r="192" spans="1:6" ht="24.75" thickBot="1">
      <c r="A192" s="1856" t="s">
        <v>1412</v>
      </c>
      <c r="B192" s="1860" t="s">
        <v>2140</v>
      </c>
      <c r="C192" s="1870"/>
      <c r="D192" s="1870"/>
      <c r="E192" s="1870"/>
      <c r="F192" s="1862">
        <v>0.05</v>
      </c>
    </row>
    <row r="193" spans="1:6" ht="24.75" thickBot="1">
      <c r="A193" s="1856" t="s">
        <v>1412</v>
      </c>
      <c r="B193" s="1860" t="s">
        <v>2141</v>
      </c>
      <c r="C193" s="1870"/>
      <c r="D193" s="1870"/>
      <c r="E193" s="1870"/>
      <c r="F193" s="1862">
        <v>0.05</v>
      </c>
    </row>
    <row r="194" spans="1:6" ht="24.75" thickBot="1">
      <c r="A194" s="1856" t="s">
        <v>1412</v>
      </c>
      <c r="B194" s="1860" t="s">
        <v>2142</v>
      </c>
      <c r="C194" s="1870"/>
      <c r="D194" s="1870"/>
      <c r="E194" s="1870"/>
      <c r="F194" s="1862">
        <v>0.05</v>
      </c>
    </row>
    <row r="195" spans="1:6" ht="14.25" thickBot="1">
      <c r="A195" s="1856" t="s">
        <v>1412</v>
      </c>
      <c r="B195" s="1860" t="s">
        <v>2143</v>
      </c>
      <c r="C195" s="1870"/>
      <c r="D195" s="1870"/>
      <c r="E195" s="1870"/>
      <c r="F195" s="1862">
        <v>0.05</v>
      </c>
    </row>
    <row r="196" spans="1:6" ht="24.75" thickBot="1">
      <c r="A196" s="1856" t="s">
        <v>1412</v>
      </c>
      <c r="B196" s="1860" t="s">
        <v>2144</v>
      </c>
      <c r="C196" s="1870"/>
      <c r="D196" s="1870"/>
      <c r="E196" s="1870"/>
      <c r="F196" s="1862">
        <v>0.05</v>
      </c>
    </row>
    <row r="197" spans="1:6" ht="24.75" thickBot="1">
      <c r="A197" s="1856" t="s">
        <v>1412</v>
      </c>
      <c r="B197" s="1860" t="s">
        <v>2145</v>
      </c>
      <c r="C197" s="1870"/>
      <c r="D197" s="1870"/>
      <c r="E197" s="1870"/>
      <c r="F197" s="1862">
        <v>0.05</v>
      </c>
    </row>
    <row r="198" spans="1:6" ht="24.75" thickBot="1">
      <c r="A198" s="1856" t="s">
        <v>1412</v>
      </c>
      <c r="B198" s="1860" t="s">
        <v>2146</v>
      </c>
      <c r="C198" s="1870"/>
      <c r="D198" s="1870"/>
      <c r="E198" s="1870"/>
      <c r="F198" s="1862">
        <v>0.05</v>
      </c>
    </row>
    <row r="199" spans="1:6" ht="24.75" thickBot="1">
      <c r="A199" s="1856" t="s">
        <v>1412</v>
      </c>
      <c r="B199" s="1860" t="s">
        <v>2147</v>
      </c>
      <c r="C199" s="1870"/>
      <c r="D199" s="1870"/>
      <c r="E199" s="1870"/>
      <c r="F199" s="1862">
        <v>0.05</v>
      </c>
    </row>
    <row r="200" spans="1:6" ht="24.75" thickBot="1">
      <c r="A200" s="1856" t="s">
        <v>1412</v>
      </c>
      <c r="B200" s="1860" t="s">
        <v>2148</v>
      </c>
      <c r="C200" s="1870"/>
      <c r="D200" s="1870"/>
      <c r="E200" s="1870"/>
      <c r="F200" s="1862">
        <v>0.05</v>
      </c>
    </row>
    <row r="201" spans="1:6" ht="24.75" thickBot="1">
      <c r="A201" s="1856" t="s">
        <v>1412</v>
      </c>
      <c r="B201" s="1860" t="s">
        <v>2149</v>
      </c>
      <c r="C201" s="1870"/>
      <c r="D201" s="1870"/>
      <c r="E201" s="1870"/>
      <c r="F201" s="1862">
        <v>0.05</v>
      </c>
    </row>
    <row r="202" spans="1:6" ht="24.75" thickBot="1">
      <c r="A202" s="1856" t="s">
        <v>1412</v>
      </c>
      <c r="B202" s="1860" t="s">
        <v>2150</v>
      </c>
      <c r="C202" s="1870"/>
      <c r="D202" s="1870"/>
      <c r="E202" s="1870"/>
      <c r="F202" s="1862">
        <v>0.05</v>
      </c>
    </row>
    <row r="203" spans="1:6" ht="24.75" thickBot="1">
      <c r="A203" s="1856" t="s">
        <v>1412</v>
      </c>
      <c r="B203" s="1860" t="s">
        <v>2151</v>
      </c>
      <c r="C203" s="1870"/>
      <c r="D203" s="1870"/>
      <c r="E203" s="1870"/>
      <c r="F203" s="1862">
        <v>0.05</v>
      </c>
    </row>
    <row r="204" spans="1:6" ht="14.25" thickBot="1">
      <c r="A204" s="1856" t="s">
        <v>1412</v>
      </c>
      <c r="B204" s="1860" t="s">
        <v>2152</v>
      </c>
      <c r="C204" s="1870"/>
      <c r="D204" s="1870"/>
      <c r="E204" s="1870"/>
      <c r="F204" s="1862">
        <v>0.05</v>
      </c>
    </row>
    <row r="205" spans="1:6" ht="14.25" thickBot="1">
      <c r="A205" s="1864" t="s">
        <v>1412</v>
      </c>
      <c r="B205" s="1871" t="s">
        <v>2153</v>
      </c>
      <c r="C205" s="1867"/>
      <c r="D205" s="1867"/>
      <c r="E205" s="1867"/>
      <c r="F205" s="1872">
        <v>0.05</v>
      </c>
    </row>
    <row r="206" spans="1:6" ht="14.25" thickBot="1">
      <c r="A206" s="1856" t="s">
        <v>1414</v>
      </c>
      <c r="B206" s="1857" t="s">
        <v>2154</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2155</v>
      </c>
      <c r="C210" s="1861">
        <v>0.15</v>
      </c>
      <c r="D210" s="1861">
        <v>0.15</v>
      </c>
      <c r="E210" s="1861">
        <v>0.15</v>
      </c>
      <c r="F210" s="1862">
        <v>0.13800000000000001</v>
      </c>
    </row>
    <row r="211" spans="1:6" ht="14.25" thickBot="1">
      <c r="A211" s="1856" t="s">
        <v>1414</v>
      </c>
      <c r="B211" s="1860" t="s">
        <v>2156</v>
      </c>
      <c r="C211" s="1861">
        <v>0.13700000000000001</v>
      </c>
      <c r="D211" s="1861">
        <v>0.13500000000000001</v>
      </c>
      <c r="E211" s="1861">
        <v>0.13600000000000001</v>
      </c>
      <c r="F211" s="1862">
        <v>0.1</v>
      </c>
    </row>
    <row r="212" spans="1:6" ht="14.25" thickBot="1">
      <c r="A212" s="1856" t="s">
        <v>1414</v>
      </c>
      <c r="B212" s="1860" t="s">
        <v>2157</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2158</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2159</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2160</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2161</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2162</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2163</v>
      </c>
      <c r="C231" s="1861">
        <v>0.128</v>
      </c>
      <c r="D231" s="1861">
        <v>0.125</v>
      </c>
      <c r="E231" s="1861">
        <v>0.13200000000000001</v>
      </c>
      <c r="F231" s="1869"/>
    </row>
    <row r="232" spans="1:6" ht="14.25" thickBot="1">
      <c r="A232" s="1856" t="s">
        <v>1414</v>
      </c>
      <c r="B232" s="1860" t="s">
        <v>2164</v>
      </c>
      <c r="C232" s="1861">
        <v>0.14499999999999999</v>
      </c>
      <c r="D232" s="1861">
        <v>0.14399999999999999</v>
      </c>
      <c r="E232" s="1861">
        <v>0.14599999999999999</v>
      </c>
      <c r="F232" s="1862">
        <v>0.13800000000000001</v>
      </c>
    </row>
    <row r="233" spans="1:6" ht="14.25" thickBot="1">
      <c r="A233" s="1856" t="s">
        <v>1414</v>
      </c>
      <c r="B233" s="1860" t="s">
        <v>2165</v>
      </c>
      <c r="C233" s="1861">
        <v>0.14499999999999999</v>
      </c>
      <c r="D233" s="1861">
        <v>0.14299999999999999</v>
      </c>
      <c r="E233" s="1861">
        <v>0.14199999999999999</v>
      </c>
      <c r="F233" s="1869"/>
    </row>
    <row r="234" spans="1:6" ht="14.25" thickBot="1">
      <c r="A234" s="1856" t="s">
        <v>1414</v>
      </c>
      <c r="B234" s="1860" t="s">
        <v>2166</v>
      </c>
      <c r="C234" s="1861">
        <v>0.14000000000000001</v>
      </c>
      <c r="D234" s="1861">
        <v>0.14000000000000001</v>
      </c>
      <c r="E234" s="1861">
        <v>0.14399999999999999</v>
      </c>
      <c r="F234" s="1869"/>
    </row>
    <row r="235" spans="1:6" ht="14.25" thickBot="1">
      <c r="A235" s="1856" t="s">
        <v>1414</v>
      </c>
      <c r="B235" s="1860" t="s">
        <v>2167</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2168</v>
      </c>
      <c r="C237" s="1870"/>
      <c r="D237" s="1870"/>
      <c r="E237" s="1870"/>
      <c r="F237" s="1862">
        <v>0.05</v>
      </c>
    </row>
    <row r="238" spans="1:6" ht="24.75" thickBot="1">
      <c r="A238" s="1856" t="s">
        <v>1414</v>
      </c>
      <c r="B238" s="1860" t="s">
        <v>2169</v>
      </c>
      <c r="C238" s="1870"/>
      <c r="D238" s="1870"/>
      <c r="E238" s="1870"/>
      <c r="F238" s="1862">
        <v>0.05</v>
      </c>
    </row>
    <row r="239" spans="1:6" ht="24.75" thickBot="1">
      <c r="A239" s="1856" t="s">
        <v>1414</v>
      </c>
      <c r="B239" s="1860" t="s">
        <v>2170</v>
      </c>
      <c r="C239" s="1870"/>
      <c r="D239" s="1870"/>
      <c r="E239" s="1870"/>
      <c r="F239" s="1862">
        <v>0.05</v>
      </c>
    </row>
    <row r="240" spans="1:6" ht="24.75" thickBot="1">
      <c r="A240" s="1856" t="s">
        <v>1414</v>
      </c>
      <c r="B240" s="1860" t="s">
        <v>2171</v>
      </c>
      <c r="C240" s="1870"/>
      <c r="D240" s="1870"/>
      <c r="E240" s="1870"/>
      <c r="F240" s="1862">
        <v>0.05</v>
      </c>
    </row>
    <row r="241" spans="1:6" ht="24.75" thickBot="1">
      <c r="A241" s="1856" t="s">
        <v>1414</v>
      </c>
      <c r="B241" s="1860" t="s">
        <v>2172</v>
      </c>
      <c r="C241" s="1870"/>
      <c r="D241" s="1870"/>
      <c r="E241" s="1870"/>
      <c r="F241" s="1862">
        <v>0.05</v>
      </c>
    </row>
    <row r="242" spans="1:6" ht="24.75" thickBot="1">
      <c r="A242" s="1856" t="s">
        <v>1414</v>
      </c>
      <c r="B242" s="1860" t="s">
        <v>2173</v>
      </c>
      <c r="C242" s="1870"/>
      <c r="D242" s="1870"/>
      <c r="E242" s="1870"/>
      <c r="F242" s="1862">
        <v>0.05</v>
      </c>
    </row>
    <row r="243" spans="1:6" ht="24.75" thickBot="1">
      <c r="A243" s="1856" t="s">
        <v>1414</v>
      </c>
      <c r="B243" s="1860" t="s">
        <v>2174</v>
      </c>
      <c r="C243" s="1870"/>
      <c r="D243" s="1870"/>
      <c r="E243" s="1870"/>
      <c r="F243" s="1862">
        <v>0.05</v>
      </c>
    </row>
    <row r="244" spans="1:6" ht="24.75" thickBot="1">
      <c r="A244" s="1864" t="s">
        <v>1414</v>
      </c>
      <c r="B244" s="1871" t="s">
        <v>2175</v>
      </c>
      <c r="C244" s="1867"/>
      <c r="D244" s="1867"/>
      <c r="E244" s="1867"/>
      <c r="F244" s="1872">
        <v>0.05</v>
      </c>
    </row>
    <row r="245" spans="1:6" ht="14.25" thickBot="1">
      <c r="A245" s="1856" t="s">
        <v>1416</v>
      </c>
      <c r="B245" s="1857" t="s">
        <v>2176</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2177</v>
      </c>
      <c r="C247" s="1861">
        <v>0.15</v>
      </c>
      <c r="D247" s="1861">
        <v>0.15</v>
      </c>
      <c r="E247" s="1861">
        <v>0.15</v>
      </c>
      <c r="F247" s="1862">
        <v>0.15</v>
      </c>
    </row>
    <row r="248" spans="1:6" ht="14.25" thickBot="1">
      <c r="A248" s="1856" t="s">
        <v>1416</v>
      </c>
      <c r="B248" s="1860" t="s">
        <v>2178</v>
      </c>
      <c r="C248" s="1861">
        <v>0.15</v>
      </c>
      <c r="D248" s="1861">
        <v>0.15</v>
      </c>
      <c r="E248" s="1861">
        <v>0.15</v>
      </c>
      <c r="F248" s="1862">
        <v>0.14000000000000001</v>
      </c>
    </row>
    <row r="249" spans="1:6" ht="14.25" thickBot="1">
      <c r="A249" s="1856" t="s">
        <v>1416</v>
      </c>
      <c r="B249" s="1860" t="s">
        <v>2179</v>
      </c>
      <c r="C249" s="1861">
        <v>0.15</v>
      </c>
      <c r="D249" s="1861">
        <v>0.14899999999999999</v>
      </c>
      <c r="E249" s="1861">
        <v>0.15</v>
      </c>
      <c r="F249" s="1862">
        <v>0.1</v>
      </c>
    </row>
    <row r="250" spans="1:6" ht="14.25" thickBot="1">
      <c r="A250" s="1856" t="s">
        <v>1416</v>
      </c>
      <c r="B250" s="1860" t="s">
        <v>2180</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2181</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2182</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2183</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2184</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2185</v>
      </c>
      <c r="C273" s="1861">
        <v>0.14199999999999999</v>
      </c>
      <c r="D273" s="1861">
        <v>0.14299999999999999</v>
      </c>
      <c r="E273" s="1861">
        <v>0.15</v>
      </c>
      <c r="F273" s="1862">
        <v>0.1</v>
      </c>
    </row>
    <row r="274" spans="1:6" ht="14.25" thickBot="1">
      <c r="A274" s="1856" t="s">
        <v>1416</v>
      </c>
      <c r="B274" s="1860" t="s">
        <v>2186</v>
      </c>
      <c r="C274" s="1861">
        <v>0.14799999999999999</v>
      </c>
      <c r="D274" s="1861">
        <v>0.14799999999999999</v>
      </c>
      <c r="E274" s="1861">
        <v>0.15</v>
      </c>
      <c r="F274" s="1862">
        <v>6.7000000000000004E-2</v>
      </c>
    </row>
    <row r="275" spans="1:6" ht="14.25" thickBot="1">
      <c r="A275" s="1856" t="s">
        <v>1416</v>
      </c>
      <c r="B275" s="1860" t="s">
        <v>2187</v>
      </c>
      <c r="C275" s="1861">
        <v>0.15</v>
      </c>
      <c r="D275" s="1861">
        <v>0.15</v>
      </c>
      <c r="E275" s="1861">
        <v>0.15</v>
      </c>
      <c r="F275" s="1862">
        <v>0.15</v>
      </c>
    </row>
    <row r="276" spans="1:6" ht="14.25" thickBot="1">
      <c r="A276" s="1856" t="s">
        <v>1416</v>
      </c>
      <c r="B276" s="1860" t="s">
        <v>2188</v>
      </c>
      <c r="C276" s="1861">
        <v>0.14499999999999999</v>
      </c>
      <c r="D276" s="1861">
        <v>0.14299999999999999</v>
      </c>
      <c r="E276" s="1861">
        <v>0.15</v>
      </c>
      <c r="F276" s="1862">
        <v>5.8999999999999997E-2</v>
      </c>
    </row>
    <row r="277" spans="1:6" ht="14.25" thickBot="1">
      <c r="A277" s="1856" t="s">
        <v>1416</v>
      </c>
      <c r="B277" s="1860" t="s">
        <v>2189</v>
      </c>
      <c r="C277" s="1861">
        <v>0.15</v>
      </c>
      <c r="D277" s="1861">
        <v>0.15</v>
      </c>
      <c r="E277" s="1861">
        <v>0.15</v>
      </c>
      <c r="F277" s="1862">
        <v>0.121</v>
      </c>
    </row>
    <row r="278" spans="1:6" ht="14.25" thickBot="1">
      <c r="A278" s="1856" t="s">
        <v>1416</v>
      </c>
      <c r="B278" s="1860" t="s">
        <v>2190</v>
      </c>
      <c r="C278" s="1861">
        <v>0.15</v>
      </c>
      <c r="D278" s="1861">
        <v>0.15</v>
      </c>
      <c r="E278" s="1861">
        <v>0.15</v>
      </c>
      <c r="F278" s="1862">
        <v>0.13800000000000001</v>
      </c>
    </row>
    <row r="279" spans="1:6" ht="24.75" thickBot="1">
      <c r="A279" s="1856" t="s">
        <v>1416</v>
      </c>
      <c r="B279" s="1860" t="s">
        <v>2191</v>
      </c>
      <c r="C279" s="1870"/>
      <c r="D279" s="1870"/>
      <c r="E279" s="1870"/>
      <c r="F279" s="1862">
        <v>0.05</v>
      </c>
    </row>
    <row r="280" spans="1:6" ht="24.75" thickBot="1">
      <c r="A280" s="1856" t="s">
        <v>1416</v>
      </c>
      <c r="B280" s="1860" t="s">
        <v>2192</v>
      </c>
      <c r="C280" s="1870"/>
      <c r="D280" s="1870"/>
      <c r="E280" s="1870"/>
      <c r="F280" s="1862">
        <v>0.05</v>
      </c>
    </row>
    <row r="281" spans="1:6" ht="24.75" thickBot="1">
      <c r="A281" s="1856" t="s">
        <v>1416</v>
      </c>
      <c r="B281" s="1860" t="s">
        <v>2193</v>
      </c>
      <c r="C281" s="1870"/>
      <c r="D281" s="1870"/>
      <c r="E281" s="1870"/>
      <c r="F281" s="1862">
        <v>0.05</v>
      </c>
    </row>
    <row r="282" spans="1:6" ht="24.75" thickBot="1">
      <c r="A282" s="1856" t="s">
        <v>1416</v>
      </c>
      <c r="B282" s="1860" t="s">
        <v>2194</v>
      </c>
      <c r="C282" s="1870"/>
      <c r="D282" s="1870"/>
      <c r="E282" s="1870"/>
      <c r="F282" s="1862">
        <v>0.05</v>
      </c>
    </row>
    <row r="283" spans="1:6" ht="24.75" thickBot="1">
      <c r="A283" s="1856" t="s">
        <v>1416</v>
      </c>
      <c r="B283" s="1860" t="s">
        <v>2195</v>
      </c>
      <c r="C283" s="1870"/>
      <c r="D283" s="1870"/>
      <c r="E283" s="1870"/>
      <c r="F283" s="1862">
        <v>0.05</v>
      </c>
    </row>
    <row r="284" spans="1:6" ht="24.75" thickBot="1">
      <c r="A284" s="1856" t="s">
        <v>1416</v>
      </c>
      <c r="B284" s="1860" t="s">
        <v>2196</v>
      </c>
      <c r="C284" s="1870"/>
      <c r="D284" s="1870"/>
      <c r="E284" s="1870"/>
      <c r="F284" s="1862">
        <v>0.05</v>
      </c>
    </row>
    <row r="285" spans="1:6" ht="24.75" thickBot="1">
      <c r="A285" s="1856" t="s">
        <v>1416</v>
      </c>
      <c r="B285" s="1860" t="s">
        <v>2197</v>
      </c>
      <c r="C285" s="1870"/>
      <c r="D285" s="1870"/>
      <c r="E285" s="1870"/>
      <c r="F285" s="1862">
        <v>0.05</v>
      </c>
    </row>
    <row r="286" spans="1:6" ht="24.75" thickBot="1">
      <c r="A286" s="1856" t="s">
        <v>1416</v>
      </c>
      <c r="B286" s="1860" t="s">
        <v>2198</v>
      </c>
      <c r="C286" s="1870"/>
      <c r="D286" s="1870"/>
      <c r="E286" s="1870"/>
      <c r="F286" s="1862">
        <v>0.05</v>
      </c>
    </row>
    <row r="287" spans="1:6" ht="24.75" thickBot="1">
      <c r="A287" s="1856" t="s">
        <v>1416</v>
      </c>
      <c r="B287" s="1860" t="s">
        <v>2199</v>
      </c>
      <c r="C287" s="1870"/>
      <c r="D287" s="1870"/>
      <c r="E287" s="1870"/>
      <c r="F287" s="1862">
        <v>0.05</v>
      </c>
    </row>
    <row r="288" spans="1:6" ht="24.75" thickBot="1">
      <c r="A288" s="1856" t="s">
        <v>1416</v>
      </c>
      <c r="B288" s="1860" t="s">
        <v>2200</v>
      </c>
      <c r="C288" s="1870"/>
      <c r="D288" s="1870"/>
      <c r="E288" s="1870"/>
      <c r="F288" s="1862">
        <v>0.05</v>
      </c>
    </row>
    <row r="289" spans="1:6" ht="24.75" thickBot="1">
      <c r="A289" s="1864" t="s">
        <v>1416</v>
      </c>
      <c r="B289" s="1871" t="s">
        <v>2201</v>
      </c>
      <c r="C289" s="1867"/>
      <c r="D289" s="1867"/>
      <c r="E289" s="1867"/>
      <c r="F289" s="1872">
        <v>0.05</v>
      </c>
    </row>
    <row r="290" spans="1:6" ht="14.25" thickBot="1">
      <c r="A290" s="1856" t="s">
        <v>1420</v>
      </c>
      <c r="B290" s="1857" t="s">
        <v>2202</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2203</v>
      </c>
      <c r="C292" s="1861">
        <v>0.15</v>
      </c>
      <c r="D292" s="1861">
        <v>0.15</v>
      </c>
      <c r="E292" s="1861">
        <v>0.15</v>
      </c>
      <c r="F292" s="1862">
        <v>0.14699999999999999</v>
      </c>
    </row>
    <row r="293" spans="1:6" ht="14.25" thickBot="1">
      <c r="A293" s="1856" t="s">
        <v>1420</v>
      </c>
      <c r="B293" s="1860" t="s">
        <v>2204</v>
      </c>
      <c r="C293" s="1870"/>
      <c r="D293" s="1870"/>
      <c r="E293" s="1870"/>
      <c r="F293" s="1862">
        <v>0.1</v>
      </c>
    </row>
    <row r="294" spans="1:6" ht="14.25" thickBot="1">
      <c r="A294" s="1856" t="s">
        <v>1420</v>
      </c>
      <c r="B294" s="1860" t="s">
        <v>2205</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2206</v>
      </c>
      <c r="C296" s="1861">
        <v>0.15</v>
      </c>
      <c r="D296" s="1861">
        <v>0.15</v>
      </c>
      <c r="E296" s="1861">
        <v>0.15</v>
      </c>
      <c r="F296" s="1862">
        <v>0.15</v>
      </c>
    </row>
    <row r="297" spans="1:6" ht="14.25" thickBot="1">
      <c r="A297" s="1856" t="s">
        <v>1420</v>
      </c>
      <c r="B297" s="1860" t="s">
        <v>2207</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2208</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2209</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2210</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2211</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2212</v>
      </c>
      <c r="C310" s="1861">
        <v>0.15</v>
      </c>
      <c r="D310" s="1861">
        <v>0.15</v>
      </c>
      <c r="E310" s="1861">
        <v>0.15</v>
      </c>
      <c r="F310" s="1862">
        <v>0.13700000000000001</v>
      </c>
    </row>
    <row r="311" spans="1:6" ht="14.25" thickBot="1">
      <c r="A311" s="1856" t="s">
        <v>1420</v>
      </c>
      <c r="B311" s="1860" t="s">
        <v>2213</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2214</v>
      </c>
      <c r="C313" s="1861">
        <v>0.15</v>
      </c>
      <c r="D313" s="1861">
        <v>0.15</v>
      </c>
      <c r="E313" s="1861">
        <v>0.15</v>
      </c>
      <c r="F313" s="1862">
        <v>0.15</v>
      </c>
    </row>
    <row r="314" spans="1:6" ht="24.75" thickBot="1">
      <c r="A314" s="1856" t="s">
        <v>1420</v>
      </c>
      <c r="B314" s="1860" t="s">
        <v>2215</v>
      </c>
      <c r="C314" s="1870"/>
      <c r="D314" s="1870"/>
      <c r="E314" s="1870"/>
      <c r="F314" s="1862">
        <v>0.05</v>
      </c>
    </row>
    <row r="315" spans="1:6" ht="24.75" thickBot="1">
      <c r="A315" s="1856" t="s">
        <v>1420</v>
      </c>
      <c r="B315" s="1860" t="s">
        <v>2216</v>
      </c>
      <c r="C315" s="1870"/>
      <c r="D315" s="1870"/>
      <c r="E315" s="1870"/>
      <c r="F315" s="1862">
        <v>0.05</v>
      </c>
    </row>
    <row r="316" spans="1:6" ht="24.75" thickBot="1">
      <c r="A316" s="1864" t="s">
        <v>1420</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1108</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1177</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1197</v>
      </c>
      <c r="C328" s="1861">
        <v>0.15</v>
      </c>
      <c r="D328" s="1861">
        <v>0.15</v>
      </c>
      <c r="E328" s="1861">
        <v>0.15</v>
      </c>
      <c r="F328" s="1862">
        <v>0.14099999999999999</v>
      </c>
    </row>
    <row r="329" spans="1:6" ht="14.25" thickBot="1">
      <c r="A329" s="1856" t="s">
        <v>2218</v>
      </c>
      <c r="B329" s="1860" t="s">
        <v>1207</v>
      </c>
      <c r="C329" s="1861">
        <v>0.15</v>
      </c>
      <c r="D329" s="1861">
        <v>0.15</v>
      </c>
      <c r="E329" s="1861">
        <v>0.15</v>
      </c>
      <c r="F329" s="1862">
        <v>0.15</v>
      </c>
    </row>
    <row r="330" spans="1:6" ht="14.25" thickBot="1">
      <c r="A330" s="1856" t="s">
        <v>2218</v>
      </c>
      <c r="B330" s="1860" t="s">
        <v>1217</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1237</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1257</v>
      </c>
      <c r="C334" s="1861">
        <v>0.15</v>
      </c>
      <c r="D334" s="1861">
        <v>0.15</v>
      </c>
      <c r="E334" s="1861">
        <v>0.15</v>
      </c>
      <c r="F334" s="1862">
        <v>0.15</v>
      </c>
    </row>
    <row r="335" spans="1:6" ht="14.25" thickBot="1">
      <c r="A335" s="1856" t="s">
        <v>2218</v>
      </c>
      <c r="B335" s="1860" t="s">
        <v>1267</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1285</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2981</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2"/>
      <c r="C5" s="1882"/>
      <c r="D5" s="1882"/>
      <c r="E5" s="1882"/>
      <c r="F5" s="3106"/>
    </row>
    <row r="6" spans="1:6" ht="28.5">
      <c r="A6" s="3110" t="s">
        <v>2953</v>
      </c>
      <c r="B6" s="3107" t="s">
        <v>2950</v>
      </c>
      <c r="C6" s="3108"/>
      <c r="D6" s="1882"/>
      <c r="E6" s="3107" t="s">
        <v>2951</v>
      </c>
      <c r="F6" s="3107" t="s">
        <v>2955</v>
      </c>
    </row>
    <row r="7" spans="1:6" ht="14.25">
      <c r="A7" s="260" t="s">
        <v>2954</v>
      </c>
      <c r="B7" s="3111" t="e">
        <f ca="1">SUMIF(INDIRECT("'"&amp;A7&amp;"'"&amp;"!A:A"),"总价",INDIRECT("'"&amp;A7&amp;"'"&amp;"!B:B"))</f>
        <v>#DIV/0!</v>
      </c>
      <c r="C7" s="3107" t="s">
        <v>2948</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2"/>
      <c r="E9" s="3112" t="e">
        <f t="shared" ca="1" si="1"/>
        <v>#REF!</v>
      </c>
      <c r="F9" s="3112" t="e">
        <f t="shared" ca="1" si="2"/>
        <v>#REF!</v>
      </c>
    </row>
    <row r="10" spans="1:6" ht="14.25">
      <c r="A10" s="260"/>
      <c r="B10" s="3111" t="e">
        <f t="shared" ca="1" si="0"/>
        <v>#REF!</v>
      </c>
      <c r="C10" s="3107" t="s">
        <v>2948</v>
      </c>
      <c r="D10" s="1882"/>
      <c r="E10" s="3112" t="e">
        <f t="shared" ca="1" si="1"/>
        <v>#REF!</v>
      </c>
      <c r="F10" s="3112" t="e">
        <f t="shared" ca="1" si="2"/>
        <v>#REF!</v>
      </c>
    </row>
    <row r="11" spans="1:6" ht="14.25">
      <c r="A11" s="260"/>
      <c r="B11" s="3111" t="e">
        <f t="shared" ca="1" si="0"/>
        <v>#REF!</v>
      </c>
      <c r="C11" s="3107" t="s">
        <v>2948</v>
      </c>
      <c r="D11" s="1882"/>
      <c r="E11" s="3112" t="e">
        <f t="shared" ca="1" si="1"/>
        <v>#REF!</v>
      </c>
      <c r="F11" s="3112" t="e">
        <f t="shared" ca="1" si="2"/>
        <v>#REF!</v>
      </c>
    </row>
    <row r="12" spans="1:6" ht="14.25">
      <c r="A12" s="260"/>
      <c r="B12" s="3111" t="e">
        <f t="shared" ca="1" si="0"/>
        <v>#REF!</v>
      </c>
      <c r="C12" s="3107" t="s">
        <v>2948</v>
      </c>
      <c r="D12" s="1882"/>
      <c r="E12" s="3112" t="e">
        <f t="shared" ca="1" si="1"/>
        <v>#REF!</v>
      </c>
      <c r="F12" s="3112" t="e">
        <f t="shared" ca="1" si="2"/>
        <v>#REF!</v>
      </c>
    </row>
    <row r="13" spans="1:6" ht="14.25">
      <c r="A13" s="260"/>
      <c r="B13" s="3111" t="e">
        <f t="shared" ca="1" si="0"/>
        <v>#REF!</v>
      </c>
      <c r="C13" s="3107" t="s">
        <v>2948</v>
      </c>
      <c r="D13" s="1882"/>
      <c r="E13" s="3112" t="e">
        <f t="shared" ca="1" si="1"/>
        <v>#REF!</v>
      </c>
      <c r="F13" s="3112" t="e">
        <f t="shared" ca="1" si="2"/>
        <v>#REF!</v>
      </c>
    </row>
    <row r="14" spans="1:6" ht="14.25">
      <c r="A14" s="3105"/>
      <c r="B14" s="3111" t="e">
        <f t="shared" ca="1" si="0"/>
        <v>#REF!</v>
      </c>
      <c r="C14" s="3107" t="s">
        <v>2948</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2376</v>
      </c>
      <c r="F1" s="2389">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2460</v>
      </c>
      <c r="C7" s="53">
        <f ca="1">C8+C12+C14</f>
        <v>0</v>
      </c>
      <c r="D7" s="2497" t="s">
        <v>2463</v>
      </c>
      <c r="E7" s="2491"/>
      <c r="F7" s="2492"/>
      <c r="G7" s="1593"/>
      <c r="H7" s="781">
        <v>1</v>
      </c>
      <c r="I7" s="782" t="s">
        <v>2460</v>
      </c>
      <c r="J7" s="53">
        <f ca="1">J8+J12+J14</f>
        <v>0</v>
      </c>
      <c r="K7" s="2497" t="s">
        <v>2463</v>
      </c>
      <c r="L7" s="2491"/>
      <c r="M7" s="2492"/>
    </row>
    <row r="8" spans="1:25" ht="18" customHeight="1">
      <c r="A8" s="1831" t="s">
        <v>1825</v>
      </c>
      <c r="B8" s="3444" t="s">
        <v>2465</v>
      </c>
      <c r="C8" s="1826">
        <f ca="1">ROUND(F8*F10*F9*(1-F11)/10000,0)</f>
        <v>0</v>
      </c>
      <c r="D8" s="1823" t="s">
        <v>2536</v>
      </c>
      <c r="E8" s="61" t="s">
        <v>637</v>
      </c>
      <c r="F8" s="785">
        <f ca="1">INDIRECT("'数据-取费表'!u"&amp;$G$1)</f>
        <v>0</v>
      </c>
      <c r="G8" s="1593"/>
      <c r="H8" s="2505" t="s">
        <v>1825</v>
      </c>
      <c r="I8" s="3444" t="s">
        <v>2465</v>
      </c>
      <c r="J8" s="783">
        <f ca="1">ROUND(M8*M10*M9*(1-M11)/10000,0)</f>
        <v>0</v>
      </c>
      <c r="K8" s="341" t="s">
        <v>2536</v>
      </c>
      <c r="L8" s="784" t="s">
        <v>1739</v>
      </c>
      <c r="M8" s="785">
        <f ca="1">INDIRECT("'数据-取费表'!z"&amp;$G$1)</f>
        <v>0</v>
      </c>
    </row>
    <row r="9" spans="1:25" ht="18" customHeight="1">
      <c r="A9" s="2501"/>
      <c r="B9" s="3445"/>
      <c r="C9" s="1827"/>
      <c r="D9" s="1824"/>
      <c r="E9" s="61" t="s">
        <v>638</v>
      </c>
      <c r="F9" s="785">
        <f ca="1">IF(INDIRECT("'数据-取费表'!ah"&amp;$G$1)="",INDIRECT("'数据-取费表'!k"&amp;$G$1),INDIRECT("'数据-取费表'!ah"&amp;$G$1))</f>
        <v>0</v>
      </c>
      <c r="G9" s="1593"/>
      <c r="H9" s="2490"/>
      <c r="I9" s="3445"/>
      <c r="J9" s="788"/>
      <c r="K9" s="789"/>
      <c r="L9" s="784" t="s">
        <v>1740</v>
      </c>
      <c r="M9" s="785">
        <f ca="1">F9</f>
        <v>0</v>
      </c>
    </row>
    <row r="10" spans="1:25" ht="18" customHeight="1">
      <c r="A10" s="2494"/>
      <c r="B10" s="3446"/>
      <c r="C10" s="1827"/>
      <c r="D10" s="1824"/>
      <c r="E10" s="61" t="s">
        <v>639</v>
      </c>
      <c r="F10" s="785">
        <f ca="1">INDIRECT("'数据-取费表'!ai"&amp;$G$1)</f>
        <v>0</v>
      </c>
      <c r="G10" s="1593"/>
      <c r="H10" s="2490"/>
      <c r="I10" s="3446"/>
      <c r="J10" s="788"/>
      <c r="K10" s="789"/>
      <c r="L10" s="784" t="s">
        <v>1741</v>
      </c>
      <c r="M10" s="785">
        <f ca="1">INDIRECT("'数据-取费表'!ai"&amp;$G$1)</f>
        <v>0</v>
      </c>
    </row>
    <row r="11" spans="1:25" ht="18" customHeight="1">
      <c r="A11" s="786"/>
      <c r="B11" s="3447"/>
      <c r="C11" s="1827"/>
      <c r="D11" s="1824"/>
      <c r="E11" s="61" t="s">
        <v>640</v>
      </c>
      <c r="F11" s="794">
        <f ca="1">INDIRECT("'数据-取费表'!w"&amp;$G$1)</f>
        <v>0</v>
      </c>
      <c r="G11" s="1593"/>
      <c r="H11" s="2506"/>
      <c r="I11" s="3446"/>
      <c r="J11" s="788"/>
      <c r="K11" s="789"/>
      <c r="L11" s="795" t="s">
        <v>1742</v>
      </c>
      <c r="M11" s="796">
        <f ca="1">INDIRECT("'数据-取费表'!ab"&amp;$G$1)</f>
        <v>0</v>
      </c>
    </row>
    <row r="12" spans="1:25" ht="18" customHeight="1">
      <c r="A12" s="1831" t="s">
        <v>1826</v>
      </c>
      <c r="B12" s="2495" t="s">
        <v>2461</v>
      </c>
      <c r="C12" s="799">
        <f ca="1">ROUND(IF(F12="押一",C8/12*F13,IF(F12="押二",C8/12*2*F13,IF(F12="押三",C8/12*3*F13,C13*F13))),0)</f>
        <v>0</v>
      </c>
      <c r="D12" s="2502" t="s">
        <v>2977</v>
      </c>
      <c r="E12" s="2499" t="s">
        <v>2466</v>
      </c>
      <c r="F12" s="2622"/>
      <c r="G12" s="1593"/>
      <c r="H12" s="2562" t="s">
        <v>1826</v>
      </c>
      <c r="I12" s="2567" t="s">
        <v>2461</v>
      </c>
      <c r="J12" s="783">
        <f ca="1">ROUND(IF(M12="押一",J8/12*M13,IF(M12="押二",J8/12*2*M13,IF(M12="押三",J8/12*3*M13,J13*M13))),0)</f>
        <v>0</v>
      </c>
      <c r="K12" s="2502" t="s">
        <v>2977</v>
      </c>
      <c r="L12" s="2499" t="s">
        <v>2466</v>
      </c>
      <c r="M12" s="2622"/>
    </row>
    <row r="13" spans="1:25" ht="18" customHeight="1">
      <c r="A13" s="790"/>
      <c r="B13" s="2496" t="s">
        <v>2575</v>
      </c>
      <c r="C13" s="2500"/>
      <c r="D13" s="789"/>
      <c r="E13" s="2499" t="s">
        <v>2458</v>
      </c>
      <c r="F13" s="796">
        <f ca="1">'数据-取费表'!B39</f>
        <v>1.4999999999999999E-2</v>
      </c>
      <c r="G13" s="1593"/>
      <c r="H13" s="2563"/>
      <c r="I13" s="2496" t="s">
        <v>2575</v>
      </c>
      <c r="J13" s="2500"/>
      <c r="K13" s="2564"/>
      <c r="L13" s="2499" t="s">
        <v>2458</v>
      </c>
      <c r="M13" s="2493">
        <f ca="1">'数据-取费表'!B39</f>
        <v>1.4999999999999999E-2</v>
      </c>
    </row>
    <row r="14" spans="1:25" ht="18" customHeight="1" thickBot="1">
      <c r="A14" s="2538" t="s">
        <v>2469</v>
      </c>
      <c r="B14" s="2539" t="s">
        <v>2462</v>
      </c>
      <c r="C14" s="2540"/>
      <c r="D14" s="2541"/>
      <c r="E14" s="2542"/>
      <c r="F14" s="2543"/>
      <c r="G14" s="1593"/>
      <c r="H14" s="2552" t="s">
        <v>2469</v>
      </c>
      <c r="I14" s="2565" t="s">
        <v>2462</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2071</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3"/>
      <c r="H24" s="1832" t="s">
        <v>2072</v>
      </c>
      <c r="I24" s="784" t="s">
        <v>676</v>
      </c>
      <c r="J24" s="53">
        <f ca="1">ROUND(J16*M24,0)</f>
        <v>0</v>
      </c>
      <c r="K24" s="1978" t="s">
        <v>677</v>
      </c>
      <c r="L24" s="784" t="s">
        <v>649</v>
      </c>
      <c r="M24" s="817">
        <f ca="1">INDIRECT("'数据-取费表'!Ak"&amp;$G$1)</f>
        <v>0</v>
      </c>
    </row>
    <row r="25" spans="1:25" s="2065" customFormat="1" ht="18" customHeight="1">
      <c r="A25" s="803" t="s">
        <v>1876</v>
      </c>
      <c r="B25" s="784" t="s">
        <v>2439</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12" t="s">
        <v>2824</v>
      </c>
      <c r="J27" s="799">
        <f ca="1">J7-J18</f>
        <v>0</v>
      </c>
      <c r="K27" s="1980" t="s">
        <v>700</v>
      </c>
      <c r="L27" s="1982"/>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4"/>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5</v>
      </c>
      <c r="G36" s="2063"/>
      <c r="H36" s="2066"/>
      <c r="I36" s="3443"/>
      <c r="J36" s="2080"/>
      <c r="K36" s="2081"/>
      <c r="L36" s="2080"/>
      <c r="M36" s="2080"/>
    </row>
    <row r="37" spans="1:18" ht="18" customHeight="1">
      <c r="A37" s="815"/>
      <c r="B37" s="793"/>
      <c r="C37" s="69"/>
      <c r="D37" s="816"/>
      <c r="E37" s="784" t="s">
        <v>674</v>
      </c>
      <c r="F37" s="785">
        <f ca="1">INDIRECT("'数据-取费表'!r"&amp;$G$1)</f>
        <v>0</v>
      </c>
      <c r="G37" s="2063"/>
      <c r="H37" s="2066"/>
      <c r="I37" s="344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3" t="s">
        <v>2965</v>
      </c>
      <c r="F43" s="3124">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5" t="s">
        <v>2968</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3161" t="str">
        <f ca="1">IF(M48="住宅",0,IF(L49&gt;J52,L61,J61))</f>
        <v>0</v>
      </c>
      <c r="O47" s="2395" t="s">
        <v>2412</v>
      </c>
      <c r="P47" s="1593"/>
      <c r="Q47" s="1605"/>
      <c r="R47" s="1593"/>
    </row>
    <row r="48" spans="1:18" s="2060" customFormat="1" ht="18" customHeight="1" thickBot="1">
      <c r="A48" s="2085"/>
      <c r="C48" s="2088"/>
      <c r="D48" s="2089"/>
      <c r="E48" s="2089"/>
      <c r="F48" s="2090"/>
      <c r="G48" s="2091"/>
      <c r="I48" s="3151" t="s">
        <v>2346</v>
      </c>
      <c r="J48" s="2382"/>
      <c r="K48" s="3158" t="s">
        <v>2351</v>
      </c>
      <c r="L48" s="3162">
        <f ca="1">INDIRECT("'数据-取费表'!d"&amp;$G$1)</f>
        <v>0</v>
      </c>
      <c r="M48" s="3122" t="str">
        <f>IF(ISNUMBER(FIND("住宅",C1)),"住宅","非住宅")</f>
        <v>非住宅</v>
      </c>
      <c r="O48" s="2396" t="s">
        <v>2377</v>
      </c>
      <c r="P48" s="2397" t="s">
        <v>2378</v>
      </c>
      <c r="Q48" s="2398" t="s">
        <v>2379</v>
      </c>
      <c r="R48" s="2397" t="s">
        <v>2380</v>
      </c>
    </row>
    <row r="49" spans="1:18" s="2060" customFormat="1" ht="18" customHeight="1" thickBot="1">
      <c r="A49" s="2085"/>
      <c r="D49" s="2092"/>
      <c r="E49" s="2093"/>
      <c r="F49" s="2090"/>
      <c r="G49" s="2091"/>
      <c r="H49" s="2094"/>
      <c r="I49" s="3127" t="s">
        <v>2347</v>
      </c>
      <c r="J49" s="2383"/>
      <c r="K49" s="3159" t="s">
        <v>2353</v>
      </c>
      <c r="L49" s="1909">
        <f ca="1">INDIRECT("'数据-取费表'!f"&amp;$G$1)</f>
        <v>0</v>
      </c>
      <c r="O49" s="2399" t="s">
        <v>2381</v>
      </c>
      <c r="P49" s="2400" t="s">
        <v>2407</v>
      </c>
      <c r="Q49" s="2401">
        <f ca="1">C41+J31</f>
        <v>0</v>
      </c>
      <c r="R49" s="2400" t="s">
        <v>2382</v>
      </c>
    </row>
    <row r="50" spans="1:18" s="2060" customFormat="1" ht="18" customHeight="1" thickBot="1">
      <c r="A50" s="2085"/>
      <c r="D50" s="2095"/>
      <c r="E50" s="2095"/>
      <c r="F50" s="2089"/>
      <c r="G50" s="2096"/>
      <c r="H50" s="2094"/>
      <c r="I50" s="3127" t="s">
        <v>2348</v>
      </c>
      <c r="J50" s="2384"/>
      <c r="K50" s="3160" t="s">
        <v>2354</v>
      </c>
      <c r="L50" s="2385"/>
      <c r="O50" s="2399" t="s">
        <v>2383</v>
      </c>
      <c r="P50" s="2400" t="s">
        <v>2408</v>
      </c>
      <c r="Q50" s="2401" t="str">
        <f ca="1">J61</f>
        <v>0</v>
      </c>
      <c r="R50" s="2400" t="s">
        <v>2384</v>
      </c>
    </row>
    <row r="51" spans="1:18" s="2060" customFormat="1" ht="18" customHeight="1" thickBot="1">
      <c r="A51" s="2097"/>
      <c r="D51" s="2095"/>
      <c r="E51" s="2095"/>
      <c r="F51" s="2086"/>
      <c r="H51" s="2094"/>
      <c r="I51" s="3127" t="s">
        <v>2349</v>
      </c>
      <c r="J51" s="3155">
        <f>SUMPRODUCT((I64:I66=J48)*(J63:L63=J49)*(J64:L66))</f>
        <v>0</v>
      </c>
      <c r="K51" s="3160" t="s">
        <v>2355</v>
      </c>
      <c r="L51" s="2385"/>
      <c r="O51" s="2402" t="s">
        <v>2385</v>
      </c>
      <c r="P51" s="2400" t="s">
        <v>2409</v>
      </c>
      <c r="Q51" s="2401">
        <f ca="1">C31</f>
        <v>0</v>
      </c>
      <c r="R51" s="2400" t="s">
        <v>2382</v>
      </c>
    </row>
    <row r="52" spans="1:18" s="2060" customFormat="1" ht="18" customHeight="1" thickBot="1">
      <c r="A52" s="2097"/>
      <c r="F52" s="2086"/>
      <c r="I52" s="3152" t="s">
        <v>2350</v>
      </c>
      <c r="J52" s="3156">
        <f>IF(J50="",J51,J50+J51-YEAR('数据-取费表'!B3))</f>
        <v>0</v>
      </c>
      <c r="K52" s="3127" t="s">
        <v>2356</v>
      </c>
      <c r="L52" s="3163">
        <f ca="1">ROUND(-PV(INDIRECT("'数据-取费表'!h"&amp;$G$1),L49,(C40-C14*J36),0),0)</f>
        <v>0</v>
      </c>
      <c r="O52" s="2402" t="s">
        <v>2386</v>
      </c>
      <c r="P52" s="2400" t="s">
        <v>2387</v>
      </c>
      <c r="Q52" s="2403" t="e">
        <f ca="1">J59</f>
        <v>#VALUE!</v>
      </c>
      <c r="R52" s="2404"/>
    </row>
    <row r="53" spans="1:18" s="2060" customFormat="1" ht="18" customHeight="1" thickBot="1">
      <c r="A53" s="2097"/>
      <c r="F53" s="2086"/>
      <c r="I53" s="3153" t="s">
        <v>2423</v>
      </c>
      <c r="J53" s="2386"/>
      <c r="K53" s="3153" t="s">
        <v>2422</v>
      </c>
      <c r="L53" s="2386"/>
      <c r="O53" s="2402" t="s">
        <v>2388</v>
      </c>
      <c r="P53" s="2400" t="s">
        <v>2389</v>
      </c>
      <c r="Q53" s="2403">
        <f>J53</f>
        <v>0</v>
      </c>
      <c r="R53" s="2404"/>
    </row>
    <row r="54" spans="1:18" s="2060" customFormat="1" ht="29.25" thickBot="1">
      <c r="A54" s="2097"/>
      <c r="I54" s="3154" t="s">
        <v>2982</v>
      </c>
      <c r="J54" s="3157">
        <f ca="1">IF(M48="住宅",MAX(J52,L49-'数据-取费表'!B20),MIN(J52,L49-'数据-取费表'!B20))</f>
        <v>-2</v>
      </c>
      <c r="K54" s="3448"/>
      <c r="L54" s="3449"/>
      <c r="O54" s="2402" t="s">
        <v>2390</v>
      </c>
      <c r="P54" s="2400" t="s">
        <v>2391</v>
      </c>
      <c r="Q54" s="2401">
        <f ca="1">J54</f>
        <v>-2</v>
      </c>
      <c r="R54" s="2400" t="s">
        <v>2392</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2393</v>
      </c>
      <c r="P55" s="2400" t="s">
        <v>2410</v>
      </c>
      <c r="Q55" s="2401">
        <f ca="1">Q49+Q50</f>
        <v>0</v>
      </c>
      <c r="R55" s="2404" t="s">
        <v>2394</v>
      </c>
    </row>
    <row r="56" spans="1:18" s="2060" customFormat="1" ht="16.5" thickBot="1">
      <c r="A56" s="2097"/>
      <c r="B56" s="2098"/>
      <c r="C56" s="2098"/>
      <c r="I56" s="3166" t="s">
        <v>2357</v>
      </c>
      <c r="J56" s="3102" t="e">
        <f ca="1">ROUND(IF(J48="钢混",J58/J51,1-(1-2%)*(J51-J58)/J51),3)</f>
        <v>#VALUE!</v>
      </c>
      <c r="K56" s="3167" t="s">
        <v>2358</v>
      </c>
      <c r="L56" s="2387"/>
      <c r="O56" s="2405" t="s">
        <v>2413</v>
      </c>
      <c r="P56" s="1593"/>
      <c r="Q56" s="1605"/>
      <c r="R56" s="1593"/>
    </row>
    <row r="57" spans="1:18" s="2060" customFormat="1" ht="43.5" thickBot="1">
      <c r="A57" s="2097"/>
      <c r="B57" s="2098"/>
      <c r="C57" s="2098"/>
      <c r="I57" s="3168" t="s">
        <v>2359</v>
      </c>
      <c r="J57" s="3178" t="s">
        <v>1679</v>
      </c>
      <c r="K57" s="3127" t="s">
        <v>2364</v>
      </c>
      <c r="L57" s="1909">
        <f ca="1">IF(L49&lt;J52,"——",L49-J52)</f>
        <v>0</v>
      </c>
      <c r="O57" s="2396" t="s">
        <v>2377</v>
      </c>
      <c r="P57" s="2397" t="s">
        <v>2378</v>
      </c>
      <c r="Q57" s="2398" t="s">
        <v>2379</v>
      </c>
      <c r="R57" s="2397" t="s">
        <v>2380</v>
      </c>
    </row>
    <row r="58" spans="1:18" s="2060" customFormat="1" ht="29.25" thickBot="1">
      <c r="A58" s="2097"/>
      <c r="B58" s="2098"/>
      <c r="C58" s="2098"/>
      <c r="I58" s="3169" t="s">
        <v>2360</v>
      </c>
      <c r="J58" s="3170" t="str">
        <f ca="1">IF(OR(M48="住宅",J52&lt;L49,J57="是"),"——",J52-L49)</f>
        <v>——</v>
      </c>
      <c r="K58" s="3127" t="s">
        <v>2365</v>
      </c>
      <c r="L58" s="1909">
        <f ca="1">IF(L49&lt;J52,"——",IF(L56="比较法",L50,IF(L56="基准地价",L51,L52)))</f>
        <v>0</v>
      </c>
      <c r="O58" s="2399" t="s">
        <v>2381</v>
      </c>
      <c r="P58" s="2400" t="s">
        <v>2407</v>
      </c>
      <c r="Q58" s="2401">
        <f ca="1">C41+J31</f>
        <v>0</v>
      </c>
      <c r="R58" s="2400" t="s">
        <v>2382</v>
      </c>
    </row>
    <row r="59" spans="1:18" s="2060" customFormat="1" ht="29.25" thickBot="1">
      <c r="A59" s="2097"/>
      <c r="B59" s="2098"/>
      <c r="C59" s="2098"/>
      <c r="I59" s="3169" t="s">
        <v>2361</v>
      </c>
      <c r="J59" s="3103" t="e">
        <f ca="1">IF(J56&lt;0.4,0.4,J56)</f>
        <v>#VALUE!</v>
      </c>
      <c r="K59" s="3127" t="s">
        <v>2366</v>
      </c>
      <c r="L59" s="1909">
        <f ca="1">IF(ISERROR(POWER(1+L53,L48-L49)*(POWER(1+L53,L49)-1)/(POWER(1+L53,L48)-1)),0,POWER(1+L53,L48-L49)*(POWER(1+L53,L49)-1)/(POWER(1+L53,L48)-1))</f>
        <v>0</v>
      </c>
      <c r="O59" s="2399" t="s">
        <v>2383</v>
      </c>
      <c r="P59" s="2400" t="s">
        <v>2414</v>
      </c>
      <c r="Q59" s="2401" t="e">
        <f ca="1">L61</f>
        <v>#DIV/0!</v>
      </c>
      <c r="R59" s="2404" t="s">
        <v>2416</v>
      </c>
    </row>
    <row r="60" spans="1:18" s="2060" customFormat="1" ht="29.25" thickBot="1">
      <c r="A60" s="2097"/>
      <c r="B60" s="2098"/>
      <c r="C60" s="2098"/>
      <c r="I60" s="3169" t="s">
        <v>2362</v>
      </c>
      <c r="J60" s="3170" t="str">
        <f ca="1">IF(OR(M48="住宅",J52&lt;L49,J57="是"),"——",ROUND(C30*J59,0))</f>
        <v>——</v>
      </c>
      <c r="K60" s="3127" t="s">
        <v>2367</v>
      </c>
      <c r="L60" s="1909">
        <f ca="1">IF(ISERROR(POWER(1+L53,L48-J52)*(POWER(1+L53,J52)-1)/(POWER(1+L53,L48)-1)),0,POWER(1+L53,L48-J52)*(POWER(1+L53,J52)-1)/(POWER(1+L53,L48)-1))</f>
        <v>0</v>
      </c>
      <c r="O60" s="2402" t="s">
        <v>2385</v>
      </c>
      <c r="P60" s="2400" t="s">
        <v>2415</v>
      </c>
      <c r="Q60" s="2401">
        <f>IF(L56="比较法",L50,IF(L56="基准地价",L51,0))</f>
        <v>0</v>
      </c>
      <c r="R60" s="2400" t="s">
        <v>2382</v>
      </c>
    </row>
    <row r="61" spans="1:18" s="2060" customFormat="1" ht="15.75" thickBot="1">
      <c r="A61" s="2097"/>
      <c r="B61" s="2098"/>
      <c r="C61" s="2098"/>
      <c r="I61" s="3171" t="s">
        <v>2363</v>
      </c>
      <c r="J61" s="3172" t="str">
        <f ca="1">IF(OR(M48="住宅",J52&lt;L49,J57="是"),"0",ROUND(J60/(1+J53)^J54,0))</f>
        <v>0</v>
      </c>
      <c r="K61" s="3173" t="s">
        <v>2368</v>
      </c>
      <c r="L61" s="3172" t="e">
        <f ca="1">IF(OR(M48="住宅",L49&lt;J52),0,ROUND(L58*(L59/L60-1),0))</f>
        <v>#DIV/0!</v>
      </c>
      <c r="O61" s="2402" t="s">
        <v>2386</v>
      </c>
      <c r="P61" s="2400" t="s">
        <v>2395</v>
      </c>
      <c r="Q61" s="2403">
        <f>L53</f>
        <v>0</v>
      </c>
      <c r="R61" s="2404"/>
    </row>
    <row r="62" spans="1:18" s="2060" customFormat="1" ht="20.25" thickBot="1">
      <c r="A62" s="2097"/>
      <c r="B62" s="2098"/>
      <c r="C62" s="2098"/>
      <c r="K62" s="2087"/>
      <c r="O62" s="2402" t="s">
        <v>2388</v>
      </c>
      <c r="P62" s="2400" t="s">
        <v>2396</v>
      </c>
      <c r="Q62" s="2401">
        <f ca="1">L59</f>
        <v>0</v>
      </c>
      <c r="R62" s="2404" t="s">
        <v>2397</v>
      </c>
    </row>
    <row r="63" spans="1:18" s="2060" customFormat="1" ht="20.25" thickBot="1">
      <c r="A63" s="2097"/>
      <c r="B63" s="2098"/>
      <c r="C63" s="2098"/>
      <c r="I63" s="3174" t="s">
        <v>2369</v>
      </c>
      <c r="J63" s="3175" t="s">
        <v>2370</v>
      </c>
      <c r="K63" s="3175" t="s">
        <v>2371</v>
      </c>
      <c r="L63" s="3175" t="s">
        <v>2352</v>
      </c>
      <c r="M63" s="3176" t="s">
        <v>2945</v>
      </c>
      <c r="O63" s="2402" t="s">
        <v>2390</v>
      </c>
      <c r="P63" s="2400" t="s">
        <v>2398</v>
      </c>
      <c r="Q63" s="2401">
        <f ca="1">L60</f>
        <v>0</v>
      </c>
      <c r="R63" s="2404" t="s">
        <v>2399</v>
      </c>
    </row>
    <row r="64" spans="1:18" s="2060" customFormat="1" ht="15.75" thickBot="1">
      <c r="A64" s="2097"/>
      <c r="B64" s="2098"/>
      <c r="C64" s="2098"/>
      <c r="I64" s="3174" t="s">
        <v>2372</v>
      </c>
      <c r="J64" s="3175">
        <v>70</v>
      </c>
      <c r="K64" s="3175">
        <v>50</v>
      </c>
      <c r="L64" s="3175">
        <v>80</v>
      </c>
      <c r="M64" s="3177">
        <v>0.02</v>
      </c>
      <c r="O64" s="2399" t="s">
        <v>2393</v>
      </c>
      <c r="P64" s="2400" t="s">
        <v>2410</v>
      </c>
      <c r="Q64" s="2401" t="e">
        <f ca="1">Q58+Q59</f>
        <v>#DIV/0!</v>
      </c>
      <c r="R64" s="2404" t="s">
        <v>2394</v>
      </c>
    </row>
    <row r="65" spans="1:18" s="2060" customFormat="1" ht="16.5" thickBot="1">
      <c r="A65" s="2097"/>
      <c r="B65" s="2098"/>
      <c r="C65" s="2098"/>
      <c r="I65" s="3174" t="s">
        <v>2373</v>
      </c>
      <c r="J65" s="3175">
        <v>50</v>
      </c>
      <c r="K65" s="3175">
        <v>35</v>
      </c>
      <c r="L65" s="3175">
        <v>60</v>
      </c>
      <c r="M65" s="846">
        <v>0</v>
      </c>
      <c r="O65" s="2405" t="s">
        <v>2417</v>
      </c>
      <c r="P65" s="1593"/>
      <c r="Q65" s="1605"/>
      <c r="R65" s="1593"/>
    </row>
    <row r="66" spans="1:18" s="2060" customFormat="1" ht="15.75" thickBot="1">
      <c r="A66" s="2097"/>
      <c r="B66" s="2098"/>
      <c r="C66" s="2098"/>
      <c r="I66" s="3174" t="s">
        <v>2374</v>
      </c>
      <c r="J66" s="3175">
        <v>40</v>
      </c>
      <c r="K66" s="3175">
        <v>30</v>
      </c>
      <c r="L66" s="3175">
        <v>50</v>
      </c>
      <c r="M66" s="3177">
        <v>0.02</v>
      </c>
      <c r="O66" s="2396" t="s">
        <v>2377</v>
      </c>
      <c r="P66" s="2397" t="s">
        <v>2378</v>
      </c>
      <c r="Q66" s="2398" t="s">
        <v>2379</v>
      </c>
      <c r="R66" s="2397" t="s">
        <v>2380</v>
      </c>
    </row>
    <row r="67" spans="1:18" s="2060" customFormat="1" ht="15.75" thickBot="1">
      <c r="A67" s="2097"/>
      <c r="B67" s="2098"/>
      <c r="C67" s="2098"/>
      <c r="K67" s="2087"/>
      <c r="O67" s="2399" t="s">
        <v>2381</v>
      </c>
      <c r="P67" s="2400" t="s">
        <v>2407</v>
      </c>
      <c r="Q67" s="2401">
        <f ca="1">C41+J31</f>
        <v>0</v>
      </c>
      <c r="R67" s="2400" t="s">
        <v>2382</v>
      </c>
    </row>
    <row r="68" spans="1:18" s="2060" customFormat="1" ht="20.25" thickBot="1">
      <c r="A68" s="2097"/>
      <c r="B68" s="2098"/>
      <c r="C68" s="2098"/>
      <c r="K68" s="2087"/>
      <c r="O68" s="2399" t="s">
        <v>2383</v>
      </c>
      <c r="P68" s="2400" t="s">
        <v>2414</v>
      </c>
      <c r="Q68" s="2401" t="e">
        <f ca="1">L61</f>
        <v>#DIV/0!</v>
      </c>
      <c r="R68" s="2404" t="s">
        <v>2416</v>
      </c>
    </row>
    <row r="69" spans="1:18" s="2060" customFormat="1" ht="21.75" thickBot="1">
      <c r="A69" s="2097"/>
      <c r="B69" s="2098"/>
      <c r="C69" s="2098"/>
      <c r="K69" s="2087"/>
      <c r="O69" s="2402" t="s">
        <v>2385</v>
      </c>
      <c r="P69" s="2400" t="s">
        <v>2415</v>
      </c>
      <c r="Q69" s="2406">
        <f ca="1">L52</f>
        <v>0</v>
      </c>
      <c r="R69" s="2407" t="s">
        <v>2418</v>
      </c>
    </row>
    <row r="70" spans="1:18" s="2060" customFormat="1" ht="20.25" thickBot="1">
      <c r="A70" s="2097"/>
      <c r="B70" s="2098"/>
      <c r="C70" s="2098"/>
      <c r="K70" s="2087"/>
      <c r="O70" s="2402" t="s">
        <v>2386</v>
      </c>
      <c r="P70" s="2408" t="s">
        <v>2400</v>
      </c>
      <c r="Q70" s="2401">
        <f ca="1">ROUND(Q71-Q72*Q73,0)</f>
        <v>0</v>
      </c>
      <c r="R70" s="2404"/>
    </row>
    <row r="71" spans="1:18" s="2060" customFormat="1" ht="15.75" thickBot="1">
      <c r="A71" s="2097"/>
      <c r="B71" s="2098"/>
      <c r="C71" s="2098"/>
      <c r="K71" s="2087"/>
      <c r="O71" s="2402" t="s">
        <v>2401</v>
      </c>
      <c r="P71" s="2408" t="s">
        <v>2402</v>
      </c>
      <c r="Q71" s="2401">
        <f ca="1">C42</f>
        <v>0</v>
      </c>
      <c r="R71" s="2400" t="s">
        <v>2382</v>
      </c>
    </row>
    <row r="72" spans="1:18" s="2060" customFormat="1" ht="15.75" thickBot="1">
      <c r="A72" s="2097"/>
      <c r="B72" s="2098"/>
      <c r="C72" s="2098"/>
      <c r="K72" s="2087"/>
      <c r="O72" s="2402" t="s">
        <v>2403</v>
      </c>
      <c r="P72" s="2408" t="s">
        <v>2404</v>
      </c>
      <c r="Q72" s="2401">
        <f ca="1">C15</f>
        <v>0</v>
      </c>
      <c r="R72" s="2400" t="s">
        <v>2382</v>
      </c>
    </row>
    <row r="73" spans="1:18" s="2060" customFormat="1" ht="15.75" thickBot="1">
      <c r="A73" s="2097"/>
      <c r="B73" s="2098"/>
      <c r="C73" s="2098"/>
      <c r="K73" s="2087"/>
      <c r="O73" s="2402" t="s">
        <v>2405</v>
      </c>
      <c r="P73" s="2408" t="s">
        <v>2406</v>
      </c>
      <c r="Q73" s="2403">
        <f ca="1">F43</f>
        <v>0</v>
      </c>
      <c r="R73" s="2404"/>
    </row>
    <row r="74" spans="1:18" s="2060" customFormat="1" ht="15.75" thickBot="1">
      <c r="A74" s="2097"/>
      <c r="B74" s="2098"/>
      <c r="C74" s="2098"/>
      <c r="K74" s="2087"/>
      <c r="O74" s="2402" t="s">
        <v>2388</v>
      </c>
      <c r="P74" s="2400" t="s">
        <v>2395</v>
      </c>
      <c r="Q74" s="2403">
        <f>L53</f>
        <v>0</v>
      </c>
      <c r="R74" s="2404"/>
    </row>
    <row r="75" spans="1:18" s="2060" customFormat="1" ht="20.25" thickBot="1">
      <c r="A75" s="2097"/>
      <c r="B75" s="2098"/>
      <c r="C75" s="2098"/>
      <c r="K75" s="2087"/>
      <c r="O75" s="2402" t="s">
        <v>2390</v>
      </c>
      <c r="P75" s="2400" t="s">
        <v>2396</v>
      </c>
      <c r="Q75" s="2401">
        <f ca="1">L59</f>
        <v>0</v>
      </c>
      <c r="R75" s="2404" t="s">
        <v>2397</v>
      </c>
    </row>
    <row r="76" spans="1:18" s="2060" customFormat="1" ht="20.25" thickBot="1">
      <c r="A76" s="2097"/>
      <c r="B76" s="2098"/>
      <c r="C76" s="2098"/>
      <c r="K76" s="2087"/>
      <c r="O76" s="2402" t="s">
        <v>2419</v>
      </c>
      <c r="P76" s="2400" t="s">
        <v>2398</v>
      </c>
      <c r="Q76" s="2401">
        <f ca="1">L60</f>
        <v>0</v>
      </c>
      <c r="R76" s="2404" t="s">
        <v>2399</v>
      </c>
    </row>
    <row r="77" spans="1:18" s="2060" customFormat="1" ht="15.75" thickBot="1">
      <c r="A77" s="2097"/>
      <c r="B77" s="2098"/>
      <c r="C77" s="2098"/>
      <c r="K77" s="2087"/>
      <c r="O77" s="2399" t="s">
        <v>2393</v>
      </c>
      <c r="P77" s="2400" t="s">
        <v>2410</v>
      </c>
      <c r="Q77" s="2401" t="e">
        <f ca="1">Q67+Q68</f>
        <v>#DIV/0!</v>
      </c>
      <c r="R77" s="2404"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6" t="s">
        <v>2578</v>
      </c>
      <c r="C1" s="3456"/>
      <c r="D1" s="3456"/>
      <c r="E1" s="3456"/>
      <c r="F1" s="3456"/>
      <c r="G1" s="3455" t="s">
        <v>2579</v>
      </c>
      <c r="H1" s="3455"/>
      <c r="I1" s="3455"/>
      <c r="J1" s="3455"/>
      <c r="K1" s="3455"/>
      <c r="L1" s="3455"/>
      <c r="N1" s="3455" t="s">
        <v>2580</v>
      </c>
      <c r="O1" s="3455"/>
      <c r="P1" s="3455"/>
      <c r="Q1" s="3455"/>
      <c r="R1" s="2655"/>
      <c r="S1" s="3455" t="s">
        <v>2581</v>
      </c>
      <c r="T1" s="3455"/>
      <c r="U1" s="3455"/>
      <c r="V1" s="3455"/>
      <c r="X1" s="3454" t="s">
        <v>2641</v>
      </c>
      <c r="Y1" s="3455"/>
      <c r="Z1" s="3455"/>
      <c r="AA1" s="3455"/>
      <c r="AB1" s="3455"/>
      <c r="AD1" s="3454" t="s">
        <v>2645</v>
      </c>
      <c r="AE1" s="3455"/>
      <c r="AF1" s="3455"/>
      <c r="AG1" s="3455"/>
      <c r="AH1" s="3455"/>
    </row>
    <row r="2" spans="1:34" s="2757" customFormat="1" ht="14.25" thickBot="1">
      <c r="B2" s="2765" t="s">
        <v>2582</v>
      </c>
      <c r="C2" s="2765" t="s">
        <v>2643</v>
      </c>
      <c r="D2" s="2758" t="s">
        <v>1645</v>
      </c>
      <c r="E2" s="2758" t="s">
        <v>1952</v>
      </c>
      <c r="F2" s="2765" t="s">
        <v>2644</v>
      </c>
      <c r="G2" s="2761"/>
      <c r="H2" s="2760"/>
      <c r="I2" s="2765" t="s">
        <v>2959</v>
      </c>
      <c r="J2" s="2758" t="s">
        <v>2961</v>
      </c>
      <c r="K2" s="2758" t="s">
        <v>2962</v>
      </c>
      <c r="L2" s="2765" t="s">
        <v>2963</v>
      </c>
      <c r="N2" s="2765" t="s">
        <v>2582</v>
      </c>
      <c r="O2" s="2758" t="s">
        <v>2960</v>
      </c>
      <c r="P2" s="2758" t="s">
        <v>1952</v>
      </c>
      <c r="Q2" s="2765" t="s">
        <v>2644</v>
      </c>
      <c r="R2" s="2759"/>
      <c r="S2" s="2765" t="s">
        <v>2582</v>
      </c>
      <c r="T2" s="2758" t="s">
        <v>2960</v>
      </c>
      <c r="U2" s="2758" t="s">
        <v>1952</v>
      </c>
      <c r="V2" s="2765" t="s">
        <v>2644</v>
      </c>
      <c r="X2" s="2765" t="s">
        <v>2582</v>
      </c>
      <c r="Y2" s="2765" t="s">
        <v>2643</v>
      </c>
      <c r="Z2" s="2758" t="s">
        <v>1645</v>
      </c>
      <c r="AA2" s="2758" t="s">
        <v>1952</v>
      </c>
      <c r="AB2" s="2765" t="s">
        <v>2644</v>
      </c>
      <c r="AD2" s="2765" t="s">
        <v>2582</v>
      </c>
      <c r="AE2" s="2765" t="s">
        <v>2643</v>
      </c>
      <c r="AF2" s="2758" t="s">
        <v>1645</v>
      </c>
      <c r="AG2" s="2758" t="s">
        <v>1952</v>
      </c>
      <c r="AH2" s="2765" t="s">
        <v>2644</v>
      </c>
    </row>
    <row r="3" spans="1:34" s="3135" customFormat="1" ht="14.25">
      <c r="A3" s="3147" t="s">
        <v>2972</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1.4517</v>
      </c>
      <c r="Y3" s="3141">
        <f>ROUND(SUMPRODUCT(PRODUCT(1+O3:O$22)),4)</f>
        <v>1.2928999999999999</v>
      </c>
      <c r="Z3" s="3141">
        <f t="shared" ref="Z3:Z20" si="0">Y3</f>
        <v>1.2928999999999999</v>
      </c>
      <c r="AA3" s="3141">
        <f>ROUND(SUMPRODUCT(PRODUCT(1+P3:P$22)),4)</f>
        <v>1.5068999999999999</v>
      </c>
      <c r="AB3" s="3141">
        <f>ROUND(SUMPRODUCT(PRODUCT(1+Q3:Q$22)),4)</f>
        <v>1.2557</v>
      </c>
      <c r="AD3" s="3142">
        <f>ROUND(AVERAGE(I3:I$23)/100,4)</f>
        <v>2.1600000000000001E-2</v>
      </c>
      <c r="AE3" s="3142">
        <f>ROUND(AVERAGE(J3:J$23)/100,4)</f>
        <v>1.4999999999999999E-2</v>
      </c>
      <c r="AF3" s="3142">
        <f t="shared" ref="AF3:AF21" si="1">AE3</f>
        <v>1.4999999999999999E-2</v>
      </c>
      <c r="AG3" s="3142">
        <f>ROUND(AVERAGE(K3:K$23)/100,4)</f>
        <v>2.3900000000000001E-2</v>
      </c>
      <c r="AH3" s="3142">
        <f>ROUND(AVERAGE(L3:L$23)/100,4)</f>
        <v>1.2800000000000001E-2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2983</v>
      </c>
      <c r="B5" s="2796">
        <f>B6*(1+N5)</f>
        <v>446.46299999999997</v>
      </c>
      <c r="C5" s="2796">
        <f t="shared" ref="C5" si="2">C6*(1+O5)</f>
        <v>333.27840000000003</v>
      </c>
      <c r="D5" s="2796">
        <f t="shared" ref="D5" si="3">C5</f>
        <v>333.27840000000003</v>
      </c>
      <c r="E5" s="2796">
        <f t="shared" ref="E5" si="4">E6*(1+P5)</f>
        <v>637.28279999999995</v>
      </c>
      <c r="F5" s="2796">
        <f t="shared" ref="F5" si="5">F6*(1+Q5)</f>
        <v>288.68830000000003</v>
      </c>
      <c r="G5" s="2756">
        <v>2018</v>
      </c>
      <c r="H5" s="3115">
        <v>3</v>
      </c>
      <c r="I5" s="3129">
        <v>0</v>
      </c>
      <c r="J5" s="3129">
        <v>0</v>
      </c>
      <c r="K5" s="3129">
        <v>0</v>
      </c>
      <c r="L5" s="3129">
        <v>0</v>
      </c>
      <c r="N5" s="2763">
        <f t="shared" ref="N5" si="6">I5/100</f>
        <v>0</v>
      </c>
      <c r="O5" s="2763">
        <f t="shared" ref="O5" si="7">J5/100</f>
        <v>0</v>
      </c>
      <c r="P5" s="2763">
        <f t="shared" ref="P5" si="8">K5/100</f>
        <v>0</v>
      </c>
      <c r="Q5" s="2763">
        <f t="shared" ref="Q5" si="9">L5/100</f>
        <v>0</v>
      </c>
      <c r="R5" s="3117"/>
      <c r="S5" s="3118"/>
      <c r="T5" s="3117"/>
      <c r="U5" s="3117"/>
      <c r="V5" s="3117"/>
      <c r="W5" s="3145" t="s">
        <v>2973</v>
      </c>
      <c r="X5" s="3119">
        <f>ROUND(SUMPRODUCT(PRODUCT(1+N5:N$22)),4)</f>
        <v>1.4517</v>
      </c>
      <c r="Y5" s="3119">
        <f>ROUND(SUMPRODUCT(PRODUCT(1+O5:O$22)),4)</f>
        <v>1.2928999999999999</v>
      </c>
      <c r="Z5" s="3119">
        <f t="shared" ref="Z5" si="10">Y5</f>
        <v>1.2928999999999999</v>
      </c>
      <c r="AA5" s="3119">
        <f>ROUND(SUMPRODUCT(PRODUCT(1+P5:P$22)),4)</f>
        <v>1.5068999999999999</v>
      </c>
      <c r="AB5" s="3119">
        <f>ROUND(SUMPRODUCT(PRODUCT(1+Q5:Q$22)),4)</f>
        <v>1.2557</v>
      </c>
      <c r="AD5" s="3120">
        <f>ROUND(AVERAGE(I5:I$23)/100,4)</f>
        <v>2.1499999999999998E-2</v>
      </c>
      <c r="AE5" s="3120">
        <f>ROUND(AVERAGE(J5:J$23)/100,4)</f>
        <v>1.49E-2</v>
      </c>
      <c r="AF5" s="3120">
        <f t="shared" ref="AF5" si="11">AE5</f>
        <v>1.49E-2</v>
      </c>
      <c r="AG5" s="3120">
        <f>ROUND(AVERAGE(K5:K$23)/100,4)</f>
        <v>2.3699999999999999E-2</v>
      </c>
      <c r="AH5" s="3120">
        <f>ROUND(AVERAGE(L5:L$23)/100,4)</f>
        <v>1.2800000000000001E-2</v>
      </c>
    </row>
    <row r="6" spans="1:34" s="2762" customFormat="1" ht="13.5" thickBot="1">
      <c r="A6" s="2656" t="s">
        <v>2984</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2979</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2970</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2974</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2583</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2584</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53">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51"/>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51"/>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52"/>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50">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51"/>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51"/>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52"/>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50">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51"/>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51"/>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52"/>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2642</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2585</v>
      </c>
      <c r="B24" s="2662">
        <v>299</v>
      </c>
      <c r="C24" s="2662">
        <v>252</v>
      </c>
      <c r="D24" s="2662">
        <f t="shared" si="45"/>
        <v>252</v>
      </c>
      <c r="E24" s="2662">
        <v>409</v>
      </c>
      <c r="F24" s="2663">
        <v>227</v>
      </c>
      <c r="G24" s="345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2586</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5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2587</v>
      </c>
      <c r="B26" s="2670">
        <f t="shared" si="54"/>
        <v>288.2649053828776</v>
      </c>
      <c r="C26" s="2670">
        <f t="shared" si="54"/>
        <v>243.64564425013293</v>
      </c>
      <c r="D26" s="2670">
        <f t="shared" si="45"/>
        <v>243.64564425013293</v>
      </c>
      <c r="E26" s="2670">
        <f t="shared" si="55"/>
        <v>393.31080825986544</v>
      </c>
      <c r="F26" s="2670">
        <f t="shared" si="55"/>
        <v>223.07903790551154</v>
      </c>
      <c r="G26" s="345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2588</v>
      </c>
      <c r="B27" s="2670">
        <f t="shared" si="54"/>
        <v>282.50186729015837</v>
      </c>
      <c r="C27" s="2670">
        <f t="shared" si="54"/>
        <v>238.09796174155468</v>
      </c>
      <c r="D27" s="2670">
        <f t="shared" si="45"/>
        <v>238.09796174155468</v>
      </c>
      <c r="E27" s="2670">
        <f t="shared" si="55"/>
        <v>385.33438646014054</v>
      </c>
      <c r="F27" s="2670">
        <f t="shared" si="55"/>
        <v>221.55034055567739</v>
      </c>
      <c r="G27" s="345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2589</v>
      </c>
      <c r="B28" s="2700">
        <v>278</v>
      </c>
      <c r="C28" s="2700">
        <v>234</v>
      </c>
      <c r="D28" s="2700">
        <f t="shared" si="45"/>
        <v>234</v>
      </c>
      <c r="E28" s="2700">
        <v>379</v>
      </c>
      <c r="F28" s="2701">
        <v>220</v>
      </c>
      <c r="G28" s="3450">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2590</v>
      </c>
      <c r="B29" s="2670">
        <f>B28/(1+N28)</f>
        <v>275.49301357645425</v>
      </c>
      <c r="C29" s="2670">
        <f>C28/(1+O28)</f>
        <v>232.41954707985698</v>
      </c>
      <c r="D29" s="2670">
        <f t="shared" si="45"/>
        <v>232.41954707985698</v>
      </c>
      <c r="E29" s="2670">
        <f t="shared" ref="E29:F31" si="56">E28/(1+P28)</f>
        <v>375.32184591008121</v>
      </c>
      <c r="F29" s="2670">
        <f t="shared" si="56"/>
        <v>218.03766105054513</v>
      </c>
      <c r="G29" s="3451"/>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2591</v>
      </c>
      <c r="B30" s="2670">
        <f>B29/(1+N29)</f>
        <v>275.24529281292263</v>
      </c>
      <c r="C30" s="2670">
        <f>C29/(1+O29)</f>
        <v>231.74747938962707</v>
      </c>
      <c r="D30" s="2670">
        <f t="shared" si="45"/>
        <v>231.74747938962707</v>
      </c>
      <c r="E30" s="2670">
        <f t="shared" si="56"/>
        <v>375.35938184826603</v>
      </c>
      <c r="F30" s="2670">
        <f t="shared" si="56"/>
        <v>216.78033510692495</v>
      </c>
      <c r="G30" s="3451"/>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2592</v>
      </c>
      <c r="B31" s="2670">
        <f>B30/(1+N30)</f>
        <v>275.19025476197027</v>
      </c>
      <c r="C31" s="2702">
        <v>232</v>
      </c>
      <c r="D31" s="2702">
        <f t="shared" si="45"/>
        <v>232</v>
      </c>
      <c r="E31" s="2670">
        <f t="shared" si="56"/>
        <v>375.65990977608692</v>
      </c>
      <c r="F31" s="2670">
        <f t="shared" si="56"/>
        <v>214.12518283971252</v>
      </c>
      <c r="G31" s="3452"/>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2593</v>
      </c>
      <c r="B32" s="2662">
        <v>275</v>
      </c>
      <c r="C32" s="2662">
        <v>232</v>
      </c>
      <c r="D32" s="2662">
        <f t="shared" si="45"/>
        <v>232</v>
      </c>
      <c r="E32" s="2662">
        <v>376</v>
      </c>
      <c r="F32" s="2663">
        <v>213</v>
      </c>
      <c r="G32" s="3450">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2594</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51">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2595</v>
      </c>
      <c r="B34" s="2670">
        <f t="shared" si="57"/>
        <v>275.19335084830601</v>
      </c>
      <c r="C34" s="2670">
        <f t="shared" si="57"/>
        <v>230.18088050139744</v>
      </c>
      <c r="D34" s="2670">
        <f t="shared" si="45"/>
        <v>230.18088050139744</v>
      </c>
      <c r="E34" s="2670">
        <f t="shared" si="58"/>
        <v>377.58482925212331</v>
      </c>
      <c r="F34" s="2670">
        <f t="shared" si="58"/>
        <v>210.90687997847917</v>
      </c>
      <c r="G34" s="3451">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2596</v>
      </c>
      <c r="B35" s="2670">
        <f t="shared" si="57"/>
        <v>276.29854502841971</v>
      </c>
      <c r="C35" s="2670">
        <f t="shared" si="57"/>
        <v>229.79023709833027</v>
      </c>
      <c r="D35" s="2670">
        <f t="shared" si="45"/>
        <v>229.79023709833027</v>
      </c>
      <c r="E35" s="2670">
        <f t="shared" si="58"/>
        <v>379.78759731655936</v>
      </c>
      <c r="F35" s="2670">
        <f t="shared" si="58"/>
        <v>211.32953905659235</v>
      </c>
      <c r="G35" s="3452">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2597</v>
      </c>
      <c r="B36" s="2662">
        <v>269</v>
      </c>
      <c r="C36" s="2662">
        <v>221</v>
      </c>
      <c r="D36" s="2662">
        <f t="shared" si="45"/>
        <v>221</v>
      </c>
      <c r="E36" s="2662">
        <v>373</v>
      </c>
      <c r="F36" s="2663">
        <v>196</v>
      </c>
      <c r="G36" s="3450">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2598</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51">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2599</v>
      </c>
      <c r="B38" s="2670">
        <f t="shared" si="59"/>
        <v>242.95398227588385</v>
      </c>
      <c r="C38" s="2670">
        <f t="shared" si="59"/>
        <v>199.59137053614126</v>
      </c>
      <c r="D38" s="2670">
        <f t="shared" si="45"/>
        <v>199.59137053614126</v>
      </c>
      <c r="E38" s="2670">
        <f t="shared" si="60"/>
        <v>335.92189522342125</v>
      </c>
      <c r="F38" s="2670">
        <f t="shared" si="60"/>
        <v>183.10139991109489</v>
      </c>
      <c r="G38" s="3451">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2600</v>
      </c>
      <c r="B39" s="2670">
        <f t="shared" si="59"/>
        <v>232.06990378821649</v>
      </c>
      <c r="C39" s="2670">
        <f t="shared" si="59"/>
        <v>192.74878854286936</v>
      </c>
      <c r="D39" s="2670">
        <f t="shared" si="45"/>
        <v>192.74878854286936</v>
      </c>
      <c r="E39" s="2670">
        <f t="shared" si="60"/>
        <v>319.71247284992984</v>
      </c>
      <c r="F39" s="2670">
        <f t="shared" si="60"/>
        <v>175.67053622862409</v>
      </c>
      <c r="G39" s="3452">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2601</v>
      </c>
      <c r="B40" s="2662">
        <v>220</v>
      </c>
      <c r="C40" s="2662">
        <v>187</v>
      </c>
      <c r="D40" s="2662">
        <f t="shared" si="45"/>
        <v>187</v>
      </c>
      <c r="E40" s="2662">
        <v>301</v>
      </c>
      <c r="F40" s="2663">
        <v>168</v>
      </c>
      <c r="G40" s="3450">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2602</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51">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2603</v>
      </c>
      <c r="B42" s="2670">
        <f t="shared" si="61"/>
        <v>210.630522469011</v>
      </c>
      <c r="C42" s="2670">
        <f t="shared" si="61"/>
        <v>181.69567812247232</v>
      </c>
      <c r="D42" s="2670">
        <f t="shared" si="45"/>
        <v>181.69567812247232</v>
      </c>
      <c r="E42" s="2670">
        <f t="shared" si="62"/>
        <v>286.13517466736738</v>
      </c>
      <c r="F42" s="2670">
        <f t="shared" si="62"/>
        <v>165.47535084591149</v>
      </c>
      <c r="G42" s="3451">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2604</v>
      </c>
      <c r="B43" s="2670">
        <f t="shared" si="61"/>
        <v>208.83454537875372</v>
      </c>
      <c r="C43" s="2670">
        <f t="shared" si="61"/>
        <v>183.77230517090351</v>
      </c>
      <c r="D43" s="2670">
        <f t="shared" si="45"/>
        <v>183.77230517090351</v>
      </c>
      <c r="E43" s="2670">
        <f t="shared" si="62"/>
        <v>281.10342338870947</v>
      </c>
      <c r="F43" s="2670">
        <f t="shared" si="62"/>
        <v>168.97309388942256</v>
      </c>
      <c r="G43" s="3452">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2605</v>
      </c>
      <c r="B44" s="2700">
        <v>214</v>
      </c>
      <c r="C44" s="2700">
        <v>188</v>
      </c>
      <c r="D44" s="2700">
        <f t="shared" si="45"/>
        <v>188</v>
      </c>
      <c r="E44" s="2700">
        <v>289</v>
      </c>
      <c r="F44" s="2701">
        <v>166</v>
      </c>
      <c r="G44" s="3450">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2606</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51">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2607</v>
      </c>
      <c r="B46" s="2670">
        <f t="shared" si="63"/>
        <v>206.31694671589116</v>
      </c>
      <c r="C46" s="2670">
        <f t="shared" si="63"/>
        <v>183.61041121036101</v>
      </c>
      <c r="D46" s="2670">
        <f t="shared" si="45"/>
        <v>183.61041121036101</v>
      </c>
      <c r="E46" s="2670">
        <f t="shared" si="64"/>
        <v>276.66850301795557</v>
      </c>
      <c r="F46" s="2670">
        <f t="shared" si="64"/>
        <v>165.1360938278614</v>
      </c>
      <c r="G46" s="3451">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2608</v>
      </c>
      <c r="B47" s="2703">
        <f t="shared" si="63"/>
        <v>196.62341248059772</v>
      </c>
      <c r="C47" s="2703">
        <f t="shared" si="63"/>
        <v>170.99125648199012</v>
      </c>
      <c r="D47" s="2703">
        <f t="shared" si="45"/>
        <v>170.99125648199012</v>
      </c>
      <c r="E47" s="2703">
        <f t="shared" si="64"/>
        <v>266.07857570490052</v>
      </c>
      <c r="F47" s="2703">
        <f t="shared" si="64"/>
        <v>154.53499328828505</v>
      </c>
      <c r="G47" s="3452">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2609</v>
      </c>
      <c r="B48" s="2662">
        <v>188</v>
      </c>
      <c r="C48" s="2662">
        <v>165</v>
      </c>
      <c r="D48" s="2662">
        <f t="shared" si="45"/>
        <v>165</v>
      </c>
      <c r="E48" s="2662">
        <v>254</v>
      </c>
      <c r="F48" s="2663">
        <v>148</v>
      </c>
      <c r="G48" s="3450">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2610</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51">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2611</v>
      </c>
      <c r="B50" s="2670">
        <f t="shared" si="67"/>
        <v>168.82017748715555</v>
      </c>
      <c r="C50" s="2670">
        <f t="shared" si="67"/>
        <v>148.06267029972753</v>
      </c>
      <c r="D50" s="2670">
        <f t="shared" si="45"/>
        <v>148.06267029972753</v>
      </c>
      <c r="E50" s="2670">
        <f t="shared" si="68"/>
        <v>216.46288379323747</v>
      </c>
      <c r="F50" s="2670">
        <f t="shared" si="68"/>
        <v>134.23529411764704</v>
      </c>
      <c r="G50" s="3451">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2612</v>
      </c>
      <c r="B51" s="2670">
        <f t="shared" si="67"/>
        <v>163.84913591779542</v>
      </c>
      <c r="C51" s="2670">
        <f t="shared" si="67"/>
        <v>145.0283378746594</v>
      </c>
      <c r="D51" s="2670">
        <f t="shared" si="45"/>
        <v>145.0283378746594</v>
      </c>
      <c r="E51" s="2670">
        <f t="shared" si="68"/>
        <v>204.95180722891567</v>
      </c>
      <c r="F51" s="2670">
        <f t="shared" si="68"/>
        <v>125.95920303605313</v>
      </c>
      <c r="G51" s="3452">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2613</v>
      </c>
      <c r="B52" s="2684">
        <v>159</v>
      </c>
      <c r="C52" s="2684">
        <v>141</v>
      </c>
      <c r="D52" s="2684">
        <f t="shared" si="45"/>
        <v>141</v>
      </c>
      <c r="E52" s="2684">
        <v>195</v>
      </c>
      <c r="F52" s="2685">
        <v>122</v>
      </c>
      <c r="G52" s="3450">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2614</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51">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2615</v>
      </c>
      <c r="B54" s="2670">
        <f t="shared" si="71"/>
        <v>146.57412060301507</v>
      </c>
      <c r="C54" s="2670">
        <f t="shared" si="71"/>
        <v>136.46831955922866</v>
      </c>
      <c r="D54" s="2670">
        <f t="shared" si="45"/>
        <v>136.46831955922866</v>
      </c>
      <c r="E54" s="2670">
        <f t="shared" si="72"/>
        <v>166.73864894795128</v>
      </c>
      <c r="F54" s="2670">
        <f t="shared" si="72"/>
        <v>115.05882352941177</v>
      </c>
      <c r="G54" s="3451">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2616</v>
      </c>
      <c r="B55" s="2670">
        <f t="shared" si="71"/>
        <v>144.04145728643215</v>
      </c>
      <c r="C55" s="2670">
        <f t="shared" si="71"/>
        <v>136.12396694214877</v>
      </c>
      <c r="D55" s="2670">
        <f t="shared" si="45"/>
        <v>136.12396694214877</v>
      </c>
      <c r="E55" s="2670">
        <f t="shared" si="72"/>
        <v>158.32225913621264</v>
      </c>
      <c r="F55" s="2670">
        <f t="shared" si="72"/>
        <v>114.04278074866311</v>
      </c>
      <c r="G55" s="3452">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2617</v>
      </c>
      <c r="B56" s="2684">
        <v>138</v>
      </c>
      <c r="C56" s="2684">
        <v>131</v>
      </c>
      <c r="D56" s="2684">
        <f t="shared" si="45"/>
        <v>131</v>
      </c>
      <c r="E56" s="2684">
        <v>155</v>
      </c>
      <c r="F56" s="2685">
        <v>114</v>
      </c>
      <c r="G56" s="3450">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2618</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51">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2619</v>
      </c>
      <c r="B58" s="2670">
        <f t="shared" si="75"/>
        <v>124.29032258064517</v>
      </c>
      <c r="C58" s="2670">
        <f t="shared" si="75"/>
        <v>123.8968609865471</v>
      </c>
      <c r="D58" s="2670">
        <f t="shared" si="45"/>
        <v>123.8968609865471</v>
      </c>
      <c r="E58" s="2670">
        <f t="shared" si="76"/>
        <v>138.00507614213197</v>
      </c>
      <c r="F58" s="2670">
        <f t="shared" si="76"/>
        <v>107.96106557377048</v>
      </c>
      <c r="G58" s="3451">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2620</v>
      </c>
      <c r="B59" s="2670">
        <f t="shared" si="75"/>
        <v>122.57204301075269</v>
      </c>
      <c r="C59" s="2670">
        <f t="shared" si="75"/>
        <v>123.4932735426009</v>
      </c>
      <c r="D59" s="2670">
        <f t="shared" si="45"/>
        <v>123.4932735426009</v>
      </c>
      <c r="E59" s="2670">
        <f t="shared" si="76"/>
        <v>129.82233502538071</v>
      </c>
      <c r="F59" s="2670">
        <f t="shared" si="76"/>
        <v>107.39446721311475</v>
      </c>
      <c r="G59" s="3452">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2621</v>
      </c>
      <c r="B60" s="2700">
        <v>121</v>
      </c>
      <c r="C60" s="2700">
        <v>122</v>
      </c>
      <c r="D60" s="2700">
        <f t="shared" si="45"/>
        <v>122</v>
      </c>
      <c r="E60" s="2700">
        <v>124</v>
      </c>
      <c r="F60" s="2701">
        <v>107</v>
      </c>
      <c r="G60" s="3450">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2622</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51">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2623</v>
      </c>
      <c r="B62" s="2670">
        <f t="shared" si="79"/>
        <v>116.99099099099099</v>
      </c>
      <c r="C62" s="2670">
        <f t="shared" si="79"/>
        <v>118.84848484848486</v>
      </c>
      <c r="D62" s="2670">
        <f t="shared" si="45"/>
        <v>118.84848484848486</v>
      </c>
      <c r="E62" s="2670">
        <f t="shared" si="80"/>
        <v>117.60960960960961</v>
      </c>
      <c r="F62" s="2670">
        <f t="shared" si="80"/>
        <v>104</v>
      </c>
      <c r="G62" s="3451">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2624</v>
      </c>
      <c r="B63" s="2703">
        <f t="shared" si="79"/>
        <v>112.48648648648648</v>
      </c>
      <c r="C63" s="2703">
        <f t="shared" si="79"/>
        <v>115.21212121212122</v>
      </c>
      <c r="D63" s="2703">
        <f t="shared" si="45"/>
        <v>115.21212121212122</v>
      </c>
      <c r="E63" s="2703">
        <f t="shared" si="80"/>
        <v>110.4024024024024</v>
      </c>
      <c r="F63" s="2703">
        <f t="shared" si="80"/>
        <v>104</v>
      </c>
      <c r="G63" s="3452">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2625</v>
      </c>
      <c r="B64" s="2721">
        <v>111</v>
      </c>
      <c r="C64" s="2721">
        <v>114</v>
      </c>
      <c r="D64" s="2721">
        <f t="shared" si="45"/>
        <v>114</v>
      </c>
      <c r="E64" s="2721">
        <v>108</v>
      </c>
      <c r="F64" s="2722">
        <v>104</v>
      </c>
      <c r="G64" s="3450">
        <v>2003</v>
      </c>
      <c r="H64" s="2711">
        <v>4</v>
      </c>
      <c r="I64" s="2723"/>
      <c r="J64" s="2723"/>
      <c r="K64" s="2723"/>
      <c r="L64" s="2723"/>
      <c r="N64" s="2724"/>
      <c r="O64" s="2723"/>
      <c r="P64" s="2723"/>
      <c r="Q64" s="2723"/>
      <c r="S64" s="2724"/>
      <c r="T64" s="2723"/>
      <c r="U64" s="2723"/>
      <c r="V64" s="2723"/>
      <c r="X64" s="2715"/>
      <c r="Y64" s="2715"/>
      <c r="Z64" s="2715"/>
    </row>
    <row r="65" spans="1:26">
      <c r="A65" s="2656" t="s">
        <v>2626</v>
      </c>
      <c r="B65" s="2725">
        <f t="shared" ref="B65:C67" si="81">B66+(B$64-B$68)/4</f>
        <v>109.75</v>
      </c>
      <c r="C65" s="2725">
        <f t="shared" si="81"/>
        <v>112.25</v>
      </c>
      <c r="D65" s="2725">
        <f t="shared" si="45"/>
        <v>112.25</v>
      </c>
      <c r="E65" s="2725">
        <f t="shared" ref="E65:F67" si="82">E66+(E$64-E$68)/4</f>
        <v>107.25</v>
      </c>
      <c r="F65" s="2725">
        <f t="shared" si="82"/>
        <v>103.5</v>
      </c>
      <c r="G65" s="3451">
        <v>2003</v>
      </c>
      <c r="H65" s="2681">
        <v>3</v>
      </c>
      <c r="I65" s="2723"/>
      <c r="J65" s="2723"/>
      <c r="K65" s="2723"/>
      <c r="L65" s="2723"/>
      <c r="X65" s="2715"/>
      <c r="Y65" s="2715"/>
      <c r="Z65" s="2715"/>
    </row>
    <row r="66" spans="1:26">
      <c r="A66" s="2656" t="s">
        <v>2627</v>
      </c>
      <c r="B66" s="2725">
        <f t="shared" si="81"/>
        <v>108.5</v>
      </c>
      <c r="C66" s="2725">
        <f t="shared" si="81"/>
        <v>110.5</v>
      </c>
      <c r="D66" s="2725">
        <f t="shared" si="45"/>
        <v>110.5</v>
      </c>
      <c r="E66" s="2725">
        <f t="shared" si="82"/>
        <v>106.5</v>
      </c>
      <c r="F66" s="2725">
        <f t="shared" si="82"/>
        <v>103</v>
      </c>
      <c r="G66" s="3451">
        <v>2003</v>
      </c>
      <c r="H66" s="2661">
        <v>2</v>
      </c>
      <c r="I66" s="2723"/>
      <c r="J66" s="2723"/>
      <c r="K66" s="2723"/>
      <c r="L66" s="2723"/>
      <c r="X66" s="2715"/>
      <c r="Y66" s="2715"/>
      <c r="Z66" s="2715"/>
    </row>
    <row r="67" spans="1:26" ht="13.5" thickBot="1">
      <c r="A67" s="2656" t="s">
        <v>2628</v>
      </c>
      <c r="B67" s="2725">
        <f t="shared" si="81"/>
        <v>107.25</v>
      </c>
      <c r="C67" s="2725">
        <f t="shared" si="81"/>
        <v>108.75</v>
      </c>
      <c r="D67" s="2725">
        <f t="shared" si="45"/>
        <v>108.75</v>
      </c>
      <c r="E67" s="2725">
        <f t="shared" si="82"/>
        <v>105.75</v>
      </c>
      <c r="F67" s="2725">
        <f t="shared" si="82"/>
        <v>102.5</v>
      </c>
      <c r="G67" s="3452">
        <v>2003</v>
      </c>
      <c r="H67" s="2726">
        <v>1</v>
      </c>
      <c r="I67" s="2723"/>
      <c r="J67" s="2723"/>
      <c r="K67" s="2723"/>
      <c r="L67" s="2723"/>
      <c r="S67" s="2665"/>
      <c r="T67" s="2666"/>
      <c r="U67" s="2666"/>
      <c r="X67" s="2715"/>
      <c r="Y67" s="2715"/>
      <c r="Z67" s="2715"/>
    </row>
    <row r="68" spans="1:26" ht="13.5" thickBot="1">
      <c r="A68" s="2656" t="s">
        <v>2629</v>
      </c>
      <c r="B68" s="2727">
        <v>106</v>
      </c>
      <c r="C68" s="2727">
        <v>107</v>
      </c>
      <c r="D68" s="2727">
        <f t="shared" si="45"/>
        <v>107</v>
      </c>
      <c r="E68" s="2727">
        <v>105</v>
      </c>
      <c r="F68" s="2728">
        <v>102</v>
      </c>
      <c r="G68" s="3450">
        <v>2002</v>
      </c>
      <c r="H68" s="2676">
        <v>4</v>
      </c>
      <c r="I68" s="2723"/>
      <c r="J68" s="2723"/>
      <c r="K68" s="2723"/>
      <c r="L68" s="2723"/>
      <c r="N68" s="2724"/>
      <c r="O68" s="2723"/>
      <c r="P68" s="2723"/>
      <c r="Q68" s="2723"/>
      <c r="S68" s="2724"/>
      <c r="T68" s="2723"/>
      <c r="U68" s="2723"/>
      <c r="V68" s="2723"/>
      <c r="X68" s="2715"/>
      <c r="Y68" s="2715"/>
      <c r="Z68" s="2715"/>
    </row>
    <row r="69" spans="1:26">
      <c r="A69" s="2656" t="s">
        <v>2630</v>
      </c>
      <c r="B69" s="2725">
        <f t="shared" ref="B69:C71" si="83">B70+(B$68-B$72)/4</f>
        <v>105</v>
      </c>
      <c r="C69" s="2725">
        <f t="shared" si="83"/>
        <v>106</v>
      </c>
      <c r="D69" s="2725">
        <f t="shared" si="45"/>
        <v>106</v>
      </c>
      <c r="E69" s="2725">
        <f t="shared" ref="E69:F71" si="84">E70+(E$68-E$72)/4</f>
        <v>104.5</v>
      </c>
      <c r="F69" s="2725">
        <f t="shared" si="84"/>
        <v>101.5</v>
      </c>
      <c r="G69" s="3451">
        <v>2002</v>
      </c>
      <c r="H69" s="2681">
        <v>3</v>
      </c>
      <c r="I69" s="2723"/>
      <c r="J69" s="2723"/>
      <c r="K69" s="2723"/>
      <c r="L69" s="2723"/>
      <c r="X69" s="2715"/>
      <c r="Y69" s="2715"/>
      <c r="Z69" s="2715"/>
    </row>
    <row r="70" spans="1:26">
      <c r="A70" s="2656" t="s">
        <v>2631</v>
      </c>
      <c r="B70" s="2725">
        <f t="shared" si="83"/>
        <v>104</v>
      </c>
      <c r="C70" s="2725">
        <f t="shared" si="83"/>
        <v>105</v>
      </c>
      <c r="D70" s="2725">
        <f t="shared" si="45"/>
        <v>105</v>
      </c>
      <c r="E70" s="2725">
        <f t="shared" si="84"/>
        <v>104</v>
      </c>
      <c r="F70" s="2725">
        <f t="shared" si="84"/>
        <v>101</v>
      </c>
      <c r="G70" s="3451">
        <v>2002</v>
      </c>
      <c r="H70" s="2661">
        <v>2</v>
      </c>
      <c r="I70" s="2723"/>
      <c r="J70" s="2723"/>
      <c r="K70" s="2723"/>
      <c r="L70" s="2723"/>
      <c r="X70" s="2715"/>
      <c r="Y70" s="2715"/>
      <c r="Z70" s="2715"/>
    </row>
    <row r="71" spans="1:26" s="2692" customFormat="1" ht="13.5" thickBot="1">
      <c r="A71" s="2688" t="s">
        <v>2632</v>
      </c>
      <c r="B71" s="2729">
        <f t="shared" si="83"/>
        <v>103</v>
      </c>
      <c r="C71" s="2729">
        <f t="shared" si="83"/>
        <v>104</v>
      </c>
      <c r="D71" s="2729">
        <f t="shared" si="45"/>
        <v>104</v>
      </c>
      <c r="E71" s="2729">
        <f t="shared" si="84"/>
        <v>103.5</v>
      </c>
      <c r="F71" s="2729">
        <f t="shared" si="84"/>
        <v>100.5</v>
      </c>
      <c r="G71" s="3452">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2633</v>
      </c>
      <c r="G74" s="2739"/>
      <c r="N74" s="2739"/>
      <c r="S74" s="2739"/>
    </row>
    <row r="75" spans="1:26" s="2738" customFormat="1">
      <c r="A75" s="2738" t="s">
        <v>2634</v>
      </c>
      <c r="G75" s="2739"/>
      <c r="N75" s="2739"/>
      <c r="S75" s="2739"/>
    </row>
    <row r="76" spans="1:26" s="2738" customFormat="1">
      <c r="A76" s="2738" t="s">
        <v>2635</v>
      </c>
      <c r="G76" s="2739"/>
      <c r="I76" s="2740"/>
      <c r="J76" s="2740"/>
      <c r="K76" s="2740"/>
      <c r="L76" s="2740"/>
      <c r="N76" s="2741"/>
      <c r="O76" s="2740"/>
      <c r="P76" s="2740"/>
      <c r="Q76" s="2740"/>
      <c r="S76" s="2741"/>
      <c r="T76" s="2740"/>
      <c r="U76" s="2740"/>
      <c r="V76" s="2740"/>
    </row>
    <row r="77" spans="1:26" s="2738" customFormat="1">
      <c r="A77" s="2738" t="s">
        <v>2636</v>
      </c>
      <c r="G77" s="2739"/>
      <c r="N77" s="2739"/>
      <c r="S77" s="2739"/>
    </row>
    <row r="84" spans="7:22" ht="13.5" thickBot="1"/>
    <row r="85" spans="7:22">
      <c r="G85" s="2664"/>
      <c r="S85" s="2742" t="s">
        <v>2637</v>
      </c>
      <c r="T85" s="2743" t="s">
        <v>2638</v>
      </c>
      <c r="U85" s="2743" t="s">
        <v>2639</v>
      </c>
      <c r="V85" s="2743" t="s">
        <v>2640</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青岛北曲后汇豪置业有限公司：</v>
      </c>
    </row>
    <row r="4" spans="1:4" ht="37.5">
      <c r="A4" s="1792" t="str">
        <f>"受贵公司委托，我公司对"&amp;项目基本情况!K2&amp;项目基本情况!B9&amp;"进行了预评估。"</f>
        <v>受贵公司委托，我公司对山东省青岛市城阳街道大北曲后社区青岛北曲后汇豪置业有限公司出让国有建设用地使用权抵押价格进行了预评估。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北曲后汇豪置业有限公司使用的、位于山东省青岛市城阳街道大北曲后社区青岛北曲后汇豪置业有限公司出让国有建设用地使用权。根据《国有土地使用证》[]，估价对象（分摊）出让国有建设用地使用权面积为31518.19平方米。根据《建设工程规划许可证》[]、《出让合同》[]，估价对象规划建筑面积为124676.06平方米。</v>
      </c>
    </row>
    <row r="7" spans="1:4" ht="56.25">
      <c r="A7" s="1796" t="s">
        <v>2749</v>
      </c>
    </row>
    <row r="8" spans="1:4" ht="18.75">
      <c r="A8" s="1795" t="s">
        <v>1907</v>
      </c>
    </row>
    <row r="9" spans="1:4" ht="75">
      <c r="A9" s="1797"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2018年8月30日（评估专业人员勘察现场之日）</v>
      </c>
    </row>
    <row r="12" spans="1:4" ht="18.75">
      <c r="A12" s="1798" t="s">
        <v>2027</v>
      </c>
    </row>
    <row r="13" spans="1:4" ht="18.75">
      <c r="A13" s="1792" t="s">
        <v>2944</v>
      </c>
    </row>
    <row r="14" spans="1:4" ht="37.5">
      <c r="A14" s="1792" t="str">
        <f>"根据"&amp;项目基本情况!F12&amp;"，本次评估估价对象证载（地类）用途为"&amp;项目基本情况!B12&amp;"。"</f>
        <v>根据《不动产权证书》[青房地权市字第201174701号]，本次评估估价对象证载（地类）用途为批发零售。</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根据《国有土地使用证》[]，估价对象（分摊）出让国有建设用地使用权面积为31518.19平方米。根据《建设工程规划许可证》[]、《出让合同》[]，估价对象规划建筑面积为124676.06平方米。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青房地权市字第201174701号]、《国有建设用地使用权出让合同》[]及附件、《北京市规划委员会关于同意XX项目的规划设计方案的规划意见复函》[]以及《建设工程规划许可证》[]，土地终止日期为商业2051年4月21日地下车库2061年4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8月30日，在规划利用条件下、设定土地开发程度为红线外“六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1" sqref="I3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2994</v>
      </c>
      <c r="D1" s="3126" t="s">
        <v>3023</v>
      </c>
      <c r="E1" s="2388" t="s">
        <v>2376</v>
      </c>
      <c r="F1" s="2389">
        <f ca="1">J53</f>
        <v>30.659999999999997</v>
      </c>
      <c r="G1" s="774">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101339</v>
      </c>
      <c r="C2" s="2058"/>
      <c r="D2" s="2056"/>
      <c r="E2" s="2057"/>
      <c r="F2" s="2057"/>
      <c r="G2" s="1591"/>
      <c r="H2" s="2058"/>
      <c r="I2" s="2058"/>
      <c r="J2" s="2058"/>
      <c r="K2" s="2059"/>
      <c r="L2" s="2058"/>
      <c r="M2" s="2058"/>
    </row>
    <row r="3" spans="1:33" ht="18" customHeight="1" thickBot="1">
      <c r="A3" s="833" t="s">
        <v>1728</v>
      </c>
      <c r="B3" s="834">
        <f ca="1">IF(ISERROR(B2*10000/F43),0,ROUND(B2*10000/F43,0))</f>
        <v>11550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7244</v>
      </c>
      <c r="D5" s="2497" t="s">
        <v>2463</v>
      </c>
      <c r="E5" s="2491"/>
      <c r="F5" s="2492"/>
      <c r="G5" s="1593"/>
      <c r="H5" s="781">
        <v>1</v>
      </c>
      <c r="I5" s="782" t="s">
        <v>2460</v>
      </c>
      <c r="J5" s="55">
        <f ca="1">J6+J10+J12</f>
        <v>0</v>
      </c>
      <c r="K5" s="2497" t="s">
        <v>2463</v>
      </c>
      <c r="L5" s="2491"/>
      <c r="M5" s="2492"/>
    </row>
    <row r="6" spans="1:33" ht="18" customHeight="1">
      <c r="A6" s="1831" t="s">
        <v>1825</v>
      </c>
      <c r="B6" s="3444" t="s">
        <v>2465</v>
      </c>
      <c r="C6" s="783">
        <f ca="1">ROUND(F6*F8*F7*(1-F9)/10000,0)</f>
        <v>7235</v>
      </c>
      <c r="D6" s="2498" t="s">
        <v>2464</v>
      </c>
      <c r="E6" s="784" t="s">
        <v>1739</v>
      </c>
      <c r="F6" s="785">
        <f ca="1">INDIRECT("'数据-取费表'!u"&amp;$G$1)</f>
        <v>2.5099999999999998</v>
      </c>
      <c r="G6" s="1593"/>
      <c r="H6" s="2505" t="s">
        <v>2470</v>
      </c>
      <c r="I6" s="3444" t="s">
        <v>2465</v>
      </c>
      <c r="J6" s="783">
        <f ca="1">ROUND(M6*M8*M7*(1-M9)/10000,0)</f>
        <v>0</v>
      </c>
      <c r="K6" s="341" t="s">
        <v>1738</v>
      </c>
      <c r="L6" s="784" t="s">
        <v>1739</v>
      </c>
      <c r="M6" s="785">
        <f ca="1">INDIRECT("'数据-取费表'!z"&amp;$G$1)</f>
        <v>0</v>
      </c>
    </row>
    <row r="7" spans="1:33" ht="18" customHeight="1">
      <c r="A7" s="2501"/>
      <c r="B7" s="3445"/>
      <c r="C7" s="788"/>
      <c r="D7" s="789"/>
      <c r="E7" s="784" t="s">
        <v>1740</v>
      </c>
      <c r="F7" s="785">
        <f ca="1">IF(INDIRECT("'数据-取费表'!ah"&amp;$G$1)="",INDIRECT("'数据-取费表'!k"&amp;$G$1),INDIRECT("'数据-取费表'!ah"&amp;$G$1))</f>
        <v>87740.640000000014</v>
      </c>
      <c r="G7" s="1593"/>
      <c r="H7" s="2490"/>
      <c r="I7" s="3445"/>
      <c r="J7" s="788"/>
      <c r="K7" s="789"/>
      <c r="L7" s="784" t="s">
        <v>1740</v>
      </c>
      <c r="M7" s="785">
        <f ca="1">F7</f>
        <v>87740.640000000014</v>
      </c>
    </row>
    <row r="8" spans="1:33" ht="18" customHeight="1">
      <c r="A8" s="2494"/>
      <c r="B8" s="3446"/>
      <c r="C8" s="788"/>
      <c r="D8" s="789"/>
      <c r="E8" s="784" t="s">
        <v>1741</v>
      </c>
      <c r="F8" s="785">
        <f ca="1">INDIRECT("'数据-取费表'!ai"&amp;$G$1)</f>
        <v>365</v>
      </c>
      <c r="G8" s="1593"/>
      <c r="H8" s="2490"/>
      <c r="I8" s="3446"/>
      <c r="J8" s="788"/>
      <c r="K8" s="789"/>
      <c r="L8" s="784" t="s">
        <v>1741</v>
      </c>
      <c r="M8" s="785">
        <f ca="1">INDIRECT("'数据-取费表'!ai"&amp;$G$1)</f>
        <v>365</v>
      </c>
    </row>
    <row r="9" spans="1:33" ht="18" customHeight="1">
      <c r="A9" s="786"/>
      <c r="B9" s="3447"/>
      <c r="C9" s="788"/>
      <c r="D9" s="789"/>
      <c r="E9" s="784" t="s">
        <v>1742</v>
      </c>
      <c r="F9" s="794">
        <f ca="1">INDIRECT("'数据-取费表'!w"&amp;$G$1)</f>
        <v>0.1</v>
      </c>
      <c r="G9" s="1593"/>
      <c r="H9" s="2506"/>
      <c r="I9" s="3446"/>
      <c r="J9" s="788"/>
      <c r="K9" s="789"/>
      <c r="L9" s="795" t="s">
        <v>1742</v>
      </c>
      <c r="M9" s="796">
        <f ca="1">INDIRECT("'数据-取费表'!ab"&amp;$G$1)</f>
        <v>0</v>
      </c>
    </row>
    <row r="10" spans="1:33" ht="18" customHeight="1">
      <c r="A10" s="1831" t="s">
        <v>2468</v>
      </c>
      <c r="B10" s="2495" t="s">
        <v>2461</v>
      </c>
      <c r="C10" s="799">
        <f ca="1">ROUND(IF(F10="押一",C6/12*F11,IF(F10="押二",C6/12*2*F11,IF(F10="押三",C6/12*3*F11,C11*F11))),0)</f>
        <v>9</v>
      </c>
      <c r="D10" s="2502" t="s">
        <v>2977</v>
      </c>
      <c r="E10" s="2499" t="s">
        <v>2466</v>
      </c>
      <c r="F10" s="2622" t="s">
        <v>3025</v>
      </c>
      <c r="G10" s="1593"/>
      <c r="H10" s="2562" t="s">
        <v>2471</v>
      </c>
      <c r="I10" s="2567" t="s">
        <v>2461</v>
      </c>
      <c r="J10" s="783">
        <f ca="1">ROUND(IF(M10="押一",J6/12*M11,IF(M10="押二",J6/12*2*M11,IF(M10="押三",J6/12*3*M11,J11*M11))),0)</f>
        <v>0</v>
      </c>
      <c r="K10" s="2502" t="s">
        <v>2977</v>
      </c>
      <c r="L10" s="2499" t="s">
        <v>2466</v>
      </c>
      <c r="M10" s="2622"/>
    </row>
    <row r="11" spans="1:33" ht="18" customHeight="1">
      <c r="A11" s="790"/>
      <c r="B11" s="2496" t="s">
        <v>2575</v>
      </c>
      <c r="C11" s="2500"/>
      <c r="D11" s="789"/>
      <c r="E11" s="2499" t="s">
        <v>2467</v>
      </c>
      <c r="F11" s="796">
        <f ca="1">'数据-取费表'!B39</f>
        <v>1.4999999999999999E-2</v>
      </c>
      <c r="G11" s="1593"/>
      <c r="H11" s="2563"/>
      <c r="I11" s="2496" t="s">
        <v>2575</v>
      </c>
      <c r="J11" s="2500"/>
      <c r="K11" s="2564"/>
      <c r="L11" s="2499" t="s">
        <v>2467</v>
      </c>
      <c r="M11" s="2493">
        <f ca="1">'数据-取费表'!B39</f>
        <v>1.4999999999999999E-2</v>
      </c>
    </row>
    <row r="12" spans="1:33" ht="18" customHeight="1" thickBot="1">
      <c r="A12" s="2538" t="s">
        <v>2469</v>
      </c>
      <c r="B12" s="2539" t="s">
        <v>2462</v>
      </c>
      <c r="C12" s="2540"/>
      <c r="D12" s="2541"/>
      <c r="E12" s="2542"/>
      <c r="F12" s="2543"/>
      <c r="G12" s="1593"/>
      <c r="H12" s="2552" t="s">
        <v>2472</v>
      </c>
      <c r="I12" s="2565" t="s">
        <v>2462</v>
      </c>
      <c r="J12" s="2566"/>
      <c r="K12" s="2541"/>
      <c r="L12" s="2542"/>
      <c r="M12" s="2555"/>
    </row>
    <row r="13" spans="1:33" ht="18" customHeight="1" thickTop="1">
      <c r="A13" s="1830">
        <v>2</v>
      </c>
      <c r="B13" s="1828" t="s">
        <v>1743</v>
      </c>
      <c r="C13" s="792">
        <f ca="1">ROUND(C29*F13,0)</f>
        <v>0</v>
      </c>
      <c r="D13" s="1835" t="s">
        <v>2299</v>
      </c>
      <c r="E13" s="1835" t="s">
        <v>1745</v>
      </c>
      <c r="F13" s="2537">
        <f ca="1">INDIRECT("'数据-取费表'!y"&amp;$G$1)</f>
        <v>0</v>
      </c>
      <c r="G13" s="1593"/>
      <c r="H13" s="1830">
        <v>2</v>
      </c>
      <c r="I13" s="1828" t="s">
        <v>1743</v>
      </c>
      <c r="J13" s="1820">
        <f ca="1">ROUND(J14*J15,0)</f>
        <v>0</v>
      </c>
      <c r="K13" s="1822" t="s">
        <v>1744</v>
      </c>
      <c r="L13" s="2553"/>
      <c r="M13" s="2554"/>
    </row>
    <row r="14" spans="1:33" ht="18" customHeight="1">
      <c r="A14" s="1649" t="s">
        <v>1885</v>
      </c>
      <c r="B14" s="784" t="s">
        <v>645</v>
      </c>
      <c r="C14" s="804">
        <f ca="1">INDIRECT("'数据-取费表'!m"&amp;$G$1)+INDIRECT("'数据-取费表'!t"&amp;$G$1)</f>
        <v>26599</v>
      </c>
      <c r="D14" s="1980" t="s">
        <v>1746</v>
      </c>
      <c r="E14" s="1981"/>
      <c r="F14" s="805"/>
      <c r="G14" s="1593"/>
      <c r="H14" s="1650" t="s">
        <v>1831</v>
      </c>
      <c r="I14" s="2232" t="s">
        <v>2828</v>
      </c>
      <c r="J14" s="53">
        <f ca="1">C29</f>
        <v>42518</v>
      </c>
      <c r="K14" s="26"/>
      <c r="L14" s="801"/>
      <c r="M14" s="802"/>
    </row>
    <row r="15" spans="1:33" s="2065" customFormat="1" ht="18" customHeight="1" thickBot="1">
      <c r="A15" s="1649" t="s">
        <v>1886</v>
      </c>
      <c r="B15" s="784" t="s">
        <v>647</v>
      </c>
      <c r="C15" s="53">
        <f ca="1">ROUND(C14*F15,0)</f>
        <v>798</v>
      </c>
      <c r="D15" s="806" t="s">
        <v>1747</v>
      </c>
      <c r="E15" s="806" t="s">
        <v>1748</v>
      </c>
      <c r="F15" s="807">
        <f>'数据-取费表'!B33</f>
        <v>0.03</v>
      </c>
      <c r="G15" s="1594"/>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4221</v>
      </c>
      <c r="K16" s="1822" t="s">
        <v>1751</v>
      </c>
      <c r="L16" s="2487"/>
      <c r="M16" s="2492"/>
    </row>
    <row r="17" spans="1:33" s="2065" customFormat="1" ht="18" customHeight="1">
      <c r="A17" s="1649" t="s">
        <v>1888</v>
      </c>
      <c r="B17" s="784" t="s">
        <v>653</v>
      </c>
      <c r="C17" s="53">
        <f ca="1">ROUND(F17*(F43+INDIRECT("'数据-取费表'!S"&amp;$G$1))/10000,0)</f>
        <v>1782</v>
      </c>
      <c r="D17" s="784" t="s">
        <v>1752</v>
      </c>
      <c r="E17" s="784" t="s">
        <v>1753</v>
      </c>
      <c r="F17" s="56">
        <f>'数据-取费表'!B35</f>
        <v>200</v>
      </c>
      <c r="G17" s="1594"/>
      <c r="H17" s="1650" t="s">
        <v>1831</v>
      </c>
      <c r="I17" s="784" t="s">
        <v>656</v>
      </c>
      <c r="J17" s="53">
        <f ca="1">ROUND(IF(项目基本情况!B11="自然人",J5*M17,J18+J19+J20),0)</f>
        <v>3583</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399</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29578</v>
      </c>
      <c r="D19" s="261" t="s">
        <v>1758</v>
      </c>
      <c r="E19" s="1983"/>
      <c r="F19" s="56"/>
      <c r="G19" s="1593"/>
      <c r="H19" s="1649" t="s">
        <v>1886</v>
      </c>
      <c r="I19" s="784" t="s">
        <v>1759</v>
      </c>
      <c r="J19" s="53">
        <f ca="1">IF(K19="按租金收入计税",ROUND(J5*M19,1),ROUND(C29*F33*0.7,1))</f>
        <v>3571.5</v>
      </c>
      <c r="K19" s="811" t="s">
        <v>665</v>
      </c>
      <c r="L19" s="784" t="s">
        <v>1748</v>
      </c>
      <c r="M19" s="809">
        <f>IF(K19="按租金收入计税",'数据-取费表'!B51,'数据-取费表'!B50)</f>
        <v>1.2E-2</v>
      </c>
    </row>
    <row r="20" spans="1:33" s="2065" customFormat="1" ht="18" customHeight="1">
      <c r="A20" s="1650" t="s">
        <v>1890</v>
      </c>
      <c r="B20" s="784" t="s">
        <v>666</v>
      </c>
      <c r="C20" s="53">
        <f ca="1">ROUND(C19*F20,0)</f>
        <v>592</v>
      </c>
      <c r="D20" s="812" t="s">
        <v>1760</v>
      </c>
      <c r="E20" s="784" t="s">
        <v>1748</v>
      </c>
      <c r="F20" s="809">
        <f>'数据-取费表'!B37</f>
        <v>0.02</v>
      </c>
      <c r="G20" s="1594"/>
      <c r="H20" s="1652" t="s">
        <v>1881</v>
      </c>
      <c r="I20" s="341" t="s">
        <v>1761</v>
      </c>
      <c r="J20" s="54">
        <f ca="1">ROUND(M20*M21/10000,0)</f>
        <v>11</v>
      </c>
      <c r="K20" s="814" t="s">
        <v>1762</v>
      </c>
      <c r="L20" s="784" t="s">
        <v>1763</v>
      </c>
      <c r="M20" s="640">
        <f>'数据-取费表'!B52</f>
        <v>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2300</v>
      </c>
      <c r="E21" s="784" t="s">
        <v>1766</v>
      </c>
      <c r="F21" s="809">
        <f>'数据-取费表'!B38</f>
        <v>0.02</v>
      </c>
      <c r="G21" s="1594"/>
      <c r="H21" s="2507"/>
      <c r="I21" s="793"/>
      <c r="J21" s="69"/>
      <c r="K21" s="816"/>
      <c r="L21" s="784" t="s">
        <v>1767</v>
      </c>
      <c r="M21" s="785">
        <f ca="1">INDIRECT("'数据-取费表'!r"&amp;$G$1)</f>
        <v>22530.649999999998</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638</v>
      </c>
      <c r="K22" s="2485" t="s">
        <v>1770</v>
      </c>
      <c r="L22" s="784" t="s">
        <v>1748</v>
      </c>
      <c r="M22" s="817">
        <f ca="1">INDIRECT("'数据-取费表'!Ak"&amp;$G$1)</f>
        <v>1.4999999999999999E-2</v>
      </c>
    </row>
    <row r="23" spans="1:33" s="2065" customFormat="1" ht="18" customHeight="1">
      <c r="A23" s="1649" t="s">
        <v>1832</v>
      </c>
      <c r="B23" s="784" t="s">
        <v>2537</v>
      </c>
      <c r="C23" s="53">
        <f ca="1">ROUND(IF('数据-取费表'!B22&lt;=1,(C19+C20)*F24*F23/2,(C19+C20)*(POWER((1+F24),F23/2)-1)),0)</f>
        <v>1433</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11" t="s">
        <v>2824</v>
      </c>
      <c r="J25" s="792">
        <f ca="1">J5-J16</f>
        <v>-4221</v>
      </c>
      <c r="K25" s="2549" t="s">
        <v>1778</v>
      </c>
      <c r="L25" s="2550"/>
      <c r="M25" s="2551"/>
    </row>
    <row r="26" spans="1:33" ht="18" customHeight="1">
      <c r="A26" s="1649" t="s">
        <v>1832</v>
      </c>
      <c r="B26" s="784" t="s">
        <v>2440</v>
      </c>
      <c r="C26" s="53">
        <f ca="1">ROUND((C19+C20)*F26,0)</f>
        <v>7543</v>
      </c>
      <c r="D26" s="812" t="s">
        <v>1779</v>
      </c>
      <c r="E26" s="795" t="s">
        <v>1780</v>
      </c>
      <c r="F26" s="794">
        <f ca="1">INDIRECT("'数据-取费表'!q"&amp;$G$1)</f>
        <v>0.25</v>
      </c>
      <c r="G26" s="1593"/>
      <c r="H26" s="2503" t="s">
        <v>1781</v>
      </c>
      <c r="I26" s="2233" t="s">
        <v>2829</v>
      </c>
      <c r="J26" s="783">
        <f ca="1">IF(J5&lt;&gt;0,ROUND(J25*(1-((1+M28)/(1+M26))^M27)/(M26-M28),0),0)</f>
        <v>0</v>
      </c>
      <c r="K26" s="814" t="s">
        <v>1782</v>
      </c>
      <c r="L26" s="784" t="s">
        <v>2421</v>
      </c>
      <c r="M26" s="794">
        <f ca="1">INDIRECT("'数据-取费表'!I"&amp;$G$1)</f>
        <v>0.06</v>
      </c>
    </row>
    <row r="27" spans="1:33" ht="18" customHeight="1">
      <c r="A27" s="1649" t="s">
        <v>1833</v>
      </c>
      <c r="B27" s="784" t="s">
        <v>686</v>
      </c>
      <c r="C27" s="53">
        <f ca="1">ROUND(F21*F26,4)</f>
        <v>5.0000000000000001E-3</v>
      </c>
      <c r="D27" s="812" t="s">
        <v>1783</v>
      </c>
      <c r="E27" s="806"/>
      <c r="F27" s="807"/>
      <c r="G27" s="1593"/>
      <c r="H27" s="2504"/>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2301</v>
      </c>
      <c r="E28" s="784" t="s">
        <v>1786</v>
      </c>
      <c r="F28" s="809">
        <f>'数据-取费表'!B41</f>
        <v>5.6000000000000001E-2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42518</v>
      </c>
      <c r="D29" s="2546"/>
      <c r="E29" s="2547"/>
      <c r="F29" s="2548"/>
      <c r="G29" s="1594"/>
      <c r="H29" s="823" t="s">
        <v>1788</v>
      </c>
      <c r="I29" s="824" t="s">
        <v>1789</v>
      </c>
      <c r="J29" s="825">
        <f ca="1">ROUND(J26/(1+F40)^F41,0)</f>
        <v>0</v>
      </c>
      <c r="K29" s="826" t="s">
        <v>1790</v>
      </c>
      <c r="L29" s="827"/>
      <c r="M29" s="828">
        <f ca="1">INDIRECT("'数据-取费表'!k"&amp;$G$1)</f>
        <v>87740.640000000014</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2050</v>
      </c>
      <c r="D30" s="1822" t="s">
        <v>1792</v>
      </c>
      <c r="E30" s="2487"/>
      <c r="F30" s="2492"/>
      <c r="G30" s="2063"/>
      <c r="H30" s="2066"/>
      <c r="I30" s="2067"/>
      <c r="J30" s="2068"/>
      <c r="K30" s="2069"/>
      <c r="L30" s="2070"/>
      <c r="M30" s="2071"/>
    </row>
    <row r="31" spans="1:33" ht="18" customHeight="1">
      <c r="A31" s="1650" t="s">
        <v>1831</v>
      </c>
      <c r="B31" s="784" t="s">
        <v>656</v>
      </c>
      <c r="C31" s="53">
        <f ca="1">ROUND(IF(项目基本情况!B11="自然人",C5*F31,C32+C33+C34),1)</f>
        <v>1266.9000000000001</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386.3</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869.3</v>
      </c>
      <c r="D33" s="811" t="s">
        <v>3026</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11.3</v>
      </c>
      <c r="D34" s="814" t="s">
        <v>1800</v>
      </c>
      <c r="E34" s="784" t="s">
        <v>1801</v>
      </c>
      <c r="F34" s="640">
        <f>'数据-取费表'!B52</f>
        <v>5</v>
      </c>
      <c r="G34" s="2063"/>
      <c r="H34" s="2066"/>
      <c r="I34" s="835" t="s">
        <v>1814</v>
      </c>
      <c r="J34" s="836"/>
      <c r="K34" s="2081"/>
      <c r="L34" s="2080"/>
      <c r="M34" s="2080"/>
    </row>
    <row r="35" spans="1:18" ht="18" customHeight="1">
      <c r="A35" s="815"/>
      <c r="B35" s="793"/>
      <c r="C35" s="69"/>
      <c r="D35" s="816"/>
      <c r="E35" s="784" t="s">
        <v>1802</v>
      </c>
      <c r="F35" s="785">
        <f ca="1">INDIRECT("'数据-取费表'!r"&amp;$G$1)</f>
        <v>22530.649999999998</v>
      </c>
      <c r="G35" s="2063"/>
      <c r="H35" s="2066"/>
      <c r="I35" s="837" t="s">
        <v>1815</v>
      </c>
      <c r="J35" s="838">
        <f ca="1">ROUND(C13*J36,0)</f>
        <v>0</v>
      </c>
      <c r="K35" s="2079"/>
      <c r="L35" s="2078"/>
      <c r="M35" s="2078"/>
    </row>
    <row r="36" spans="1:18" ht="18" customHeight="1">
      <c r="A36" s="1650" t="s">
        <v>1890</v>
      </c>
      <c r="B36" s="784" t="s">
        <v>1803</v>
      </c>
      <c r="C36" s="53">
        <f ca="1">ROUND(C29*F36,1)</f>
        <v>637.79999999999995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v>
      </c>
      <c r="D37" s="1978" t="s">
        <v>1805</v>
      </c>
      <c r="E37" s="784" t="s">
        <v>1797</v>
      </c>
      <c r="F37" s="818">
        <f ca="1">INDIRECT("'数据-取费表'!Al"&amp;$G$1)</f>
        <v>2E-3</v>
      </c>
      <c r="G37" s="2063"/>
      <c r="H37" s="2078"/>
      <c r="I37" s="841" t="s">
        <v>1817</v>
      </c>
      <c r="J37" s="842"/>
      <c r="K37" s="2083"/>
      <c r="L37" s="2078"/>
      <c r="M37" s="2078"/>
    </row>
    <row r="38" spans="1:18" ht="18" customHeight="1" thickBot="1">
      <c r="A38" s="2552" t="s">
        <v>1892</v>
      </c>
      <c r="B38" s="2547" t="s">
        <v>666</v>
      </c>
      <c r="C38" s="2545">
        <f ca="1">ROUND(C5*F38,1)</f>
        <v>144.9</v>
      </c>
      <c r="D38" s="2546" t="s">
        <v>1806</v>
      </c>
      <c r="E38" s="2547" t="s">
        <v>1797</v>
      </c>
      <c r="F38" s="2543">
        <f ca="1">INDIRECT("'数据-取费表'!Am"&amp;$G$1)</f>
        <v>0.02</v>
      </c>
      <c r="G38" s="2063"/>
      <c r="H38" s="2078"/>
      <c r="I38" s="843" t="s">
        <v>1818</v>
      </c>
      <c r="J38" s="844"/>
      <c r="K38" s="2084"/>
      <c r="L38" s="2078"/>
      <c r="M38" s="2078"/>
    </row>
    <row r="39" spans="1:18" ht="24.6" customHeight="1" thickTop="1">
      <c r="A39" s="1830" t="s">
        <v>1895</v>
      </c>
      <c r="B39" s="3011" t="s">
        <v>2824</v>
      </c>
      <c r="C39" s="792">
        <f ca="1">C5-C30</f>
        <v>5194</v>
      </c>
      <c r="D39" s="2549" t="s">
        <v>1807</v>
      </c>
      <c r="E39" s="2550"/>
      <c r="F39" s="2551"/>
      <c r="G39" s="2063"/>
      <c r="H39" s="2078"/>
      <c r="I39" s="837" t="s">
        <v>1819</v>
      </c>
      <c r="J39" s="845">
        <f ca="1">ROUND(J35/C39,3)</f>
        <v>0</v>
      </c>
      <c r="K39" s="2084"/>
      <c r="L39" s="2078"/>
      <c r="M39" s="2078"/>
    </row>
    <row r="40" spans="1:18" ht="18" customHeight="1">
      <c r="A40" s="781" t="s">
        <v>1896</v>
      </c>
      <c r="B40" s="2233" t="s">
        <v>2303</v>
      </c>
      <c r="C40" s="783">
        <f ca="1">ROUND(C39*(1-((1+F42)/(1+F40))^F41)/(F40-F42),0)</f>
        <v>101339</v>
      </c>
      <c r="D40" s="814" t="s">
        <v>1808</v>
      </c>
      <c r="E40" s="784" t="s">
        <v>2421</v>
      </c>
      <c r="F40" s="794">
        <f ca="1">INDIRECT("'数据-取费表'!I"&amp;$G$1)</f>
        <v>0.06</v>
      </c>
      <c r="G40" s="2063"/>
      <c r="H40" s="2063"/>
      <c r="I40" s="837" t="s">
        <v>1820</v>
      </c>
      <c r="J40" s="845">
        <f ca="1">1-J39</f>
        <v>1</v>
      </c>
      <c r="K40" s="2084"/>
      <c r="L40" s="2063"/>
      <c r="M40" s="2063"/>
    </row>
    <row r="41" spans="1:18" ht="18" customHeight="1">
      <c r="A41" s="786"/>
      <c r="B41" s="787"/>
      <c r="C41" s="788"/>
      <c r="D41" s="821" t="s">
        <v>1809</v>
      </c>
      <c r="E41" s="784" t="s">
        <v>2967</v>
      </c>
      <c r="F41" s="822">
        <f ca="1">IF(INDIRECT("'数据-取费表'!af"&amp;$G$1)=0,INDIRECT("'数据-取费表'!ae"&amp;$G$1),INDIRECT("'数据-取费表'!af"&amp;$G$1))</f>
        <v>30.659999999999997</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v>
      </c>
      <c r="K42" s="2083"/>
      <c r="L42" s="1989"/>
      <c r="M42" s="1989"/>
    </row>
    <row r="43" spans="1:18" ht="18" customHeight="1" thickBot="1">
      <c r="A43" s="823" t="s">
        <v>1788</v>
      </c>
      <c r="B43" s="824" t="s">
        <v>1811</v>
      </c>
      <c r="C43" s="825">
        <f ca="1">ROUND(C40*10000/F43,0)</f>
        <v>11550</v>
      </c>
      <c r="D43" s="826" t="s">
        <v>1812</v>
      </c>
      <c r="E43" s="827" t="s">
        <v>1813</v>
      </c>
      <c r="F43" s="828">
        <f ca="1">INDIRECT("'数据-取费表'!k"&amp;$G$1)</f>
        <v>87740.640000000014</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-110343</v>
      </c>
      <c r="D46" s="2086"/>
      <c r="E46" s="2086"/>
      <c r="F46" s="2086"/>
      <c r="I46" s="2379" t="s">
        <v>2345</v>
      </c>
      <c r="J46" s="2380"/>
      <c r="K46" s="2381"/>
      <c r="L46" s="3161">
        <f>IF(OR(M47="住宅",D1="土地（套用方法）"),0,IF(L48&gt;J51,L60,J60))</f>
        <v>0</v>
      </c>
      <c r="O46" s="2395" t="s">
        <v>2412</v>
      </c>
      <c r="P46" s="1593"/>
      <c r="Q46" s="1605"/>
      <c r="R46" s="1593"/>
    </row>
    <row r="47" spans="1:18" s="2060" customFormat="1" ht="18" customHeight="1" thickBot="1">
      <c r="A47" s="2373">
        <v>1</v>
      </c>
      <c r="B47" s="2374" t="s">
        <v>635</v>
      </c>
      <c r="C47" s="2575">
        <f ca="1">C48+C52+C54</f>
        <v>0</v>
      </c>
      <c r="D47" s="2086"/>
      <c r="E47" s="2086"/>
      <c r="F47" s="2086"/>
      <c r="I47" s="3151" t="s">
        <v>2346</v>
      </c>
      <c r="J47" s="2382" t="s">
        <v>3027</v>
      </c>
      <c r="K47" s="3158" t="s">
        <v>2351</v>
      </c>
      <c r="L47" s="3162">
        <f ca="1">INDIRECT("'数据-取费表'!d"&amp;$G$1)</f>
        <v>40</v>
      </c>
      <c r="M47" s="1605" t="str">
        <f>IF(ISNUMBER(FIND("住宅",C1)),"住宅","非住宅")</f>
        <v>非住宅</v>
      </c>
      <c r="O47" s="2396" t="s">
        <v>2377</v>
      </c>
      <c r="P47" s="2397" t="s">
        <v>2378</v>
      </c>
      <c r="Q47" s="2398" t="s">
        <v>2379</v>
      </c>
      <c r="R47" s="2397" t="s">
        <v>2380</v>
      </c>
    </row>
    <row r="48" spans="1:18" s="2060" customFormat="1" ht="18" customHeight="1" thickBot="1">
      <c r="A48" s="2643" t="s">
        <v>2539</v>
      </c>
      <c r="B48" s="2644" t="s">
        <v>2540</v>
      </c>
      <c r="C48" s="2375">
        <f ca="1">ROUND(F48*F50*F49*(1-F51)/10000,0)</f>
        <v>0</v>
      </c>
      <c r="D48" s="2376" t="s">
        <v>636</v>
      </c>
      <c r="E48" s="2377" t="s">
        <v>2298</v>
      </c>
      <c r="F48" s="2378"/>
      <c r="G48" s="2091"/>
      <c r="I48" s="3127" t="s">
        <v>2347</v>
      </c>
      <c r="J48" s="2383" t="s">
        <v>2352</v>
      </c>
      <c r="K48" s="3159" t="s">
        <v>2353</v>
      </c>
      <c r="L48" s="1909">
        <f ca="1">INDIRECT("'数据-取费表'!f"&amp;$G$1)</f>
        <v>32.659999999999997</v>
      </c>
      <c r="O48" s="2399" t="s">
        <v>2381</v>
      </c>
      <c r="P48" s="2400" t="s">
        <v>2407</v>
      </c>
      <c r="Q48" s="2401">
        <f ca="1">C40+J29</f>
        <v>101339</v>
      </c>
      <c r="R48" s="2400" t="s">
        <v>2382</v>
      </c>
    </row>
    <row r="49" spans="1:18" s="2060" customFormat="1" ht="18" customHeight="1" thickBot="1">
      <c r="A49" s="786"/>
      <c r="B49" s="787"/>
      <c r="C49" s="788"/>
      <c r="D49" s="789"/>
      <c r="E49" s="784" t="s">
        <v>1740</v>
      </c>
      <c r="F49" s="785">
        <f ca="1">F7</f>
        <v>87740.640000000014</v>
      </c>
      <c r="G49" s="2091"/>
      <c r="H49" s="2094"/>
      <c r="I49" s="3127" t="s">
        <v>2348</v>
      </c>
      <c r="J49" s="2384"/>
      <c r="K49" s="3160" t="s">
        <v>2354</v>
      </c>
      <c r="L49" s="2385"/>
      <c r="O49" s="2399" t="s">
        <v>2383</v>
      </c>
      <c r="P49" s="2400" t="s">
        <v>2408</v>
      </c>
      <c r="Q49" s="2401" t="str">
        <f ca="1">J60</f>
        <v>0</v>
      </c>
      <c r="R49" s="2400" t="s">
        <v>2384</v>
      </c>
    </row>
    <row r="50" spans="1:18" s="2060" customFormat="1" ht="18" customHeight="1" thickBot="1">
      <c r="A50" s="786"/>
      <c r="B50" s="787"/>
      <c r="C50" s="788"/>
      <c r="D50" s="789"/>
      <c r="E50" s="784" t="s">
        <v>1741</v>
      </c>
      <c r="F50" s="785">
        <f ca="1">F8</f>
        <v>365</v>
      </c>
      <c r="G50" s="2096"/>
      <c r="H50" s="2094"/>
      <c r="I50" s="3127" t="s">
        <v>2349</v>
      </c>
      <c r="J50" s="3155">
        <f>SUMPRODUCT((I63:I65=J47)*(J62:L62=J48)*(J63:L65))</f>
        <v>60</v>
      </c>
      <c r="K50" s="3160" t="s">
        <v>2355</v>
      </c>
      <c r="L50" s="2385"/>
      <c r="O50" s="2402" t="s">
        <v>2385</v>
      </c>
      <c r="P50" s="2400" t="s">
        <v>2409</v>
      </c>
      <c r="Q50" s="2401">
        <f ca="1">C29</f>
        <v>42518</v>
      </c>
      <c r="R50" s="2400" t="s">
        <v>2382</v>
      </c>
    </row>
    <row r="51" spans="1:18" s="2060" customFormat="1" ht="18" customHeight="1" thickBot="1">
      <c r="A51" s="786"/>
      <c r="B51" s="787"/>
      <c r="C51" s="788"/>
      <c r="D51" s="789"/>
      <c r="E51" s="784" t="s">
        <v>640</v>
      </c>
      <c r="F51" s="2372"/>
      <c r="H51" s="2094"/>
      <c r="I51" s="3152" t="s">
        <v>2350</v>
      </c>
      <c r="J51" s="3156">
        <f>IF(J49="",J50,J49+J50-YEAR('数据-取费表'!B2))</f>
        <v>60</v>
      </c>
      <c r="K51" s="3127" t="s">
        <v>2356</v>
      </c>
      <c r="L51" s="3163">
        <f ca="1">ROUND(-PV(INDIRECT("'数据-取费表'!h"&amp;$G$1),L48,(C39-C13*J36),0),0)</f>
        <v>88010</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2978</v>
      </c>
      <c r="E52" s="2499" t="s">
        <v>2466</v>
      </c>
      <c r="F52" s="2622"/>
      <c r="I52" s="3153" t="s">
        <v>2423</v>
      </c>
      <c r="J52" s="2386"/>
      <c r="K52" s="3153" t="s">
        <v>2422</v>
      </c>
      <c r="L52" s="2386"/>
      <c r="O52" s="2402" t="s">
        <v>2388</v>
      </c>
      <c r="P52" s="2400" t="s">
        <v>2389</v>
      </c>
      <c r="Q52" s="2403">
        <f>J52</f>
        <v>0</v>
      </c>
      <c r="R52" s="2404"/>
    </row>
    <row r="53" spans="1:18" s="2060" customFormat="1" ht="39.75" customHeight="1" thickBot="1">
      <c r="A53" s="786"/>
      <c r="B53" s="2496" t="s">
        <v>2575</v>
      </c>
      <c r="C53" s="2500"/>
      <c r="D53" s="2502"/>
      <c r="E53" s="2499"/>
      <c r="F53" s="800"/>
      <c r="I53" s="3154" t="s">
        <v>2982</v>
      </c>
      <c r="J53" s="3157">
        <f ca="1">IF(M47="住宅",IF(D1="——",MAX(J51,L48),MAX(J51,L48-'数据-取费表'!B20)),IF(D1="——",MIN(J51,L48),MIN(J51,L48-'数据-取费表'!B20)))</f>
        <v>30.659999999999997</v>
      </c>
      <c r="K53" s="3460" t="s">
        <v>2969</v>
      </c>
      <c r="L53" s="3461"/>
      <c r="O53" s="2402" t="s">
        <v>2390</v>
      </c>
      <c r="P53" s="2400" t="s">
        <v>2391</v>
      </c>
      <c r="Q53" s="2401">
        <f ca="1">J53</f>
        <v>30.659999999999997</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101339</v>
      </c>
      <c r="R54" s="2404" t="s">
        <v>2394</v>
      </c>
    </row>
    <row r="55" spans="1:18" s="2060" customFormat="1" ht="18" customHeight="1" thickTop="1" thickBot="1">
      <c r="A55" s="797">
        <v>2</v>
      </c>
      <c r="B55" s="798" t="s">
        <v>644</v>
      </c>
      <c r="C55" s="799">
        <f ca="1">C13</f>
        <v>0</v>
      </c>
      <c r="D55" s="795"/>
      <c r="E55" s="795"/>
      <c r="F55" s="800"/>
      <c r="I55" s="3166" t="s">
        <v>2357</v>
      </c>
      <c r="J55" s="3102" t="e">
        <f ca="1">ROUND(IF(J47="钢混",J57/J50,1-(1-2%)*(J50-J57)/J50),3)</f>
        <v>#VALUE!</v>
      </c>
      <c r="K55" s="3167" t="s">
        <v>2358</v>
      </c>
      <c r="L55" s="2387"/>
      <c r="O55" s="2405" t="s">
        <v>2413</v>
      </c>
      <c r="P55" s="1593"/>
      <c r="Q55" s="1605"/>
      <c r="R55" s="1593"/>
    </row>
    <row r="56" spans="1:18" s="2060" customFormat="1" ht="42.75" customHeight="1" thickBot="1">
      <c r="A56" s="1651"/>
      <c r="B56" s="2232" t="s">
        <v>2304</v>
      </c>
      <c r="C56" s="53">
        <f ca="1">C29</f>
        <v>42518</v>
      </c>
      <c r="D56" s="2640"/>
      <c r="E56" s="784"/>
      <c r="F56" s="809"/>
      <c r="I56" s="3168" t="s">
        <v>2359</v>
      </c>
      <c r="J56" s="3178" t="s">
        <v>1679</v>
      </c>
      <c r="K56" s="3127"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649</v>
      </c>
      <c r="D57" s="26" t="s">
        <v>1751</v>
      </c>
      <c r="E57" s="2641"/>
      <c r="F57" s="56"/>
      <c r="I57" s="3169" t="s">
        <v>2360</v>
      </c>
      <c r="J57" s="3170" t="str">
        <f ca="1">IF(OR(M47="住宅",J51&lt;L48,J56="是"),"——",J51-L48)</f>
        <v>——</v>
      </c>
      <c r="K57" s="3127" t="s">
        <v>2365</v>
      </c>
      <c r="L57" s="1909" t="str">
        <f ca="1">IF(L48&lt;J51,"——",IF(L55="比较法",L49,IF(L55="基准地价",L50,L51)))</f>
        <v>——</v>
      </c>
      <c r="O57" s="2399" t="s">
        <v>2381</v>
      </c>
      <c r="P57" s="2400" t="s">
        <v>2411</v>
      </c>
      <c r="Q57" s="2401">
        <f ca="1">C40+J29</f>
        <v>101339</v>
      </c>
      <c r="R57" s="2400" t="s">
        <v>2382</v>
      </c>
    </row>
    <row r="58" spans="1:18" s="2060" customFormat="1" ht="28.5" customHeight="1" thickBot="1">
      <c r="A58" s="1650" t="s">
        <v>1825</v>
      </c>
      <c r="B58" s="784" t="s">
        <v>656</v>
      </c>
      <c r="C58" s="53">
        <f ca="1">ROUND(IF(项目基本情况!B11="自然人",C47*F58,C59+C60+C61),1)</f>
        <v>11.3</v>
      </c>
      <c r="D58" s="2639" t="s">
        <v>657</v>
      </c>
      <c r="E58" s="2640" t="s">
        <v>690</v>
      </c>
      <c r="F58" s="810" t="str">
        <f ca="1">IF(项目基本情况!B11="企业","",IF(INDIRECT("'数据-取费表'!c"&amp;$G$1)="住宅",5%,IF(F48*F49*F50/12/(1+'数据-取费表'!C42)&gt;20000,12%,7%)))</f>
        <v/>
      </c>
      <c r="I58" s="3169" t="s">
        <v>2361</v>
      </c>
      <c r="J58" s="3103" t="e">
        <f ca="1">IF(J55&lt;0.4,0.4,J55)</f>
        <v>#VALUE!</v>
      </c>
      <c r="K58" s="3127" t="s">
        <v>2366</v>
      </c>
      <c r="L58" s="1909" t="e">
        <f ca="1">ROUND(POWER(1+L52,L47-L48)*(POWER(1+L52,L48)-1)/(POWER(1+L52,L47)-1),4)</f>
        <v>#DIV/0!</v>
      </c>
      <c r="O58" s="2399" t="s">
        <v>2383</v>
      </c>
      <c r="P58" s="2400" t="s">
        <v>2414</v>
      </c>
      <c r="Q58" s="2401">
        <f ca="1">L60</f>
        <v>0</v>
      </c>
      <c r="R58" s="2404" t="s">
        <v>2416</v>
      </c>
    </row>
    <row r="59" spans="1:18" s="2060" customFormat="1" ht="28.5" customHeight="1" thickBot="1">
      <c r="A59" s="1649" t="s">
        <v>1832</v>
      </c>
      <c r="B59" s="784" t="s">
        <v>660</v>
      </c>
      <c r="C59" s="53">
        <f ca="1">ROUND(C47*F59/1.05,1)</f>
        <v>0</v>
      </c>
      <c r="D59" s="2640" t="s">
        <v>1757</v>
      </c>
      <c r="E59" s="784" t="s">
        <v>1748</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1" t="s">
        <v>2363</v>
      </c>
      <c r="J60" s="3172" t="str">
        <f ca="1">IF(OR(M47="住宅",J51&lt;L48,J56="是"),"0",ROUND(J59/(1+J52)^J53,0))</f>
        <v>0</v>
      </c>
      <c r="K60" s="3173" t="s">
        <v>2368</v>
      </c>
      <c r="L60" s="3172">
        <f ca="1">IF(OR(M47="住宅",L48&lt;J51),0,ROUND(L57*(L58/L59-1),0))</f>
        <v>0</v>
      </c>
      <c r="O60" s="2402" t="s">
        <v>2386</v>
      </c>
      <c r="P60" s="2400" t="s">
        <v>2395</v>
      </c>
      <c r="Q60" s="2403">
        <f>L52</f>
        <v>0</v>
      </c>
      <c r="R60" s="2404"/>
    </row>
    <row r="61" spans="1:18" s="2060" customFormat="1" ht="18" customHeight="1" thickBot="1">
      <c r="A61" s="1652" t="s">
        <v>1834</v>
      </c>
      <c r="B61" s="341" t="s">
        <v>668</v>
      </c>
      <c r="C61" s="54">
        <f ca="1">ROUND(F61*F62/10000,1)</f>
        <v>11.3</v>
      </c>
      <c r="D61" s="814" t="s">
        <v>669</v>
      </c>
      <c r="E61" s="784" t="s">
        <v>670</v>
      </c>
      <c r="F61" s="640">
        <f t="shared" si="0"/>
        <v>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22530.649999999998</v>
      </c>
      <c r="I62" s="3174" t="s">
        <v>2369</v>
      </c>
      <c r="J62" s="3175" t="s">
        <v>2370</v>
      </c>
      <c r="K62" s="3175" t="s">
        <v>2371</v>
      </c>
      <c r="L62" s="3175" t="s">
        <v>2352</v>
      </c>
      <c r="M62" s="3176" t="s">
        <v>2945</v>
      </c>
      <c r="O62" s="2402" t="s">
        <v>2390</v>
      </c>
      <c r="P62" s="2400" t="str">
        <f>K59</f>
        <v>建设期及建筑物耐用年限下的土地年期修正系数Kn</v>
      </c>
      <c r="Q62" s="2401" t="e">
        <f ca="1">L59</f>
        <v>#DIV/0!</v>
      </c>
      <c r="R62" s="2404" t="s">
        <v>2399</v>
      </c>
    </row>
    <row r="63" spans="1:18" s="2060" customFormat="1" ht="15.75" thickBot="1">
      <c r="A63" s="1650" t="s">
        <v>1890</v>
      </c>
      <c r="B63" s="784" t="s">
        <v>676</v>
      </c>
      <c r="C63" s="53">
        <f ca="1">ROUND(C56*F63,1)</f>
        <v>637.79999999999995</v>
      </c>
      <c r="D63" s="2640" t="s">
        <v>1804</v>
      </c>
      <c r="E63" s="784" t="s">
        <v>1748</v>
      </c>
      <c r="F63" s="817">
        <f t="shared" ca="1" si="0"/>
        <v>1.4999999999999999E-2</v>
      </c>
      <c r="I63" s="3174" t="s">
        <v>2372</v>
      </c>
      <c r="J63" s="3175">
        <v>70</v>
      </c>
      <c r="K63" s="3175">
        <v>50</v>
      </c>
      <c r="L63" s="3175">
        <v>80</v>
      </c>
      <c r="M63" s="3177">
        <v>0.02</v>
      </c>
      <c r="O63" s="2399" t="s">
        <v>2393</v>
      </c>
      <c r="P63" s="2400" t="s">
        <v>2410</v>
      </c>
      <c r="Q63" s="2401">
        <f ca="1">Q57+Q58</f>
        <v>101339</v>
      </c>
      <c r="R63" s="2404" t="s">
        <v>2394</v>
      </c>
    </row>
    <row r="64" spans="1:18" s="2060" customFormat="1" ht="16.5" thickBot="1">
      <c r="A64" s="1650" t="s">
        <v>1891</v>
      </c>
      <c r="B64" s="784" t="s">
        <v>679</v>
      </c>
      <c r="C64" s="53">
        <f ca="1">ROUND(C55*F64,1)</f>
        <v>0</v>
      </c>
      <c r="D64" s="2640" t="s">
        <v>680</v>
      </c>
      <c r="E64" s="784" t="s">
        <v>1748</v>
      </c>
      <c r="F64" s="818">
        <f t="shared" ca="1" si="0"/>
        <v>2E-3</v>
      </c>
      <c r="I64" s="3174" t="s">
        <v>2373</v>
      </c>
      <c r="J64" s="3175">
        <v>50</v>
      </c>
      <c r="K64" s="3175">
        <v>35</v>
      </c>
      <c r="L64" s="3175">
        <v>60</v>
      </c>
      <c r="M64" s="846">
        <v>0</v>
      </c>
      <c r="O64" s="2405" t="s">
        <v>2417</v>
      </c>
      <c r="P64" s="1593"/>
      <c r="Q64" s="1605"/>
      <c r="R64" s="1593"/>
    </row>
    <row r="65" spans="1:18" s="2060" customFormat="1" ht="15.75" thickBot="1">
      <c r="A65" s="1650" t="s">
        <v>1892</v>
      </c>
      <c r="B65" s="784" t="s">
        <v>666</v>
      </c>
      <c r="C65" s="53">
        <f ca="1">ROUND(C47*F65,1)</f>
        <v>0</v>
      </c>
      <c r="D65" s="2640" t="s">
        <v>683</v>
      </c>
      <c r="E65" s="784" t="s">
        <v>1748</v>
      </c>
      <c r="F65" s="794">
        <f t="shared" ca="1" si="0"/>
        <v>0.02</v>
      </c>
      <c r="I65" s="3174" t="s">
        <v>2374</v>
      </c>
      <c r="J65" s="3175">
        <v>40</v>
      </c>
      <c r="K65" s="3175">
        <v>30</v>
      </c>
      <c r="L65" s="3175">
        <v>50</v>
      </c>
      <c r="M65" s="3177">
        <v>0.02</v>
      </c>
      <c r="O65" s="2396" t="s">
        <v>2377</v>
      </c>
      <c r="P65" s="2397" t="s">
        <v>2378</v>
      </c>
      <c r="Q65" s="2398" t="s">
        <v>2379</v>
      </c>
      <c r="R65" s="2397" t="s">
        <v>2380</v>
      </c>
    </row>
    <row r="66" spans="1:18" s="2060" customFormat="1" ht="24.75" thickBot="1">
      <c r="A66" s="797" t="s">
        <v>1777</v>
      </c>
      <c r="B66" s="3012" t="s">
        <v>2824</v>
      </c>
      <c r="C66" s="799">
        <f ca="1">C47-C57</f>
        <v>-649</v>
      </c>
      <c r="D66" s="2639" t="s">
        <v>700</v>
      </c>
      <c r="E66" s="2638"/>
      <c r="F66" s="820"/>
      <c r="K66" s="2087"/>
      <c r="O66" s="2399" t="s">
        <v>2381</v>
      </c>
      <c r="P66" s="2400" t="s">
        <v>2411</v>
      </c>
      <c r="Q66" s="2401">
        <f ca="1">C40+J29</f>
        <v>101339</v>
      </c>
      <c r="R66" s="2400" t="s">
        <v>2382</v>
      </c>
    </row>
    <row r="67" spans="1:18" s="2060" customFormat="1" ht="20.25" thickBot="1">
      <c r="A67" s="781" t="s">
        <v>1781</v>
      </c>
      <c r="B67" s="2233" t="s">
        <v>2303</v>
      </c>
      <c r="C67" s="783">
        <f ca="1">ROUND(C66*(1-((1+F69)/(1+F67))^F68)/(F67-F69),0)</f>
        <v>-9004</v>
      </c>
      <c r="D67" s="814" t="s">
        <v>704</v>
      </c>
      <c r="E67" s="784" t="s">
        <v>705</v>
      </c>
      <c r="F67" s="794">
        <f ca="1">F40</f>
        <v>0.06</v>
      </c>
      <c r="K67" s="2087"/>
      <c r="O67" s="2399" t="s">
        <v>2383</v>
      </c>
      <c r="P67" s="2400" t="s">
        <v>2414</v>
      </c>
      <c r="Q67" s="2401">
        <f ca="1">L60</f>
        <v>0</v>
      </c>
      <c r="R67" s="2404" t="s">
        <v>2416</v>
      </c>
    </row>
    <row r="68" spans="1:18" ht="21.75" thickBot="1">
      <c r="A68" s="786"/>
      <c r="B68" s="787"/>
      <c r="C68" s="788"/>
      <c r="D68" s="821" t="s">
        <v>1809</v>
      </c>
      <c r="E68" s="784" t="s">
        <v>1785</v>
      </c>
      <c r="F68" s="822">
        <f ca="1">F41</f>
        <v>30.659999999999997</v>
      </c>
      <c r="O68" s="2402" t="s">
        <v>2385</v>
      </c>
      <c r="P68" s="2400" t="s">
        <v>2415</v>
      </c>
      <c r="Q68" s="2406">
        <f ca="1">L51</f>
        <v>88010</v>
      </c>
      <c r="R68" s="2407" t="s">
        <v>2418</v>
      </c>
    </row>
    <row r="69" spans="1:18" ht="20.25" thickBot="1">
      <c r="A69" s="790"/>
      <c r="B69" s="791"/>
      <c r="C69" s="792"/>
      <c r="D69" s="816"/>
      <c r="E69" s="784" t="s">
        <v>710</v>
      </c>
      <c r="F69" s="2372"/>
      <c r="O69" s="2402" t="s">
        <v>2386</v>
      </c>
      <c r="P69" s="2408" t="s">
        <v>2400</v>
      </c>
      <c r="Q69" s="2401">
        <f ca="1">ROUND(Q70-Q71*Q72,0)</f>
        <v>5194</v>
      </c>
      <c r="R69" s="2404"/>
    </row>
    <row r="70" spans="1:18" ht="15.75" thickBot="1">
      <c r="A70" s="823" t="s">
        <v>1788</v>
      </c>
      <c r="B70" s="824" t="s">
        <v>1811</v>
      </c>
      <c r="C70" s="825">
        <f ca="1">ROUND(C67*10000/F70,0)</f>
        <v>-1026</v>
      </c>
      <c r="D70" s="826" t="s">
        <v>1812</v>
      </c>
      <c r="E70" s="827" t="s">
        <v>1813</v>
      </c>
      <c r="F70" s="828">
        <f ca="1">F43</f>
        <v>87740.640000000014</v>
      </c>
      <c r="O70" s="2402" t="s">
        <v>2401</v>
      </c>
      <c r="P70" s="2408" t="s">
        <v>2402</v>
      </c>
      <c r="Q70" s="2401">
        <f ca="1">C39</f>
        <v>5194</v>
      </c>
      <c r="R70" s="2400" t="s">
        <v>2382</v>
      </c>
    </row>
    <row r="71" spans="1:18" ht="15.75" thickBot="1">
      <c r="O71" s="2402" t="s">
        <v>2403</v>
      </c>
      <c r="P71" s="2408" t="s">
        <v>2404</v>
      </c>
      <c r="Q71" s="2401">
        <f ca="1">C13</f>
        <v>0</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101339</v>
      </c>
      <c r="R76" s="2404"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7" sqref="D1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6" t="s">
        <v>3023</v>
      </c>
      <c r="E1" s="2388" t="s">
        <v>870</v>
      </c>
      <c r="F1" s="2389">
        <f ca="1">J53</f>
        <v>40.67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4232</v>
      </c>
      <c r="C2" s="2058"/>
      <c r="D2" s="2056"/>
      <c r="E2" s="2057"/>
      <c r="F2" s="2057"/>
      <c r="G2" s="1591"/>
      <c r="H2" s="2058"/>
      <c r="I2" s="2058"/>
      <c r="J2" s="2058"/>
      <c r="K2" s="2059"/>
      <c r="L2" s="2058"/>
      <c r="M2" s="2058"/>
    </row>
    <row r="3" spans="1:33" ht="18" customHeight="1" thickBot="1">
      <c r="A3" s="833" t="s">
        <v>519</v>
      </c>
      <c r="B3" s="834">
        <f ca="1">IF(ISERROR(B2*10000/F43),0,ROUND(B2*10000/F43,0))</f>
        <v>1209</v>
      </c>
      <c r="C3" s="2058"/>
      <c r="D3" s="2056"/>
      <c r="E3" s="2057"/>
      <c r="F3" s="2057"/>
      <c r="G3" s="1591"/>
      <c r="H3" s="776" t="s">
        <v>695</v>
      </c>
      <c r="I3" s="1363"/>
      <c r="J3" s="1363"/>
      <c r="K3" s="1592"/>
      <c r="L3" s="1363"/>
      <c r="M3" s="1363"/>
    </row>
    <row r="4" spans="1:33" ht="18" customHeight="1">
      <c r="A4" s="777" t="s">
        <v>1729</v>
      </c>
      <c r="B4" s="778" t="s">
        <v>631</v>
      </c>
      <c r="C4" s="778" t="s">
        <v>1731</v>
      </c>
      <c r="D4" s="778" t="s">
        <v>633</v>
      </c>
      <c r="E4" s="779" t="s">
        <v>1732</v>
      </c>
      <c r="F4" s="780"/>
      <c r="G4" s="1593"/>
      <c r="H4" s="777" t="s">
        <v>1729</v>
      </c>
      <c r="I4" s="778" t="s">
        <v>631</v>
      </c>
      <c r="J4" s="778" t="s">
        <v>1731</v>
      </c>
      <c r="K4" s="778" t="s">
        <v>633</v>
      </c>
      <c r="L4" s="779" t="s">
        <v>1732</v>
      </c>
      <c r="M4" s="780"/>
    </row>
    <row r="5" spans="1:33" ht="18" customHeight="1">
      <c r="A5" s="781">
        <v>1</v>
      </c>
      <c r="B5" s="782" t="s">
        <v>2460</v>
      </c>
      <c r="C5" s="55">
        <f ca="1">C6+C10+C12</f>
        <v>378</v>
      </c>
      <c r="D5" s="2497" t="s">
        <v>2463</v>
      </c>
      <c r="E5" s="2491"/>
      <c r="F5" s="2492"/>
      <c r="G5" s="1593"/>
      <c r="H5" s="781">
        <v>1</v>
      </c>
      <c r="I5" s="782" t="s">
        <v>2460</v>
      </c>
      <c r="J5" s="55">
        <f ca="1">J6+J10+J12</f>
        <v>0</v>
      </c>
      <c r="K5" s="2497" t="s">
        <v>2463</v>
      </c>
      <c r="L5" s="2491"/>
      <c r="M5" s="2492"/>
    </row>
    <row r="6" spans="1:33" ht="18" customHeight="1">
      <c r="A6" s="1831" t="s">
        <v>1825</v>
      </c>
      <c r="B6" s="3444" t="s">
        <v>2465</v>
      </c>
      <c r="C6" s="783">
        <f ca="1">ROUND(F6*F8*F7*(1-F9)/10000,0)</f>
        <v>378</v>
      </c>
      <c r="D6" s="2498" t="s">
        <v>2464</v>
      </c>
      <c r="E6" s="784" t="s">
        <v>637</v>
      </c>
      <c r="F6" s="785">
        <f ca="1">INDIRECT("'数据-取费表'!u"&amp;$G$1)</f>
        <v>400</v>
      </c>
      <c r="G6" s="1593"/>
      <c r="H6" s="2505" t="s">
        <v>1825</v>
      </c>
      <c r="I6" s="3444" t="s">
        <v>2465</v>
      </c>
      <c r="J6" s="783">
        <f ca="1">ROUND(M6*M8*M7*(1-M9)/10000,0)</f>
        <v>0</v>
      </c>
      <c r="K6" s="341" t="s">
        <v>1738</v>
      </c>
      <c r="L6" s="784" t="s">
        <v>637</v>
      </c>
      <c r="M6" s="785">
        <f ca="1">INDIRECT("'数据-取费表'!z"&amp;$G$1)</f>
        <v>0</v>
      </c>
    </row>
    <row r="7" spans="1:33" ht="18" customHeight="1">
      <c r="A7" s="2501"/>
      <c r="B7" s="3445"/>
      <c r="C7" s="788"/>
      <c r="D7" s="789"/>
      <c r="E7" s="784" t="s">
        <v>638</v>
      </c>
      <c r="F7" s="785">
        <f ca="1">IF(INDIRECT("'数据-取费表'!ah"&amp;$G$1)="",INDIRECT("'数据-取费表'!k"&amp;$G$1),INDIRECT("'数据-取费表'!ah"&amp;$G$1))</f>
        <v>875</v>
      </c>
      <c r="G7" s="1593"/>
      <c r="H7" s="2490"/>
      <c r="I7" s="3445"/>
      <c r="J7" s="788"/>
      <c r="K7" s="789"/>
      <c r="L7" s="784" t="s">
        <v>638</v>
      </c>
      <c r="M7" s="785">
        <f ca="1">F7</f>
        <v>875</v>
      </c>
    </row>
    <row r="8" spans="1:33" ht="18" customHeight="1">
      <c r="A8" s="2494"/>
      <c r="B8" s="3446"/>
      <c r="C8" s="788"/>
      <c r="D8" s="789"/>
      <c r="E8" s="784" t="s">
        <v>639</v>
      </c>
      <c r="F8" s="785">
        <f ca="1">INDIRECT("'数据-取费表'!ai"&amp;$G$1)</f>
        <v>12</v>
      </c>
      <c r="G8" s="1593"/>
      <c r="H8" s="2490"/>
      <c r="I8" s="3446"/>
      <c r="J8" s="788"/>
      <c r="K8" s="789"/>
      <c r="L8" s="784" t="s">
        <v>639</v>
      </c>
      <c r="M8" s="785">
        <f ca="1">INDIRECT("'数据-取费表'!ai"&amp;$G$1)</f>
        <v>12</v>
      </c>
    </row>
    <row r="9" spans="1:33" ht="18" customHeight="1">
      <c r="A9" s="786"/>
      <c r="B9" s="3447"/>
      <c r="C9" s="788"/>
      <c r="D9" s="789"/>
      <c r="E9" s="784" t="s">
        <v>640</v>
      </c>
      <c r="F9" s="794">
        <f ca="1">INDIRECT("'数据-取费表'!w"&amp;$G$1)</f>
        <v>0.1</v>
      </c>
      <c r="G9" s="1593"/>
      <c r="H9" s="2506"/>
      <c r="I9" s="3446"/>
      <c r="J9" s="788"/>
      <c r="K9" s="789"/>
      <c r="L9" s="795" t="s">
        <v>640</v>
      </c>
      <c r="M9" s="796">
        <f ca="1">INDIRECT("'数据-取费表'!ab"&amp;$G$1)</f>
        <v>0</v>
      </c>
    </row>
    <row r="10" spans="1:33" ht="18" customHeight="1">
      <c r="A10" s="1831" t="s">
        <v>1826</v>
      </c>
      <c r="B10" s="2495" t="s">
        <v>2461</v>
      </c>
      <c r="C10" s="799">
        <f ca="1">ROUND(IF(F10="押一",C6/12*F11,IF(F10="押二",C6/12*2*F11,IF(F10="押三",C6/12*3*F11,C11*F11))),0)</f>
        <v>0</v>
      </c>
      <c r="D10" s="2502" t="s">
        <v>2977</v>
      </c>
      <c r="E10" s="2499" t="s">
        <v>2466</v>
      </c>
      <c r="F10" s="2622" t="s">
        <v>3024</v>
      </c>
      <c r="G10" s="1593"/>
      <c r="H10" s="2562" t="s">
        <v>1826</v>
      </c>
      <c r="I10" s="2567" t="s">
        <v>2461</v>
      </c>
      <c r="J10" s="783">
        <f ca="1">ROUND(IF(M10="押一",J6/12*M11,IF(M10="押二",J6/12*2*M11,IF(M10="押三",J6/12*3*M11,J11*M11))),0)</f>
        <v>0</v>
      </c>
      <c r="K10" s="2502" t="s">
        <v>2977</v>
      </c>
      <c r="L10" s="2499" t="s">
        <v>2466</v>
      </c>
      <c r="M10" s="2622"/>
    </row>
    <row r="11" spans="1:33" ht="18" customHeight="1">
      <c r="A11" s="790"/>
      <c r="B11" s="2496" t="s">
        <v>2575</v>
      </c>
      <c r="C11" s="2500"/>
      <c r="D11" s="789"/>
      <c r="E11" s="2499" t="s">
        <v>2458</v>
      </c>
      <c r="F11" s="796">
        <f ca="1">'数据-取费表'!B39</f>
        <v>1.4999999999999999E-2</v>
      </c>
      <c r="G11" s="1593"/>
      <c r="H11" s="2563"/>
      <c r="I11" s="2496" t="s">
        <v>2575</v>
      </c>
      <c r="J11" s="2500"/>
      <c r="K11" s="2564"/>
      <c r="L11" s="2499" t="s">
        <v>2458</v>
      </c>
      <c r="M11" s="2493">
        <f ca="1">'数据-取费表'!B39</f>
        <v>1.4999999999999999E-2</v>
      </c>
    </row>
    <row r="12" spans="1:33" ht="18" customHeight="1" thickBot="1">
      <c r="A12" s="2538" t="s">
        <v>2469</v>
      </c>
      <c r="B12" s="2539" t="s">
        <v>2462</v>
      </c>
      <c r="C12" s="2540"/>
      <c r="D12" s="2541"/>
      <c r="E12" s="2542"/>
      <c r="F12" s="2543"/>
      <c r="G12" s="1593"/>
      <c r="H12" s="2552" t="s">
        <v>2469</v>
      </c>
      <c r="I12" s="2565" t="s">
        <v>2462</v>
      </c>
      <c r="J12" s="2566"/>
      <c r="K12" s="2541"/>
      <c r="L12" s="2542"/>
      <c r="M12" s="2555"/>
    </row>
    <row r="13" spans="1:33" ht="18" customHeight="1" thickTop="1">
      <c r="A13" s="1830">
        <v>2</v>
      </c>
      <c r="B13" s="1828" t="s">
        <v>644</v>
      </c>
      <c r="C13" s="792">
        <f ca="1">ROUND(C29*F13,0)</f>
        <v>0</v>
      </c>
      <c r="D13" s="1835" t="s">
        <v>2299</v>
      </c>
      <c r="E13" s="1835" t="s">
        <v>643</v>
      </c>
      <c r="F13" s="2537">
        <f ca="1">INDIRECT("'数据-取费表'!y"&amp;$G$1)</f>
        <v>0</v>
      </c>
      <c r="G13" s="1593"/>
      <c r="H13" s="1830">
        <v>2</v>
      </c>
      <c r="I13" s="1828" t="s">
        <v>644</v>
      </c>
      <c r="J13" s="1820">
        <f ca="1">ROUND(J14*J15,0)</f>
        <v>0</v>
      </c>
      <c r="K13" s="1822" t="s">
        <v>642</v>
      </c>
      <c r="L13" s="2553"/>
      <c r="M13" s="2554"/>
    </row>
    <row r="14" spans="1:33" ht="18" customHeight="1">
      <c r="A14" s="1649" t="s">
        <v>1832</v>
      </c>
      <c r="B14" s="784" t="s">
        <v>645</v>
      </c>
      <c r="C14" s="804">
        <f ca="1">INDIRECT("'数据-取费表'!m"&amp;$G$1)+INDIRECT("'数据-取费表'!t"&amp;$G$1)</f>
        <v>7110</v>
      </c>
      <c r="D14" s="3181" t="s">
        <v>1746</v>
      </c>
      <c r="E14" s="3180"/>
      <c r="F14" s="805"/>
      <c r="G14" s="1593"/>
      <c r="H14" s="1650" t="s">
        <v>1825</v>
      </c>
      <c r="I14" s="2232" t="s">
        <v>2827</v>
      </c>
      <c r="J14" s="53">
        <f ca="1">C29</f>
        <v>9855</v>
      </c>
      <c r="K14" s="26"/>
      <c r="L14" s="801"/>
      <c r="M14" s="802"/>
    </row>
    <row r="15" spans="1:33" s="2065" customFormat="1" ht="18" customHeight="1" thickBot="1">
      <c r="A15" s="1649" t="s">
        <v>1833</v>
      </c>
      <c r="B15" s="784" t="s">
        <v>647</v>
      </c>
      <c r="C15" s="53">
        <f ca="1">ROUND(C14*F15,0)</f>
        <v>213</v>
      </c>
      <c r="D15" s="806" t="s">
        <v>648</v>
      </c>
      <c r="E15" s="806" t="s">
        <v>649</v>
      </c>
      <c r="F15" s="807">
        <f>'数据-取费表'!B33</f>
        <v>0.03</v>
      </c>
      <c r="G15" s="1594"/>
      <c r="H15" s="2552" t="s">
        <v>1890</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1750</v>
      </c>
      <c r="J16" s="792">
        <f ca="1">ROUND(J17+J22+J23+J24,0)</f>
        <v>980</v>
      </c>
      <c r="K16" s="1822" t="s">
        <v>652</v>
      </c>
      <c r="L16" s="3183"/>
      <c r="M16" s="2492"/>
    </row>
    <row r="17" spans="1:33" s="2065" customFormat="1" ht="18" customHeight="1">
      <c r="A17" s="1649" t="s">
        <v>1888</v>
      </c>
      <c r="B17" s="784" t="s">
        <v>653</v>
      </c>
      <c r="C17" s="53">
        <f ca="1">ROUND(F17*(F43+INDIRECT("'数据-取费表'!S"&amp;$G$1))/10000,0)</f>
        <v>711</v>
      </c>
      <c r="D17" s="784" t="s">
        <v>654</v>
      </c>
      <c r="E17" s="784" t="s">
        <v>655</v>
      </c>
      <c r="F17" s="56">
        <f>'数据-取费表'!B35</f>
        <v>200</v>
      </c>
      <c r="G17" s="1594"/>
      <c r="H17" s="1650" t="s">
        <v>1825</v>
      </c>
      <c r="I17" s="784" t="s">
        <v>656</v>
      </c>
      <c r="J17" s="53">
        <f ca="1">ROUND(IF(项目基本情况!B11="自然人",J5*M17,J18+J19+J20),0)</f>
        <v>832</v>
      </c>
      <c r="K17" s="3181" t="s">
        <v>657</v>
      </c>
      <c r="L17" s="3182"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107</v>
      </c>
      <c r="D18" s="784" t="s">
        <v>648</v>
      </c>
      <c r="E18" s="784" t="s">
        <v>649</v>
      </c>
      <c r="F18" s="809">
        <f>'数据-取费表'!B36</f>
        <v>1.4999999999999999E-2</v>
      </c>
      <c r="G18" s="1594"/>
      <c r="H18" s="1649" t="s">
        <v>1832</v>
      </c>
      <c r="I18" s="784" t="s">
        <v>1756</v>
      </c>
      <c r="J18" s="53">
        <f ca="1">ROUND(J5*M18/1.05,1)</f>
        <v>0</v>
      </c>
      <c r="K18" s="3182" t="s">
        <v>661</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8141</v>
      </c>
      <c r="D19" s="261" t="s">
        <v>663</v>
      </c>
      <c r="E19" s="3184"/>
      <c r="F19" s="56"/>
      <c r="G19" s="1593"/>
      <c r="H19" s="1649" t="s">
        <v>1833</v>
      </c>
      <c r="I19" s="784" t="s">
        <v>1759</v>
      </c>
      <c r="J19" s="53">
        <f ca="1">IF(K19="按租金收入计税",ROUND(J5*M19,1),ROUND(C29*F33*0.7,1))</f>
        <v>827.8</v>
      </c>
      <c r="K19" s="811" t="s">
        <v>665</v>
      </c>
      <c r="L19" s="784" t="s">
        <v>649</v>
      </c>
      <c r="M19" s="809">
        <f>IF(K19="按租金收入计税",'数据-取费表'!B51,'数据-取费表'!B50)</f>
        <v>1.2E-2</v>
      </c>
    </row>
    <row r="20" spans="1:33" s="2065" customFormat="1" ht="18" customHeight="1">
      <c r="A20" s="1650" t="s">
        <v>1890</v>
      </c>
      <c r="B20" s="784" t="s">
        <v>666</v>
      </c>
      <c r="C20" s="53">
        <f ca="1">ROUND(C19*F20,0)</f>
        <v>163</v>
      </c>
      <c r="D20" s="812" t="s">
        <v>667</v>
      </c>
      <c r="E20" s="784" t="s">
        <v>649</v>
      </c>
      <c r="F20" s="809">
        <f>'数据-取费表'!B37</f>
        <v>0.02</v>
      </c>
      <c r="G20" s="1594"/>
      <c r="H20" s="1652" t="s">
        <v>1834</v>
      </c>
      <c r="I20" s="341" t="s">
        <v>1761</v>
      </c>
      <c r="J20" s="54">
        <f ca="1">ROUND(M20*M21/10000,0)</f>
        <v>4</v>
      </c>
      <c r="K20" s="814" t="s">
        <v>1762</v>
      </c>
      <c r="L20" s="784" t="s">
        <v>1763</v>
      </c>
      <c r="M20" s="640">
        <f>'数据-取费表'!B52</f>
        <v>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2300</v>
      </c>
      <c r="E21" s="784" t="s">
        <v>1766</v>
      </c>
      <c r="F21" s="809">
        <f>'数据-取费表'!B38</f>
        <v>0.02</v>
      </c>
      <c r="G21" s="1594"/>
      <c r="H21" s="2507"/>
      <c r="I21" s="793"/>
      <c r="J21" s="69"/>
      <c r="K21" s="816"/>
      <c r="L21" s="784" t="s">
        <v>674</v>
      </c>
      <c r="M21" s="785">
        <f ca="1">INDIRECT("'数据-取费表'!r"&amp;$G$1)</f>
        <v>8987.5400000000009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73" t="str">
        <f>IF(F23&lt;=1,"单利计息。","复利计息。")&amp;"建造成本、管理费用、销售费用产生的利息。"</f>
        <v>复利计息。建造成本、管理费用、销售费用产生的利息。</v>
      </c>
      <c r="E22" s="3184"/>
      <c r="F22" s="56"/>
      <c r="G22" s="1593"/>
      <c r="H22" s="1650" t="s">
        <v>1890</v>
      </c>
      <c r="I22" s="784" t="s">
        <v>676</v>
      </c>
      <c r="J22" s="53">
        <f ca="1">ROUND(J14*M22,0)</f>
        <v>148</v>
      </c>
      <c r="K22" s="3182" t="s">
        <v>1770</v>
      </c>
      <c r="L22" s="784" t="s">
        <v>649</v>
      </c>
      <c r="M22" s="817">
        <f ca="1">INDIRECT("'数据-取费表'!Ak"&amp;$G$1)</f>
        <v>1.4999999999999999E-2</v>
      </c>
    </row>
    <row r="23" spans="1:33" s="2065" customFormat="1" ht="18" customHeight="1">
      <c r="A23" s="1649" t="s">
        <v>1832</v>
      </c>
      <c r="B23" s="784" t="s">
        <v>2439</v>
      </c>
      <c r="C23" s="53">
        <f ca="1">ROUND(IF('数据-取费表'!B22&lt;=1,(C19+C20)*F24*F23/2,(C19+C20)*(POWER((1+F24),F23/2)-1)),0)</f>
        <v>394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82" t="s">
        <v>1772</v>
      </c>
      <c r="L23" s="784" t="s">
        <v>649</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4"/>
      <c r="H24" s="2552" t="s">
        <v>1892</v>
      </c>
      <c r="I24" s="2547" t="s">
        <v>666</v>
      </c>
      <c r="J24" s="2545">
        <f ca="1">ROUND(J5*M24,0)</f>
        <v>0</v>
      </c>
      <c r="K24" s="2546" t="s">
        <v>1775</v>
      </c>
      <c r="L24" s="2547" t="s">
        <v>649</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84"/>
      <c r="F25" s="56"/>
      <c r="G25" s="1593"/>
      <c r="H25" s="1830" t="s">
        <v>1777</v>
      </c>
      <c r="I25" s="3011" t="s">
        <v>2824</v>
      </c>
      <c r="J25" s="792">
        <f ca="1">J5-J16</f>
        <v>-980</v>
      </c>
      <c r="K25" s="2549" t="s">
        <v>1778</v>
      </c>
      <c r="L25" s="2550"/>
      <c r="M25" s="2551"/>
    </row>
    <row r="26" spans="1:33" ht="18" customHeight="1">
      <c r="A26" s="1649" t="s">
        <v>1832</v>
      </c>
      <c r="B26" s="784" t="s">
        <v>2440</v>
      </c>
      <c r="C26" s="53">
        <f ca="1">ROUND((C19+C20)*F26,0)</f>
        <v>415</v>
      </c>
      <c r="D26" s="812" t="s">
        <v>1779</v>
      </c>
      <c r="E26" s="795" t="s">
        <v>702</v>
      </c>
      <c r="F26" s="794">
        <f ca="1">INDIRECT("'数据-取费表'!q"&amp;$G$1)</f>
        <v>0.05</v>
      </c>
      <c r="G26" s="1593"/>
      <c r="H26" s="2503" t="s">
        <v>1781</v>
      </c>
      <c r="I26" s="2233" t="s">
        <v>2829</v>
      </c>
      <c r="J26" s="783">
        <f ca="1">IF(J5&lt;&gt;0,ROUND(J25*(1-((1+M28)/(1+M26))^M27)/(M26-M28),0),0)</f>
        <v>0</v>
      </c>
      <c r="K26" s="814" t="s">
        <v>704</v>
      </c>
      <c r="L26" s="784" t="s">
        <v>2421</v>
      </c>
      <c r="M26" s="794">
        <f ca="1">INDIRECT("'数据-取费表'!I"&amp;$G$1)</f>
        <v>0.05</v>
      </c>
    </row>
    <row r="27" spans="1:33" ht="18" customHeight="1">
      <c r="A27" s="1649" t="s">
        <v>1833</v>
      </c>
      <c r="B27" s="784" t="s">
        <v>686</v>
      </c>
      <c r="C27" s="53">
        <f ca="1">ROUND(F21*F26,4)</f>
        <v>1E-3</v>
      </c>
      <c r="D27" s="812" t="s">
        <v>706</v>
      </c>
      <c r="E27" s="806"/>
      <c r="F27" s="807"/>
      <c r="G27" s="1593"/>
      <c r="H27" s="2504"/>
      <c r="I27" s="787"/>
      <c r="J27" s="788"/>
      <c r="K27" s="821" t="s">
        <v>707</v>
      </c>
      <c r="L27" s="784" t="s">
        <v>708</v>
      </c>
      <c r="M27" s="822">
        <f ca="1">INDIRECT("'数据-取费表'!ag"&amp;$G$1)</f>
        <v>0</v>
      </c>
    </row>
    <row r="28" spans="1:33" s="2065" customFormat="1" ht="18" customHeight="1">
      <c r="A28" s="1651" t="s">
        <v>1842</v>
      </c>
      <c r="B28" s="784" t="s">
        <v>687</v>
      </c>
      <c r="C28" s="53">
        <f>ROUND(F28/(1+'数据-取费表'!C42),4)</f>
        <v>5.33E-2</v>
      </c>
      <c r="D28" s="812" t="s">
        <v>2301</v>
      </c>
      <c r="E28" s="784" t="s">
        <v>649</v>
      </c>
      <c r="F28" s="809">
        <f>'数据-取费表'!B41</f>
        <v>5.6000000000000001E-2</v>
      </c>
      <c r="G28" s="1594"/>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2302</v>
      </c>
      <c r="C29" s="2545">
        <f ca="1">ROUND((C19+C20+C23+C26)/(1-F21-C24-C27-C28),0)</f>
        <v>9855</v>
      </c>
      <c r="D29" s="2546"/>
      <c r="E29" s="2547"/>
      <c r="F29" s="2548"/>
      <c r="G29" s="1594"/>
      <c r="H29" s="823" t="s">
        <v>1788</v>
      </c>
      <c r="I29" s="824" t="s">
        <v>1789</v>
      </c>
      <c r="J29" s="825">
        <f ca="1">ROUND(J26/(1+F40)^F41,0)</f>
        <v>0</v>
      </c>
      <c r="K29" s="826" t="s">
        <v>1790</v>
      </c>
      <c r="L29" s="827"/>
      <c r="M29" s="828">
        <f ca="1">INDIRECT("'数据-取费表'!k"&amp;$G$1)</f>
        <v>35000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1750</v>
      </c>
      <c r="C30" s="792">
        <f ca="1">ROUND(C31+C36+C37+C38,0)</f>
        <v>222</v>
      </c>
      <c r="D30" s="1822" t="s">
        <v>652</v>
      </c>
      <c r="E30" s="3183"/>
      <c r="F30" s="2492"/>
      <c r="G30" s="2063"/>
      <c r="H30" s="2066"/>
      <c r="I30" s="2067"/>
      <c r="J30" s="2068"/>
      <c r="K30" s="2069"/>
      <c r="L30" s="2070"/>
      <c r="M30" s="2071"/>
    </row>
    <row r="31" spans="1:33" ht="18" customHeight="1">
      <c r="A31" s="1650" t="s">
        <v>1825</v>
      </c>
      <c r="B31" s="784" t="s">
        <v>656</v>
      </c>
      <c r="C31" s="53">
        <f ca="1">ROUND(IF(项目基本情况!B11="自然人",C5*F31,C32+C33+C34),1)</f>
        <v>70.099999999999994</v>
      </c>
      <c r="D31" s="3181" t="s">
        <v>657</v>
      </c>
      <c r="E31" s="3182"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1756</v>
      </c>
      <c r="C32" s="53">
        <f ca="1">ROUND(C5*F32/1.05,1)</f>
        <v>20.2</v>
      </c>
      <c r="D32" s="3182" t="s">
        <v>661</v>
      </c>
      <c r="E32" s="784" t="s">
        <v>649</v>
      </c>
      <c r="F32" s="809">
        <f>'数据-取费表'!B41</f>
        <v>5.6000000000000001E-2</v>
      </c>
      <c r="G32" s="2063"/>
      <c r="H32" s="2072"/>
      <c r="I32" s="2073"/>
      <c r="J32" s="2074"/>
      <c r="K32" s="2075"/>
      <c r="L32" s="2076"/>
      <c r="M32" s="2077"/>
    </row>
    <row r="33" spans="1:18" ht="18" customHeight="1">
      <c r="A33" s="1649" t="s">
        <v>1833</v>
      </c>
      <c r="B33" s="784" t="s">
        <v>1759</v>
      </c>
      <c r="C33" s="53">
        <f ca="1">IF(D33="按租金收入计税",ROUND(C5*F33,1),IF(D33="按房产原值计税",ROUND(C29*F33*0.7,1),INDIRECT("'数据-取费表'!Aj"&amp;$G$1)))</f>
        <v>45.4</v>
      </c>
      <c r="D33" s="811" t="s">
        <v>3026</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1761</v>
      </c>
      <c r="C34" s="54">
        <f ca="1">ROUND(F34*F35/10000,1)</f>
        <v>4.5</v>
      </c>
      <c r="D34" s="814" t="s">
        <v>1762</v>
      </c>
      <c r="E34" s="784" t="s">
        <v>1763</v>
      </c>
      <c r="F34" s="640">
        <f>'数据-取费表'!B52</f>
        <v>5</v>
      </c>
      <c r="G34" s="2063"/>
      <c r="H34" s="2066"/>
      <c r="I34" s="835" t="s">
        <v>1814</v>
      </c>
      <c r="J34" s="836"/>
      <c r="K34" s="2081"/>
      <c r="L34" s="2080"/>
      <c r="M34" s="2080"/>
    </row>
    <row r="35" spans="1:18" ht="18" customHeight="1">
      <c r="A35" s="815"/>
      <c r="B35" s="793"/>
      <c r="C35" s="69"/>
      <c r="D35" s="816"/>
      <c r="E35" s="784" t="s">
        <v>674</v>
      </c>
      <c r="F35" s="785">
        <f ca="1">INDIRECT("'数据-取费表'!r"&amp;$G$1)</f>
        <v>8987.5400000000009</v>
      </c>
      <c r="G35" s="2063"/>
      <c r="H35" s="2066"/>
      <c r="I35" s="837" t="s">
        <v>1815</v>
      </c>
      <c r="J35" s="838">
        <f ca="1">ROUND(C13*J36,0)</f>
        <v>0</v>
      </c>
      <c r="K35" s="2079"/>
      <c r="L35" s="2078"/>
      <c r="M35" s="2078"/>
    </row>
    <row r="36" spans="1:18" ht="18" customHeight="1">
      <c r="A36" s="1650" t="s">
        <v>1890</v>
      </c>
      <c r="B36" s="784" t="s">
        <v>676</v>
      </c>
      <c r="C36" s="53">
        <f ca="1">ROUND(C29*F36,1)</f>
        <v>147.80000000000001</v>
      </c>
      <c r="D36" s="3182" t="s">
        <v>1804</v>
      </c>
      <c r="E36" s="784" t="s">
        <v>649</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0</v>
      </c>
      <c r="D37" s="3182" t="s">
        <v>1772</v>
      </c>
      <c r="E37" s="784" t="s">
        <v>649</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3.8</v>
      </c>
      <c r="D38" s="2546" t="s">
        <v>1775</v>
      </c>
      <c r="E38" s="2547" t="s">
        <v>649</v>
      </c>
      <c r="F38" s="2543">
        <f ca="1">INDIRECT("'数据-取费表'!Am"&amp;$G$1)</f>
        <v>0.01</v>
      </c>
      <c r="G38" s="2063"/>
      <c r="H38" s="2078"/>
      <c r="I38" s="843" t="s">
        <v>1818</v>
      </c>
      <c r="J38" s="844"/>
      <c r="K38" s="2084"/>
      <c r="L38" s="2078"/>
      <c r="M38" s="2078"/>
    </row>
    <row r="39" spans="1:18" ht="24.6" customHeight="1" thickTop="1">
      <c r="A39" s="1830" t="s">
        <v>1777</v>
      </c>
      <c r="B39" s="3011" t="s">
        <v>2824</v>
      </c>
      <c r="C39" s="792">
        <f ca="1">C5-C30</f>
        <v>156</v>
      </c>
      <c r="D39" s="2549" t="s">
        <v>1778</v>
      </c>
      <c r="E39" s="2550"/>
      <c r="F39" s="2551"/>
      <c r="G39" s="2063"/>
      <c r="H39" s="2078"/>
      <c r="I39" s="837" t="s">
        <v>1819</v>
      </c>
      <c r="J39" s="845">
        <f ca="1">ROUND(J35/C39,3)</f>
        <v>0</v>
      </c>
      <c r="K39" s="2084"/>
      <c r="L39" s="2078"/>
      <c r="M39" s="2078"/>
    </row>
    <row r="40" spans="1:18" ht="18" customHeight="1">
      <c r="A40" s="781" t="s">
        <v>1781</v>
      </c>
      <c r="B40" s="2233" t="s">
        <v>2303</v>
      </c>
      <c r="C40" s="783">
        <f ca="1">ROUND(C39*(1-((1+F42)/(1+F40))^F41)/(F40-F42),0)</f>
        <v>4232</v>
      </c>
      <c r="D40" s="814" t="s">
        <v>704</v>
      </c>
      <c r="E40" s="784" t="s">
        <v>2421</v>
      </c>
      <c r="F40" s="794">
        <f ca="1">INDIRECT("'数据-取费表'!I"&amp;$G$1)</f>
        <v>0.05</v>
      </c>
      <c r="G40" s="2063"/>
      <c r="H40" s="2063"/>
      <c r="I40" s="837" t="s">
        <v>1820</v>
      </c>
      <c r="J40" s="845">
        <f ca="1">1-J39</f>
        <v>1</v>
      </c>
      <c r="K40" s="2084"/>
      <c r="L40" s="2063"/>
      <c r="M40" s="2063"/>
    </row>
    <row r="41" spans="1:18" ht="18" customHeight="1">
      <c r="A41" s="786"/>
      <c r="B41" s="787"/>
      <c r="C41" s="788"/>
      <c r="D41" s="821" t="s">
        <v>1809</v>
      </c>
      <c r="E41" s="784" t="s">
        <v>708</v>
      </c>
      <c r="F41" s="822">
        <f ca="1">IF(INDIRECT("'数据-取费表'!af"&amp;$G$1)=0,INDIRECT("'数据-取费表'!ae"&amp;$G$1),INDIRECT("'数据-取费表'!af"&amp;$G$1))</f>
        <v>40.67</v>
      </c>
      <c r="G41" s="2063"/>
      <c r="H41" s="1989"/>
      <c r="I41" s="843" t="s">
        <v>1821</v>
      </c>
      <c r="J41" s="846"/>
      <c r="K41" s="2083"/>
      <c r="L41" s="1989"/>
      <c r="M41" s="1989"/>
    </row>
    <row r="42" spans="1:18" ht="18" customHeight="1">
      <c r="A42" s="790"/>
      <c r="B42" s="791"/>
      <c r="C42" s="792"/>
      <c r="D42" s="816"/>
      <c r="E42" s="784" t="s">
        <v>1787</v>
      </c>
      <c r="F42" s="794">
        <f ca="1">INDIRECT("'数据-取费表'!v"&amp;$G$1)</f>
        <v>0.03</v>
      </c>
      <c r="G42" s="2063"/>
      <c r="H42" s="1989"/>
      <c r="I42" s="847" t="s">
        <v>1822</v>
      </c>
      <c r="J42" s="845">
        <f ca="1">ROUND(C13/C40,3)</f>
        <v>0</v>
      </c>
      <c r="K42" s="2083"/>
      <c r="L42" s="1989"/>
      <c r="M42" s="1989"/>
    </row>
    <row r="43" spans="1:18" ht="18" customHeight="1" thickBot="1">
      <c r="A43" s="823" t="s">
        <v>1788</v>
      </c>
      <c r="B43" s="824" t="s">
        <v>1811</v>
      </c>
      <c r="C43" s="825">
        <f ca="1">ROUND(C40*10000/F43,0)</f>
        <v>1209</v>
      </c>
      <c r="D43" s="826" t="s">
        <v>1812</v>
      </c>
      <c r="E43" s="827" t="s">
        <v>1813</v>
      </c>
      <c r="F43" s="828">
        <f ca="1">INDIRECT("'数据-取费表'!k"&amp;$G$1)</f>
        <v>35000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75">
        <f ca="1">C67-C40</f>
        <v>-6854</v>
      </c>
      <c r="D46" s="2086"/>
      <c r="E46" s="2086"/>
      <c r="F46" s="2086"/>
      <c r="I46" s="2379" t="s">
        <v>2345</v>
      </c>
      <c r="J46" s="2380"/>
      <c r="K46" s="2381"/>
      <c r="L46" s="3161">
        <f>IF(OR(M47="住宅",D1="土地（套用方法）"),0,IF(L48&gt;J51,L60,J60))</f>
        <v>0</v>
      </c>
      <c r="O46" s="2395" t="s">
        <v>2412</v>
      </c>
      <c r="P46" s="1593"/>
      <c r="Q46" s="1605"/>
      <c r="R46" s="1593"/>
    </row>
    <row r="47" spans="1:18" s="2060" customFormat="1" ht="18" customHeight="1" thickBot="1">
      <c r="A47" s="2373">
        <v>1</v>
      </c>
      <c r="B47" s="2374" t="s">
        <v>635</v>
      </c>
      <c r="C47" s="2575">
        <f ca="1">C48+C52+C54</f>
        <v>0</v>
      </c>
      <c r="D47" s="2086"/>
      <c r="E47" s="2086"/>
      <c r="F47" s="2086"/>
      <c r="I47" s="3151" t="s">
        <v>2346</v>
      </c>
      <c r="J47" s="2382" t="s">
        <v>3027</v>
      </c>
      <c r="K47" s="3158" t="s">
        <v>2351</v>
      </c>
      <c r="L47" s="3162">
        <f ca="1">INDIRECT("'数据-取费表'!d"&amp;$G$1)</f>
        <v>50</v>
      </c>
      <c r="M47" s="1605" t="str">
        <f>IF(ISNUMBER(FIND("住宅",C1)),"住宅","非住宅")</f>
        <v>非住宅</v>
      </c>
      <c r="O47" s="2396" t="s">
        <v>2377</v>
      </c>
      <c r="P47" s="2397" t="s">
        <v>2378</v>
      </c>
      <c r="Q47" s="2398" t="s">
        <v>2379</v>
      </c>
      <c r="R47" s="2397" t="s">
        <v>2380</v>
      </c>
    </row>
    <row r="48" spans="1:18" s="2060" customFormat="1" ht="18" customHeight="1" thickBot="1">
      <c r="A48" s="2643" t="s">
        <v>1871</v>
      </c>
      <c r="B48" s="2644" t="s">
        <v>2540</v>
      </c>
      <c r="C48" s="2375">
        <f ca="1">ROUND(F48*F50*F49*(1-F51)/10000,0)</f>
        <v>0</v>
      </c>
      <c r="D48" s="2376" t="s">
        <v>636</v>
      </c>
      <c r="E48" s="2377" t="s">
        <v>2298</v>
      </c>
      <c r="F48" s="2378"/>
      <c r="G48" s="2091"/>
      <c r="I48" s="3127" t="s">
        <v>2347</v>
      </c>
      <c r="J48" s="2383" t="s">
        <v>2352</v>
      </c>
      <c r="K48" s="3159" t="s">
        <v>2353</v>
      </c>
      <c r="L48" s="1909">
        <f ca="1">INDIRECT("'数据-取费表'!f"&amp;$G$1)</f>
        <v>42.67</v>
      </c>
      <c r="O48" s="2399" t="s">
        <v>2381</v>
      </c>
      <c r="P48" s="2400" t="s">
        <v>2407</v>
      </c>
      <c r="Q48" s="2401">
        <f ca="1">C40+J29</f>
        <v>4232</v>
      </c>
      <c r="R48" s="2400" t="s">
        <v>2382</v>
      </c>
    </row>
    <row r="49" spans="1:18" s="2060" customFormat="1" ht="18" customHeight="1" thickBot="1">
      <c r="A49" s="786"/>
      <c r="B49" s="787"/>
      <c r="C49" s="788"/>
      <c r="D49" s="789"/>
      <c r="E49" s="784" t="s">
        <v>638</v>
      </c>
      <c r="F49" s="785">
        <f ca="1">F7</f>
        <v>875</v>
      </c>
      <c r="G49" s="2091"/>
      <c r="H49" s="2094"/>
      <c r="I49" s="3127" t="s">
        <v>2348</v>
      </c>
      <c r="J49" s="2384"/>
      <c r="K49" s="3160" t="s">
        <v>2354</v>
      </c>
      <c r="L49" s="2385"/>
      <c r="O49" s="2399" t="s">
        <v>2383</v>
      </c>
      <c r="P49" s="2400" t="s">
        <v>2408</v>
      </c>
      <c r="Q49" s="2401" t="str">
        <f ca="1">J60</f>
        <v>0</v>
      </c>
      <c r="R49" s="2400" t="s">
        <v>2384</v>
      </c>
    </row>
    <row r="50" spans="1:18" s="2060" customFormat="1" ht="18" customHeight="1" thickBot="1">
      <c r="A50" s="786"/>
      <c r="B50" s="787"/>
      <c r="C50" s="788"/>
      <c r="D50" s="789"/>
      <c r="E50" s="784" t="s">
        <v>639</v>
      </c>
      <c r="F50" s="785">
        <f ca="1">F8</f>
        <v>12</v>
      </c>
      <c r="G50" s="2096"/>
      <c r="H50" s="2094"/>
      <c r="I50" s="3127" t="s">
        <v>2349</v>
      </c>
      <c r="J50" s="3155">
        <f>SUMPRODUCT((I63:I65=J47)*(J62:L62=J48)*(J63:L65))</f>
        <v>60</v>
      </c>
      <c r="K50" s="3160" t="s">
        <v>2355</v>
      </c>
      <c r="L50" s="2385"/>
      <c r="O50" s="2402" t="s">
        <v>2385</v>
      </c>
      <c r="P50" s="2400" t="s">
        <v>2409</v>
      </c>
      <c r="Q50" s="2401">
        <f ca="1">C29</f>
        <v>9855</v>
      </c>
      <c r="R50" s="2400" t="s">
        <v>2382</v>
      </c>
    </row>
    <row r="51" spans="1:18" s="2060" customFormat="1" ht="18" customHeight="1" thickBot="1">
      <c r="A51" s="786"/>
      <c r="B51" s="787"/>
      <c r="C51" s="788"/>
      <c r="D51" s="789"/>
      <c r="E51" s="784" t="s">
        <v>640</v>
      </c>
      <c r="F51" s="2372"/>
      <c r="H51" s="2094"/>
      <c r="I51" s="3152" t="s">
        <v>2350</v>
      </c>
      <c r="J51" s="3156">
        <f>IF(J49="",J50,J49+J50-YEAR('数据-取费表'!B2))</f>
        <v>60</v>
      </c>
      <c r="K51" s="3127" t="s">
        <v>2356</v>
      </c>
      <c r="L51" s="3163">
        <f ca="1">ROUND(-PV(INDIRECT("'数据-取费表'!h"&amp;$G$1),L48,(C39-C13*J36),0),0)</f>
        <v>2937</v>
      </c>
      <c r="O51" s="2402" t="s">
        <v>2386</v>
      </c>
      <c r="P51" s="2400" t="s">
        <v>2387</v>
      </c>
      <c r="Q51" s="2403" t="e">
        <f ca="1">J58</f>
        <v>#VALUE!</v>
      </c>
      <c r="R51" s="2404"/>
    </row>
    <row r="52" spans="1:18" s="2060" customFormat="1" ht="18" customHeight="1" thickBot="1">
      <c r="A52" s="781" t="s">
        <v>2538</v>
      </c>
      <c r="B52" s="2495" t="s">
        <v>2461</v>
      </c>
      <c r="C52" s="799">
        <f ca="1">ROUND(IF(F52="押一",C48/12*F11,IF(F52="押二",C48/12*2*F11,IF(F52="押三",C48/12*3*F11,C53*F11))),0)</f>
        <v>0</v>
      </c>
      <c r="D52" s="2502" t="s">
        <v>2977</v>
      </c>
      <c r="E52" s="2499" t="s">
        <v>2466</v>
      </c>
      <c r="F52" s="2622"/>
      <c r="I52" s="3153" t="s">
        <v>2423</v>
      </c>
      <c r="J52" s="2386"/>
      <c r="K52" s="3153" t="s">
        <v>2422</v>
      </c>
      <c r="L52" s="2386"/>
      <c r="O52" s="2402" t="s">
        <v>2388</v>
      </c>
      <c r="P52" s="2400" t="s">
        <v>2389</v>
      </c>
      <c r="Q52" s="2403">
        <f>J52</f>
        <v>0</v>
      </c>
      <c r="R52" s="2404"/>
    </row>
    <row r="53" spans="1:18" s="2060" customFormat="1" ht="39.75" customHeight="1" thickBot="1">
      <c r="A53" s="786"/>
      <c r="B53" s="2496" t="s">
        <v>2575</v>
      </c>
      <c r="C53" s="2500"/>
      <c r="D53" s="2502"/>
      <c r="E53" s="2499"/>
      <c r="F53" s="800"/>
      <c r="I53" s="3154" t="s">
        <v>2982</v>
      </c>
      <c r="J53" s="3157">
        <f ca="1">IF(M47="住宅",IF(D1="——",MAX(J51,L48),MAX(J51,L48-'数据-取费表'!B20)),IF(D1="——",MIN(J51,L48),MIN(J51,L48-'数据-取费表'!B20)))</f>
        <v>40.67</v>
      </c>
      <c r="K53" s="3460" t="s">
        <v>2969</v>
      </c>
      <c r="L53" s="3461"/>
      <c r="O53" s="2402" t="s">
        <v>2390</v>
      </c>
      <c r="P53" s="2400" t="s">
        <v>2391</v>
      </c>
      <c r="Q53" s="2401">
        <f ca="1">J53</f>
        <v>40.67</v>
      </c>
      <c r="R53" s="2400" t="s">
        <v>2392</v>
      </c>
    </row>
    <row r="54" spans="1:18" s="2060" customFormat="1" ht="18" customHeight="1" thickBot="1">
      <c r="A54" s="2538" t="s">
        <v>2469</v>
      </c>
      <c r="B54" s="2539" t="s">
        <v>2462</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2393</v>
      </c>
      <c r="P54" s="2400" t="s">
        <v>2410</v>
      </c>
      <c r="Q54" s="2401">
        <f ca="1">Q48+Q49</f>
        <v>4232</v>
      </c>
      <c r="R54" s="2404" t="s">
        <v>2394</v>
      </c>
    </row>
    <row r="55" spans="1:18" s="2060" customFormat="1" ht="18" customHeight="1" thickTop="1" thickBot="1">
      <c r="A55" s="797">
        <v>2</v>
      </c>
      <c r="B55" s="798" t="s">
        <v>644</v>
      </c>
      <c r="C55" s="799">
        <f ca="1">C13</f>
        <v>0</v>
      </c>
      <c r="D55" s="795"/>
      <c r="E55" s="795"/>
      <c r="F55" s="800"/>
      <c r="I55" s="3166" t="s">
        <v>2357</v>
      </c>
      <c r="J55" s="3102" t="e">
        <f ca="1">ROUND(IF(J47="钢混",J57/J50,1-(1-2%)*(J50-J57)/J50),3)</f>
        <v>#VALUE!</v>
      </c>
      <c r="K55" s="3167" t="s">
        <v>2358</v>
      </c>
      <c r="L55" s="2387"/>
      <c r="O55" s="2405" t="s">
        <v>2413</v>
      </c>
      <c r="P55" s="1593"/>
      <c r="Q55" s="1605"/>
      <c r="R55" s="1593"/>
    </row>
    <row r="56" spans="1:18" s="2060" customFormat="1" ht="42.75" customHeight="1" thickBot="1">
      <c r="A56" s="1651"/>
      <c r="B56" s="2232" t="s">
        <v>2302</v>
      </c>
      <c r="C56" s="53">
        <f ca="1">C29</f>
        <v>9855</v>
      </c>
      <c r="D56" s="3182"/>
      <c r="E56" s="784"/>
      <c r="F56" s="809"/>
      <c r="I56" s="3168" t="s">
        <v>2359</v>
      </c>
      <c r="J56" s="3178" t="s">
        <v>1679</v>
      </c>
      <c r="K56" s="3127" t="s">
        <v>2364</v>
      </c>
      <c r="L56" s="1909" t="str">
        <f ca="1">IF(L48&lt;J51,"——",L48-J51)</f>
        <v>——</v>
      </c>
      <c r="O56" s="2396" t="s">
        <v>2377</v>
      </c>
      <c r="P56" s="2397" t="s">
        <v>2378</v>
      </c>
      <c r="Q56" s="2398" t="s">
        <v>2379</v>
      </c>
      <c r="R56" s="2397" t="s">
        <v>2380</v>
      </c>
    </row>
    <row r="57" spans="1:18" s="2060" customFormat="1" ht="28.5" customHeight="1" thickBot="1">
      <c r="A57" s="797" t="s">
        <v>1749</v>
      </c>
      <c r="B57" s="798" t="s">
        <v>651</v>
      </c>
      <c r="C57" s="799">
        <f ca="1">ROUND(C58+C63+C64+C65,0)</f>
        <v>152</v>
      </c>
      <c r="D57" s="26" t="s">
        <v>652</v>
      </c>
      <c r="E57" s="3184"/>
      <c r="F57" s="56"/>
      <c r="I57" s="3169" t="s">
        <v>2360</v>
      </c>
      <c r="J57" s="3170" t="str">
        <f ca="1">IF(OR(M47="住宅",J51&lt;L48,J56="是"),"——",J51-L48)</f>
        <v>——</v>
      </c>
      <c r="K57" s="3127" t="s">
        <v>2365</v>
      </c>
      <c r="L57" s="1909" t="str">
        <f ca="1">IF(L48&lt;J51,"——",IF(L55="比较法",L49,IF(L55="基准地价",L50,L51)))</f>
        <v>——</v>
      </c>
      <c r="O57" s="2399" t="s">
        <v>2381</v>
      </c>
      <c r="P57" s="2400" t="s">
        <v>2407</v>
      </c>
      <c r="Q57" s="2401">
        <f ca="1">C40+J29</f>
        <v>4232</v>
      </c>
      <c r="R57" s="2400" t="s">
        <v>2382</v>
      </c>
    </row>
    <row r="58" spans="1:18" s="2060" customFormat="1" ht="28.5" customHeight="1" thickBot="1">
      <c r="A58" s="1650" t="s">
        <v>1825</v>
      </c>
      <c r="B58" s="784" t="s">
        <v>656</v>
      </c>
      <c r="C58" s="53">
        <f ca="1">ROUND(IF(项目基本情况!B11="自然人",C47*F58,C59+C60+C61),1)</f>
        <v>4.5</v>
      </c>
      <c r="D58" s="3181" t="s">
        <v>657</v>
      </c>
      <c r="E58" s="3182" t="s">
        <v>690</v>
      </c>
      <c r="F58" s="810" t="str">
        <f ca="1">IF(项目基本情况!B11="企业","",IF(INDIRECT("'数据-取费表'!c"&amp;$G$1)="住宅",5%,IF(F48*F49*F50/12/(1+'数据-取费表'!C42)&gt;20000,12%,7%)))</f>
        <v/>
      </c>
      <c r="I58" s="3169" t="s">
        <v>2361</v>
      </c>
      <c r="J58" s="3103" t="e">
        <f ca="1">IF(J55&lt;0.4,0.4,J55)</f>
        <v>#VALUE!</v>
      </c>
      <c r="K58" s="3127" t="s">
        <v>2366</v>
      </c>
      <c r="L58" s="1909" t="e">
        <f ca="1">ROUND(POWER(1+L52,L47-L48)*(POWER(1+L52,L48)-1)/(POWER(1+L52,L47)-1),4)</f>
        <v>#DIV/0!</v>
      </c>
      <c r="O58" s="2399" t="s">
        <v>2383</v>
      </c>
      <c r="P58" s="2400" t="s">
        <v>2414</v>
      </c>
      <c r="Q58" s="2401">
        <f ca="1">L60</f>
        <v>0</v>
      </c>
      <c r="R58" s="2404" t="s">
        <v>2416</v>
      </c>
    </row>
    <row r="59" spans="1:18" s="2060" customFormat="1" ht="28.5" customHeight="1" thickBot="1">
      <c r="A59" s="1649" t="s">
        <v>1832</v>
      </c>
      <c r="B59" s="784" t="s">
        <v>660</v>
      </c>
      <c r="C59" s="53">
        <f ca="1">ROUND(C47*F59/1.05,1)</f>
        <v>0</v>
      </c>
      <c r="D59" s="3182" t="s">
        <v>661</v>
      </c>
      <c r="E59" s="784" t="s">
        <v>649</v>
      </c>
      <c r="F59" s="809">
        <f t="shared" ref="F59:F65" si="0">F32</f>
        <v>5.6000000000000001E-2</v>
      </c>
      <c r="I59" s="3169" t="s">
        <v>2362</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2385</v>
      </c>
      <c r="P59" s="2400" t="s">
        <v>2415</v>
      </c>
      <c r="Q59" s="2401">
        <f>IF(L55="比较法",L49,IF(L55="基准地价",L50,0))</f>
        <v>0</v>
      </c>
      <c r="R59" s="2400" t="s">
        <v>2382</v>
      </c>
    </row>
    <row r="60" spans="1:18" s="2060" customFormat="1" ht="18" customHeight="1" thickBot="1">
      <c r="A60" s="1649" t="s">
        <v>1833</v>
      </c>
      <c r="B60" s="784" t="s">
        <v>1759</v>
      </c>
      <c r="C60" s="53">
        <f ca="1">IF(D60="按租金收入计税",ROUND(C47*F60,1),IF(D60="按房产原值计税",ROUND(C56*F60*0.7,1),INDIRECT("'数据-取费表'!Aj"&amp;$G$1)))</f>
        <v>0</v>
      </c>
      <c r="D60" s="3182" t="str">
        <f>D33</f>
        <v>按租金收入计税</v>
      </c>
      <c r="E60" s="784" t="s">
        <v>649</v>
      </c>
      <c r="F60" s="809">
        <f t="shared" si="0"/>
        <v>0.12</v>
      </c>
      <c r="I60" s="3171" t="s">
        <v>2363</v>
      </c>
      <c r="J60" s="3172" t="str">
        <f ca="1">IF(OR(M47="住宅",J51&lt;L48,J56="是"),"0",ROUND(J59/(1+J52)^J53,0))</f>
        <v>0</v>
      </c>
      <c r="K60" s="3173" t="s">
        <v>2368</v>
      </c>
      <c r="L60" s="3172">
        <f ca="1">IF(OR(M47="住宅",L48&lt;J51),0,ROUND(L57*(L58/L59-1),0))</f>
        <v>0</v>
      </c>
      <c r="O60" s="2402" t="s">
        <v>2386</v>
      </c>
      <c r="P60" s="2400" t="s">
        <v>2395</v>
      </c>
      <c r="Q60" s="2403">
        <f>L52</f>
        <v>0</v>
      </c>
      <c r="R60" s="2404"/>
    </row>
    <row r="61" spans="1:18" s="2060" customFormat="1" ht="18" customHeight="1" thickBot="1">
      <c r="A61" s="1652" t="s">
        <v>1834</v>
      </c>
      <c r="B61" s="341" t="s">
        <v>668</v>
      </c>
      <c r="C61" s="54">
        <f ca="1">ROUND(F61*F62/10000,1)</f>
        <v>4.5</v>
      </c>
      <c r="D61" s="814" t="s">
        <v>669</v>
      </c>
      <c r="E61" s="784" t="s">
        <v>670</v>
      </c>
      <c r="F61" s="640">
        <f t="shared" si="0"/>
        <v>5</v>
      </c>
      <c r="K61" s="2087"/>
      <c r="O61" s="2402" t="s">
        <v>2388</v>
      </c>
      <c r="P61" s="2400" t="s">
        <v>2396</v>
      </c>
      <c r="Q61" s="2401" t="e">
        <f ca="1">L58</f>
        <v>#DIV/0!</v>
      </c>
      <c r="R61" s="2404" t="s">
        <v>2397</v>
      </c>
    </row>
    <row r="62" spans="1:18" s="2060" customFormat="1" ht="15.75" thickBot="1">
      <c r="A62" s="815"/>
      <c r="B62" s="793"/>
      <c r="C62" s="69"/>
      <c r="D62" s="816"/>
      <c r="E62" s="784" t="s">
        <v>674</v>
      </c>
      <c r="F62" s="785">
        <f t="shared" ca="1" si="0"/>
        <v>8987.5400000000009</v>
      </c>
      <c r="I62" s="3174" t="s">
        <v>2369</v>
      </c>
      <c r="J62" s="3175" t="s">
        <v>2370</v>
      </c>
      <c r="K62" s="3175" t="s">
        <v>2371</v>
      </c>
      <c r="L62" s="3175" t="s">
        <v>2352</v>
      </c>
      <c r="M62" s="3176" t="s">
        <v>2945</v>
      </c>
      <c r="O62" s="2402" t="s">
        <v>2390</v>
      </c>
      <c r="P62" s="2400" t="str">
        <f>K59</f>
        <v>建设期及建筑物耐用年限下的土地年期修正系数Kn</v>
      </c>
      <c r="Q62" s="2401" t="e">
        <f ca="1">L59</f>
        <v>#DIV/0!</v>
      </c>
      <c r="R62" s="2404" t="s">
        <v>2399</v>
      </c>
    </row>
    <row r="63" spans="1:18" s="2060" customFormat="1" ht="15.75" thickBot="1">
      <c r="A63" s="1650" t="s">
        <v>1890</v>
      </c>
      <c r="B63" s="784" t="s">
        <v>676</v>
      </c>
      <c r="C63" s="53">
        <f ca="1">ROUND(C56*F63,1)</f>
        <v>147.80000000000001</v>
      </c>
      <c r="D63" s="3182" t="s">
        <v>1804</v>
      </c>
      <c r="E63" s="784" t="s">
        <v>649</v>
      </c>
      <c r="F63" s="817">
        <f t="shared" ca="1" si="0"/>
        <v>1.4999999999999999E-2</v>
      </c>
      <c r="I63" s="3174" t="s">
        <v>2372</v>
      </c>
      <c r="J63" s="3175">
        <v>70</v>
      </c>
      <c r="K63" s="3175">
        <v>50</v>
      </c>
      <c r="L63" s="3175">
        <v>80</v>
      </c>
      <c r="M63" s="3177">
        <v>0.02</v>
      </c>
      <c r="O63" s="2399" t="s">
        <v>2393</v>
      </c>
      <c r="P63" s="2400" t="s">
        <v>2410</v>
      </c>
      <c r="Q63" s="2401">
        <f ca="1">Q57+Q58</f>
        <v>4232</v>
      </c>
      <c r="R63" s="2404" t="s">
        <v>2394</v>
      </c>
    </row>
    <row r="64" spans="1:18" s="2060" customFormat="1" ht="16.5" thickBot="1">
      <c r="A64" s="1650" t="s">
        <v>1891</v>
      </c>
      <c r="B64" s="784" t="s">
        <v>679</v>
      </c>
      <c r="C64" s="53">
        <f ca="1">ROUND(C55*F64,1)</f>
        <v>0</v>
      </c>
      <c r="D64" s="3182" t="s">
        <v>680</v>
      </c>
      <c r="E64" s="784" t="s">
        <v>649</v>
      </c>
      <c r="F64" s="818">
        <f t="shared" ca="1" si="0"/>
        <v>1.5E-3</v>
      </c>
      <c r="I64" s="3174" t="s">
        <v>2373</v>
      </c>
      <c r="J64" s="3175">
        <v>50</v>
      </c>
      <c r="K64" s="3175">
        <v>35</v>
      </c>
      <c r="L64" s="3175">
        <v>60</v>
      </c>
      <c r="M64" s="846">
        <v>0</v>
      </c>
      <c r="O64" s="2405" t="s">
        <v>2417</v>
      </c>
      <c r="P64" s="1593"/>
      <c r="Q64" s="1605"/>
      <c r="R64" s="1593"/>
    </row>
    <row r="65" spans="1:18" s="2060" customFormat="1" ht="15.75" thickBot="1">
      <c r="A65" s="1650" t="s">
        <v>1892</v>
      </c>
      <c r="B65" s="784" t="s">
        <v>666</v>
      </c>
      <c r="C65" s="53">
        <f ca="1">ROUND(C47*F65,1)</f>
        <v>0</v>
      </c>
      <c r="D65" s="3182" t="s">
        <v>683</v>
      </c>
      <c r="E65" s="784" t="s">
        <v>649</v>
      </c>
      <c r="F65" s="794">
        <f t="shared" ca="1" si="0"/>
        <v>0.01</v>
      </c>
      <c r="I65" s="3174" t="s">
        <v>2374</v>
      </c>
      <c r="J65" s="3175">
        <v>40</v>
      </c>
      <c r="K65" s="3175">
        <v>30</v>
      </c>
      <c r="L65" s="3175">
        <v>50</v>
      </c>
      <c r="M65" s="3177">
        <v>0.02</v>
      </c>
      <c r="O65" s="2396" t="s">
        <v>2377</v>
      </c>
      <c r="P65" s="2397" t="s">
        <v>2378</v>
      </c>
      <c r="Q65" s="2398" t="s">
        <v>2379</v>
      </c>
      <c r="R65" s="2397" t="s">
        <v>2380</v>
      </c>
    </row>
    <row r="66" spans="1:18" s="2060" customFormat="1" ht="24.75" thickBot="1">
      <c r="A66" s="797" t="s">
        <v>1777</v>
      </c>
      <c r="B66" s="3012" t="s">
        <v>2824</v>
      </c>
      <c r="C66" s="799">
        <f ca="1">C47-C57</f>
        <v>-152</v>
      </c>
      <c r="D66" s="3181" t="s">
        <v>700</v>
      </c>
      <c r="E66" s="3179"/>
      <c r="F66" s="820"/>
      <c r="K66" s="2087"/>
      <c r="O66" s="2399" t="s">
        <v>2381</v>
      </c>
      <c r="P66" s="2400" t="s">
        <v>2407</v>
      </c>
      <c r="Q66" s="2401">
        <f ca="1">C40+J29</f>
        <v>4232</v>
      </c>
      <c r="R66" s="2400" t="s">
        <v>2382</v>
      </c>
    </row>
    <row r="67" spans="1:18" s="2060" customFormat="1" ht="20.25" thickBot="1">
      <c r="A67" s="781" t="s">
        <v>1781</v>
      </c>
      <c r="B67" s="2233" t="s">
        <v>2303</v>
      </c>
      <c r="C67" s="783">
        <f ca="1">ROUND(C66*(1-((1+F69)/(1+F67))^F68)/(F67-F69),0)</f>
        <v>-2622</v>
      </c>
      <c r="D67" s="814" t="s">
        <v>704</v>
      </c>
      <c r="E67" s="784" t="s">
        <v>705</v>
      </c>
      <c r="F67" s="794">
        <f ca="1">F40</f>
        <v>0.05</v>
      </c>
      <c r="K67" s="2087"/>
      <c r="O67" s="2399" t="s">
        <v>2383</v>
      </c>
      <c r="P67" s="2400" t="s">
        <v>2414</v>
      </c>
      <c r="Q67" s="2401">
        <f ca="1">L60</f>
        <v>0</v>
      </c>
      <c r="R67" s="2404" t="s">
        <v>2416</v>
      </c>
    </row>
    <row r="68" spans="1:18" ht="21.75" thickBot="1">
      <c r="A68" s="786"/>
      <c r="B68" s="787"/>
      <c r="C68" s="788"/>
      <c r="D68" s="821" t="s">
        <v>1809</v>
      </c>
      <c r="E68" s="784" t="s">
        <v>708</v>
      </c>
      <c r="F68" s="822">
        <f ca="1">F41</f>
        <v>40.67</v>
      </c>
      <c r="O68" s="2402" t="s">
        <v>2385</v>
      </c>
      <c r="P68" s="2400" t="s">
        <v>2415</v>
      </c>
      <c r="Q68" s="2406">
        <f ca="1">L51</f>
        <v>2937</v>
      </c>
      <c r="R68" s="2407" t="s">
        <v>2418</v>
      </c>
    </row>
    <row r="69" spans="1:18" ht="20.25" thickBot="1">
      <c r="A69" s="790"/>
      <c r="B69" s="791"/>
      <c r="C69" s="792"/>
      <c r="D69" s="816"/>
      <c r="E69" s="784" t="s">
        <v>710</v>
      </c>
      <c r="F69" s="2372"/>
      <c r="O69" s="2402" t="s">
        <v>2386</v>
      </c>
      <c r="P69" s="2408" t="s">
        <v>2400</v>
      </c>
      <c r="Q69" s="2401">
        <f ca="1">ROUND(Q70-Q71*Q72,0)</f>
        <v>156</v>
      </c>
      <c r="R69" s="2404"/>
    </row>
    <row r="70" spans="1:18" ht="15.75" thickBot="1">
      <c r="A70" s="823" t="s">
        <v>1788</v>
      </c>
      <c r="B70" s="824" t="s">
        <v>1811</v>
      </c>
      <c r="C70" s="825">
        <f ca="1">ROUND(C67*10000/F70,0)</f>
        <v>-749</v>
      </c>
      <c r="D70" s="826" t="s">
        <v>1812</v>
      </c>
      <c r="E70" s="827" t="s">
        <v>1813</v>
      </c>
      <c r="F70" s="828">
        <f ca="1">F43</f>
        <v>35000</v>
      </c>
      <c r="O70" s="2402" t="s">
        <v>2401</v>
      </c>
      <c r="P70" s="2408" t="s">
        <v>2402</v>
      </c>
      <c r="Q70" s="2401">
        <f ca="1">C39</f>
        <v>156</v>
      </c>
      <c r="R70" s="2400" t="s">
        <v>2382</v>
      </c>
    </row>
    <row r="71" spans="1:18" ht="15.75" thickBot="1">
      <c r="O71" s="2402" t="s">
        <v>2403</v>
      </c>
      <c r="P71" s="2408" t="s">
        <v>2404</v>
      </c>
      <c r="Q71" s="2401">
        <f ca="1">C13</f>
        <v>0</v>
      </c>
      <c r="R71" s="2400" t="s">
        <v>2382</v>
      </c>
    </row>
    <row r="72" spans="1:18" ht="15.75" thickBot="1">
      <c r="O72" s="2402" t="s">
        <v>2405</v>
      </c>
      <c r="P72" s="2408" t="s">
        <v>2406</v>
      </c>
      <c r="Q72" s="2403">
        <f ca="1">J36</f>
        <v>8.5000000000000006E-2</v>
      </c>
      <c r="R72" s="2404"/>
    </row>
    <row r="73" spans="1:18" ht="15.75" thickBot="1">
      <c r="O73" s="2402" t="s">
        <v>2388</v>
      </c>
      <c r="P73" s="2400" t="s">
        <v>2395</v>
      </c>
      <c r="Q73" s="2403">
        <f>L52</f>
        <v>0</v>
      </c>
      <c r="R73" s="2404"/>
    </row>
    <row r="74" spans="1:18" ht="20.25" thickBot="1">
      <c r="O74" s="2402" t="s">
        <v>2390</v>
      </c>
      <c r="P74" s="2400" t="s">
        <v>2396</v>
      </c>
      <c r="Q74" s="2401" t="e">
        <f ca="1">L58</f>
        <v>#DIV/0!</v>
      </c>
      <c r="R74" s="2404" t="s">
        <v>2397</v>
      </c>
    </row>
    <row r="75" spans="1:18" ht="15.75" thickBot="1">
      <c r="O75" s="2402" t="s">
        <v>2419</v>
      </c>
      <c r="P75" s="2400" t="str">
        <f>K59</f>
        <v>建设期及建筑物耐用年限下的土地年期修正系数Kn</v>
      </c>
      <c r="Q75" s="2401" t="e">
        <f ca="1">L59</f>
        <v>#DIV/0!</v>
      </c>
      <c r="R75" s="2404" t="s">
        <v>2399</v>
      </c>
    </row>
    <row r="76" spans="1:18" ht="15.75" thickBot="1">
      <c r="O76" s="2399" t="s">
        <v>2393</v>
      </c>
      <c r="P76" s="2400" t="s">
        <v>2410</v>
      </c>
      <c r="Q76" s="2401">
        <f ca="1">Q66+Q67</f>
        <v>4232</v>
      </c>
      <c r="R76" s="2404"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62" t="s">
        <v>2473</v>
      </c>
      <c r="B1" s="3463"/>
      <c r="C1" s="3464"/>
      <c r="D1" s="3465">
        <f>SUM(I10,I15,I20,I21,I23)</f>
        <v>0</v>
      </c>
      <c r="E1" s="3465"/>
      <c r="F1" s="3465"/>
      <c r="G1" s="3465"/>
      <c r="H1" s="3465"/>
      <c r="I1" s="3466"/>
    </row>
    <row r="2" spans="1:9">
      <c r="A2" s="3467" t="s">
        <v>2474</v>
      </c>
      <c r="B2" s="3468" t="s">
        <v>2475</v>
      </c>
      <c r="C2" s="3468"/>
      <c r="D2" s="2508" t="s">
        <v>2476</v>
      </c>
      <c r="E2" s="2508" t="s">
        <v>2477</v>
      </c>
      <c r="F2" s="2508" t="s">
        <v>2478</v>
      </c>
      <c r="G2" s="2508" t="s">
        <v>2479</v>
      </c>
      <c r="H2" s="2508" t="s">
        <v>2480</v>
      </c>
      <c r="I2" s="2509" t="s">
        <v>2481</v>
      </c>
    </row>
    <row r="3" spans="1:9">
      <c r="A3" s="3467"/>
      <c r="B3" s="3468" t="s">
        <v>2482</v>
      </c>
      <c r="C3" s="3468"/>
      <c r="D3" s="2510"/>
      <c r="E3" s="2508"/>
      <c r="F3" s="2511"/>
      <c r="G3" s="2511"/>
      <c r="H3" s="2512"/>
      <c r="I3" s="2513">
        <f>ROUND(D3*E3*F3*G3*H3/10000,0)</f>
        <v>0</v>
      </c>
    </row>
    <row r="4" spans="1:9">
      <c r="A4" s="3467"/>
      <c r="B4" s="3468" t="s">
        <v>2483</v>
      </c>
      <c r="C4" s="3468"/>
      <c r="D4" s="2510"/>
      <c r="E4" s="2508"/>
      <c r="F4" s="2511"/>
      <c r="G4" s="2511"/>
      <c r="H4" s="2512"/>
      <c r="I4" s="2513">
        <f t="shared" ref="I4:I9" si="0">ROUND(D4*E4*F4*G4*H4/10000,0)</f>
        <v>0</v>
      </c>
    </row>
    <row r="5" spans="1:9">
      <c r="A5" s="3467"/>
      <c r="B5" s="3468" t="s">
        <v>2484</v>
      </c>
      <c r="C5" s="3468"/>
      <c r="D5" s="2510"/>
      <c r="E5" s="2508"/>
      <c r="F5" s="2511"/>
      <c r="G5" s="2511"/>
      <c r="H5" s="2512"/>
      <c r="I5" s="2513">
        <f t="shared" si="0"/>
        <v>0</v>
      </c>
    </row>
    <row r="6" spans="1:9">
      <c r="A6" s="3467"/>
      <c r="B6" s="3468" t="s">
        <v>2485</v>
      </c>
      <c r="C6" s="3468"/>
      <c r="D6" s="2510"/>
      <c r="E6" s="2508"/>
      <c r="F6" s="2511"/>
      <c r="G6" s="2511"/>
      <c r="H6" s="2512"/>
      <c r="I6" s="2513">
        <f t="shared" si="0"/>
        <v>0</v>
      </c>
    </row>
    <row r="7" spans="1:9">
      <c r="A7" s="3467"/>
      <c r="B7" s="3468" t="s">
        <v>2486</v>
      </c>
      <c r="C7" s="3468"/>
      <c r="D7" s="2510"/>
      <c r="E7" s="2508"/>
      <c r="F7" s="2511"/>
      <c r="G7" s="2511"/>
      <c r="H7" s="2512"/>
      <c r="I7" s="2513">
        <f t="shared" si="0"/>
        <v>0</v>
      </c>
    </row>
    <row r="8" spans="1:9">
      <c r="A8" s="3467"/>
      <c r="B8" s="3468" t="s">
        <v>2487</v>
      </c>
      <c r="C8" s="3468"/>
      <c r="D8" s="2510"/>
      <c r="E8" s="2508"/>
      <c r="F8" s="2511"/>
      <c r="G8" s="2511"/>
      <c r="H8" s="2512"/>
      <c r="I8" s="2513">
        <f t="shared" si="0"/>
        <v>0</v>
      </c>
    </row>
    <row r="9" spans="1:9">
      <c r="A9" s="3467"/>
      <c r="B9" s="3468" t="s">
        <v>2488</v>
      </c>
      <c r="C9" s="3468"/>
      <c r="D9" s="2510"/>
      <c r="E9" s="2508"/>
      <c r="F9" s="2511"/>
      <c r="G9" s="2511"/>
      <c r="H9" s="2512"/>
      <c r="I9" s="2513">
        <f t="shared" si="0"/>
        <v>0</v>
      </c>
    </row>
    <row r="10" spans="1:9">
      <c r="A10" s="3467"/>
      <c r="B10" s="3469" t="s">
        <v>2489</v>
      </c>
      <c r="C10" s="3469"/>
      <c r="D10" s="2514">
        <v>527</v>
      </c>
      <c r="E10" s="2514" t="e">
        <f>ROUND(D1*10000/D10/H9,0)</f>
        <v>#DIV/0!</v>
      </c>
      <c r="F10" s="2515"/>
      <c r="G10" s="2515"/>
      <c r="H10" s="2516"/>
      <c r="I10" s="2517">
        <f>SUM(I3:I9)</f>
        <v>0</v>
      </c>
    </row>
    <row r="11" spans="1:9" ht="14.25">
      <c r="A11" s="3467" t="s">
        <v>2490</v>
      </c>
      <c r="B11" s="3468" t="s">
        <v>2491</v>
      </c>
      <c r="C11" s="3468"/>
      <c r="D11" s="2510" t="s">
        <v>2492</v>
      </c>
      <c r="E11" s="2510" t="s">
        <v>2493</v>
      </c>
      <c r="F11" s="2511" t="s">
        <v>2494</v>
      </c>
      <c r="G11" s="2511" t="s">
        <v>2495</v>
      </c>
      <c r="H11" s="2518" t="s">
        <v>2496</v>
      </c>
      <c r="I11" s="2509" t="s">
        <v>2497</v>
      </c>
    </row>
    <row r="12" spans="1:9">
      <c r="A12" s="3467"/>
      <c r="B12" s="3468" t="s">
        <v>2498</v>
      </c>
      <c r="C12" s="3468"/>
      <c r="D12" s="2510"/>
      <c r="E12" s="2510"/>
      <c r="F12" s="2511"/>
      <c r="G12" s="2512"/>
      <c r="H12" s="2519"/>
      <c r="I12" s="2509">
        <f>ROUND(D12*E12*F12*G12/10000,0)</f>
        <v>0</v>
      </c>
    </row>
    <row r="13" spans="1:9">
      <c r="A13" s="3467"/>
      <c r="B13" s="3468" t="s">
        <v>2499</v>
      </c>
      <c r="C13" s="3468"/>
      <c r="D13" s="2510"/>
      <c r="E13" s="2510"/>
      <c r="F13" s="2511"/>
      <c r="G13" s="2512"/>
      <c r="H13" s="2519"/>
      <c r="I13" s="2509">
        <f>ROUND(D13*E13*F13*G13/10000,0)</f>
        <v>0</v>
      </c>
    </row>
    <row r="14" spans="1:9">
      <c r="A14" s="3467"/>
      <c r="B14" s="3468" t="s">
        <v>2500</v>
      </c>
      <c r="C14" s="3468"/>
      <c r="D14" s="2510"/>
      <c r="E14" s="2510"/>
      <c r="F14" s="2511"/>
      <c r="G14" s="2512"/>
      <c r="H14" s="2519"/>
      <c r="I14" s="2509">
        <f>ROUND(D14*E14*F14*G14/10000,0)</f>
        <v>0</v>
      </c>
    </row>
    <row r="15" spans="1:9">
      <c r="A15" s="3467"/>
      <c r="B15" s="3469" t="s">
        <v>2489</v>
      </c>
      <c r="C15" s="3469"/>
      <c r="D15" s="2514"/>
      <c r="E15" s="2514">
        <f>SUM(E12:E14)</f>
        <v>0</v>
      </c>
      <c r="F15" s="2515"/>
      <c r="G15" s="2512"/>
      <c r="H15" s="2519"/>
      <c r="I15" s="2520">
        <f>SUM(I12:I14)</f>
        <v>0</v>
      </c>
    </row>
    <row r="16" spans="1:9" ht="24">
      <c r="A16" s="3467" t="s">
        <v>2501</v>
      </c>
      <c r="B16" s="3468" t="s">
        <v>2502</v>
      </c>
      <c r="C16" s="3468"/>
      <c r="D16" s="2510" t="s">
        <v>2503</v>
      </c>
      <c r="E16" s="2521" t="s">
        <v>2504</v>
      </c>
      <c r="F16" s="2511" t="s">
        <v>2505</v>
      </c>
      <c r="G16" s="2512" t="s">
        <v>2495</v>
      </c>
      <c r="H16" s="2518" t="s">
        <v>2496</v>
      </c>
      <c r="I16" s="2509" t="s">
        <v>2497</v>
      </c>
    </row>
    <row r="17" spans="1:9" ht="14.25">
      <c r="A17" s="3467"/>
      <c r="B17" s="3468" t="s">
        <v>2506</v>
      </c>
      <c r="C17" s="3468"/>
      <c r="D17" s="2510"/>
      <c r="E17" s="2510"/>
      <c r="F17" s="2511"/>
      <c r="G17" s="2512"/>
      <c r="H17" s="2522"/>
      <c r="I17" s="2523">
        <f>ROUND(D17*E17*F17*G17/10000,0)</f>
        <v>0</v>
      </c>
    </row>
    <row r="18" spans="1:9" ht="14.25">
      <c r="A18" s="3467"/>
      <c r="B18" s="3468" t="s">
        <v>2507</v>
      </c>
      <c r="C18" s="3468"/>
      <c r="D18" s="2510"/>
      <c r="E18" s="2510"/>
      <c r="F18" s="2511"/>
      <c r="G18" s="2512"/>
      <c r="H18" s="2522"/>
      <c r="I18" s="2523">
        <f>ROUND(D18*E18*F18*G18/10000,0)</f>
        <v>0</v>
      </c>
    </row>
    <row r="19" spans="1:9" ht="14.25">
      <c r="A19" s="3467"/>
      <c r="B19" s="3468" t="s">
        <v>2508</v>
      </c>
      <c r="C19" s="3468"/>
      <c r="D19" s="2510"/>
      <c r="E19" s="2510"/>
      <c r="F19" s="2511"/>
      <c r="G19" s="2512"/>
      <c r="H19" s="2522"/>
      <c r="I19" s="2523">
        <f>ROUND(D19*E19*F19*G19/10000,0)</f>
        <v>0</v>
      </c>
    </row>
    <row r="20" spans="1:9">
      <c r="A20" s="3467"/>
      <c r="B20" s="3469" t="s">
        <v>2489</v>
      </c>
      <c r="C20" s="3469"/>
      <c r="D20" s="2514">
        <f>SUM(D17:D19)</f>
        <v>0</v>
      </c>
      <c r="E20" s="2514"/>
      <c r="F20" s="2515"/>
      <c r="G20" s="2512"/>
      <c r="H20" s="2519"/>
      <c r="I20" s="2520">
        <f>SUM(I17:I19)</f>
        <v>0</v>
      </c>
    </row>
    <row r="21" spans="1:9">
      <c r="A21" s="3467" t="s">
        <v>2509</v>
      </c>
      <c r="B21" s="3471"/>
      <c r="C21" s="3471"/>
      <c r="D21" s="3471"/>
      <c r="E21" s="3471"/>
      <c r="F21" s="3471"/>
      <c r="G21" s="3471"/>
      <c r="H21" s="2524">
        <v>0.1</v>
      </c>
      <c r="I21" s="2517">
        <f>ROUND(I10*H21,0)</f>
        <v>0</v>
      </c>
    </row>
    <row r="22" spans="1:9" ht="14.25">
      <c r="A22" s="3472" t="s">
        <v>2510</v>
      </c>
      <c r="B22" s="3473"/>
      <c r="C22" s="3474"/>
      <c r="D22" s="2525" t="s">
        <v>2511</v>
      </c>
      <c r="E22" s="2525" t="s">
        <v>2512</v>
      </c>
      <c r="F22" s="2526" t="s">
        <v>2513</v>
      </c>
      <c r="G22" s="2526" t="s">
        <v>2514</v>
      </c>
      <c r="H22" s="2518" t="s">
        <v>2515</v>
      </c>
      <c r="I22" s="2509" t="s">
        <v>2516</v>
      </c>
    </row>
    <row r="23" spans="1:9" ht="14.25" thickBot="1">
      <c r="A23" s="3475"/>
      <c r="B23" s="3476"/>
      <c r="C23" s="3477"/>
      <c r="D23" s="2527"/>
      <c r="E23" s="2527"/>
      <c r="F23" s="2527"/>
      <c r="G23" s="2528"/>
      <c r="H23" s="2529"/>
      <c r="I23" s="2530">
        <f>ROUND(E23*D23*F23*(1-G23)/10000,0)</f>
        <v>0</v>
      </c>
    </row>
    <row r="26" spans="1:9">
      <c r="A26" s="2531" t="s">
        <v>2517</v>
      </c>
      <c r="B26" s="2531"/>
      <c r="C26" s="2531"/>
      <c r="D26" s="2531"/>
      <c r="E26" s="3478">
        <f>C27-C30-C31-C32</f>
        <v>0</v>
      </c>
      <c r="F26" s="3478"/>
      <c r="G26" s="3478"/>
      <c r="H26" s="3045" t="s">
        <v>2845</v>
      </c>
    </row>
    <row r="27" spans="1:9">
      <c r="A27" s="2532">
        <v>1</v>
      </c>
      <c r="B27" s="2533" t="s">
        <v>2518</v>
      </c>
      <c r="C27" s="2533"/>
      <c r="D27" s="2533"/>
      <c r="E27" s="3479"/>
      <c r="F27" s="3479"/>
      <c r="G27" s="3479"/>
    </row>
    <row r="28" spans="1:9">
      <c r="A28" s="2534" t="s">
        <v>2519</v>
      </c>
      <c r="B28" s="2533" t="s">
        <v>2520</v>
      </c>
      <c r="C28" s="2533"/>
      <c r="D28" s="2533"/>
      <c r="E28" s="3479"/>
      <c r="F28" s="3479"/>
      <c r="G28" s="3479"/>
    </row>
    <row r="29" spans="1:9">
      <c r="A29" s="2534" t="s">
        <v>2521</v>
      </c>
      <c r="B29" s="2533" t="s">
        <v>2462</v>
      </c>
      <c r="C29" s="2533"/>
      <c r="D29" s="2533"/>
      <c r="E29" s="2533" t="s">
        <v>2522</v>
      </c>
      <c r="F29" s="2533"/>
      <c r="G29" s="2533"/>
    </row>
    <row r="30" spans="1:9">
      <c r="A30" s="2532">
        <v>2</v>
      </c>
      <c r="B30" s="2533" t="s">
        <v>2523</v>
      </c>
      <c r="C30" s="2533">
        <f>C27*D30</f>
        <v>0</v>
      </c>
      <c r="D30" s="2535">
        <v>0.2</v>
      </c>
      <c r="E30" s="2533" t="s">
        <v>2524</v>
      </c>
      <c r="F30" s="2533"/>
      <c r="G30" s="2533"/>
    </row>
    <row r="31" spans="1:9">
      <c r="A31" s="2532">
        <v>3</v>
      </c>
      <c r="B31" s="2533" t="s">
        <v>2525</v>
      </c>
      <c r="C31" s="2533">
        <f>C25*D31</f>
        <v>0</v>
      </c>
      <c r="D31" s="2535">
        <v>0.15</v>
      </c>
      <c r="E31" s="2533" t="s">
        <v>2526</v>
      </c>
      <c r="F31" s="2533"/>
      <c r="G31" s="2533"/>
    </row>
    <row r="32" spans="1:9">
      <c r="A32" s="2532">
        <v>4</v>
      </c>
      <c r="B32" s="2533" t="s">
        <v>2527</v>
      </c>
      <c r="C32" s="2533">
        <f>C27*D32</f>
        <v>0</v>
      </c>
      <c r="D32" s="2535">
        <v>0.05</v>
      </c>
      <c r="E32" s="3470"/>
      <c r="F32" s="3470"/>
      <c r="G32" s="3470"/>
    </row>
    <row r="33" spans="1:7" hidden="1">
      <c r="A33" s="3480" t="s">
        <v>2528</v>
      </c>
      <c r="B33" s="3481"/>
      <c r="C33" s="3481"/>
      <c r="D33" s="3482"/>
      <c r="E33" s="3478"/>
      <c r="F33" s="3478"/>
      <c r="G33" s="3478"/>
    </row>
    <row r="34" spans="1:7" hidden="1">
      <c r="A34" s="2536">
        <v>1</v>
      </c>
      <c r="B34" s="2533" t="s">
        <v>2529</v>
      </c>
      <c r="C34" s="2533"/>
      <c r="D34" s="2533"/>
      <c r="E34" s="3479"/>
      <c r="F34" s="3479"/>
      <c r="G34" s="3479"/>
    </row>
    <row r="35" spans="1:7" hidden="1">
      <c r="A35" s="2536">
        <v>2</v>
      </c>
      <c r="B35" s="2533" t="s">
        <v>2530</v>
      </c>
      <c r="C35" s="2533"/>
      <c r="D35" s="2533"/>
      <c r="E35" s="3479"/>
      <c r="F35" s="3479"/>
      <c r="G35" s="3479"/>
    </row>
    <row r="36" spans="1:7" hidden="1">
      <c r="A36" s="2536">
        <v>3</v>
      </c>
      <c r="B36" s="2533" t="s">
        <v>2531</v>
      </c>
      <c r="C36" s="2533"/>
      <c r="D36" s="2533"/>
      <c r="E36" s="3479"/>
      <c r="F36" s="3479"/>
      <c r="G36" s="3479"/>
    </row>
    <row r="37" spans="1:7" hidden="1">
      <c r="A37" s="2536">
        <v>4</v>
      </c>
      <c r="B37" s="2533" t="s">
        <v>2532</v>
      </c>
      <c r="C37" s="2533"/>
      <c r="D37" s="2533"/>
      <c r="E37" s="3479"/>
      <c r="F37" s="3479"/>
      <c r="G37" s="3479"/>
    </row>
    <row r="38" spans="1:7" hidden="1">
      <c r="A38" s="3480" t="s">
        <v>2533</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J57" sqref="J5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2442</v>
      </c>
      <c r="B8" s="2473" t="s">
        <v>2444</v>
      </c>
      <c r="C8" s="2474"/>
      <c r="D8" s="749"/>
      <c r="E8" s="750"/>
      <c r="F8" s="750"/>
      <c r="G8" s="751"/>
    </row>
    <row r="9" spans="1:25" s="2184" customFormat="1" ht="13.5" customHeight="1">
      <c r="A9" s="2470" t="s">
        <v>2443</v>
      </c>
      <c r="B9" s="2473" t="s">
        <v>2445</v>
      </c>
      <c r="C9" s="2474"/>
      <c r="D9" s="749"/>
      <c r="E9" s="750"/>
      <c r="F9" s="750"/>
      <c r="G9" s="751"/>
    </row>
    <row r="10" spans="1:25" s="2184" customFormat="1" ht="36">
      <c r="A10" s="2470">
        <v>2</v>
      </c>
      <c r="B10" s="748" t="s">
        <v>613</v>
      </c>
      <c r="C10" s="749">
        <f>C11+C14+C15</f>
        <v>0</v>
      </c>
      <c r="D10" s="760">
        <f>'数据-汇总表'!E3</f>
        <v>124676.06000000001</v>
      </c>
      <c r="E10" s="749">
        <f>'数据-取费表'!B31</f>
        <v>200</v>
      </c>
      <c r="F10" s="761"/>
      <c r="G10" s="759" t="s">
        <v>614</v>
      </c>
    </row>
    <row r="11" spans="1:25" s="2184" customFormat="1" ht="13.5" customHeight="1">
      <c r="A11" s="2470" t="s">
        <v>2442</v>
      </c>
      <c r="B11" s="752" t="s">
        <v>610</v>
      </c>
      <c r="C11" s="753">
        <f>'数据-取费表'!B29</f>
        <v>0</v>
      </c>
      <c r="D11" s="754"/>
      <c r="E11" s="753"/>
      <c r="F11" s="755"/>
      <c r="G11" s="2479" t="s">
        <v>2453</v>
      </c>
    </row>
    <row r="12" spans="1:25" s="2184" customFormat="1" ht="13.5" customHeight="1">
      <c r="A12" s="2477" t="s">
        <v>2450</v>
      </c>
      <c r="B12" s="756" t="s">
        <v>611</v>
      </c>
      <c r="C12" s="757">
        <f>ROUND(D12*E12/10000,0)</f>
        <v>0</v>
      </c>
      <c r="D12" s="758">
        <f>'数据-汇总表'!E5</f>
        <v>0</v>
      </c>
      <c r="E12" s="757">
        <f>'数据-取费表'!B27</f>
        <v>120</v>
      </c>
      <c r="F12" s="755"/>
      <c r="G12" s="759"/>
    </row>
    <row r="13" spans="1:25" s="2184" customFormat="1" ht="13.5" customHeight="1">
      <c r="A13" s="2477" t="s">
        <v>2449</v>
      </c>
      <c r="B13" s="756" t="s">
        <v>612</v>
      </c>
      <c r="C13" s="757">
        <f>ROUND(D13*E13/10000,0)</f>
        <v>1496</v>
      </c>
      <c r="D13" s="758">
        <f>'数据-汇总表'!E6</f>
        <v>124676.06000000001</v>
      </c>
      <c r="E13" s="757">
        <f>'数据-取费表'!B28</f>
        <v>120</v>
      </c>
      <c r="F13" s="755"/>
      <c r="G13" s="759"/>
    </row>
    <row r="14" spans="1:25" s="2184" customFormat="1" ht="13.5" customHeight="1">
      <c r="A14" s="2470" t="s">
        <v>2443</v>
      </c>
      <c r="B14" s="2476" t="s">
        <v>2446</v>
      </c>
      <c r="C14" s="2474"/>
      <c r="D14" s="758"/>
      <c r="E14" s="757"/>
      <c r="F14" s="2475"/>
      <c r="G14" s="2478" t="s">
        <v>2451</v>
      </c>
    </row>
    <row r="15" spans="1:25" s="2184" customFormat="1" ht="13.5" customHeight="1">
      <c r="A15" s="2470" t="s">
        <v>2448</v>
      </c>
      <c r="B15" s="2476" t="s">
        <v>2447</v>
      </c>
      <c r="C15" s="2474"/>
      <c r="D15" s="758"/>
      <c r="E15" s="757"/>
      <c r="F15" s="2475"/>
      <c r="G15" s="2478" t="s">
        <v>2452</v>
      </c>
    </row>
    <row r="16" spans="1:25" s="2185" customFormat="1" ht="48">
      <c r="A16" s="2470">
        <v>3</v>
      </c>
      <c r="B16" s="748" t="s">
        <v>615</v>
      </c>
      <c r="C16" s="2474"/>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0.78700000000000003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J57" sqref="J5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6" t="s">
        <v>522</v>
      </c>
      <c r="D4" s="3377"/>
      <c r="E4" s="3411" t="s">
        <v>523</v>
      </c>
      <c r="F4" s="3412"/>
      <c r="G4" s="3376" t="s">
        <v>524</v>
      </c>
      <c r="H4" s="3377"/>
      <c r="I4" s="3376" t="s">
        <v>525</v>
      </c>
      <c r="J4" s="3377"/>
      <c r="K4" s="853"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2930</v>
      </c>
      <c r="D5" s="3393"/>
      <c r="E5" s="3413" t="s">
        <v>2931</v>
      </c>
      <c r="F5" s="3414"/>
      <c r="G5" s="3392" t="s">
        <v>2932</v>
      </c>
      <c r="H5" s="3393"/>
      <c r="I5" s="3392" t="s">
        <v>2933</v>
      </c>
      <c r="J5" s="3393"/>
      <c r="K5" s="85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409" t="s">
        <v>2934</v>
      </c>
      <c r="F6" s="3410"/>
      <c r="G6" s="3390" t="s">
        <v>2934</v>
      </c>
      <c r="H6" s="3391"/>
      <c r="I6" s="3390" t="s">
        <v>2934</v>
      </c>
      <c r="J6" s="3391"/>
      <c r="K6" s="85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913"/>
      <c r="B7" s="2920" t="s">
        <v>529</v>
      </c>
      <c r="C7" s="519">
        <f>'数据-取费表'!B2</f>
        <v>43342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2" t="s">
        <v>530</v>
      </c>
      <c r="Q7" s="3404"/>
      <c r="R7" s="1569" t="s">
        <v>13</v>
      </c>
      <c r="S7" s="1570">
        <f t="shared" ref="S7:S15" si="0">F7</f>
        <v>0</v>
      </c>
      <c r="T7" s="1569" t="s">
        <v>13</v>
      </c>
      <c r="U7" s="1570">
        <f t="shared" ref="U7:U15" si="1">H7</f>
        <v>0</v>
      </c>
      <c r="V7" s="1569" t="s">
        <v>13</v>
      </c>
      <c r="W7" s="1570">
        <f t="shared" ref="W7:W15"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2" t="s">
        <v>533</v>
      </c>
      <c r="Q8" s="3403"/>
      <c r="R8" s="1569" t="s">
        <v>13</v>
      </c>
      <c r="S8" s="1570">
        <f t="shared" si="0"/>
        <v>0</v>
      </c>
      <c r="T8" s="1569" t="s">
        <v>13</v>
      </c>
      <c r="U8" s="1570">
        <f t="shared" si="1"/>
        <v>0</v>
      </c>
      <c r="V8" s="1569" t="s">
        <v>13</v>
      </c>
      <c r="W8" s="1570">
        <f t="shared" si="2"/>
        <v>0</v>
      </c>
      <c r="X8" s="1571"/>
      <c r="Y8" s="3402" t="s">
        <v>533</v>
      </c>
      <c r="Z8" s="3403"/>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1" t="s">
        <v>2760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0"/>
      <c r="Q11" s="1151" t="str">
        <f t="shared" si="6"/>
        <v>容积率</v>
      </c>
      <c r="R11" s="1569" t="s">
        <v>11</v>
      </c>
      <c r="S11" s="1570" t="e">
        <f t="shared" si="0"/>
        <v>#N/A</v>
      </c>
      <c r="T11" s="1569" t="s">
        <v>11</v>
      </c>
      <c r="U11" s="1570" t="e">
        <f t="shared" si="1"/>
        <v>#N/A</v>
      </c>
      <c r="V11" s="1569" t="s">
        <v>11</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0"/>
      <c r="Q12" s="1151">
        <f t="shared" si="6"/>
        <v>111</v>
      </c>
      <c r="R12" s="1569" t="s">
        <v>11</v>
      </c>
      <c r="S12" s="1570">
        <f t="shared" si="0"/>
        <v>100</v>
      </c>
      <c r="T12" s="1569" t="s">
        <v>11</v>
      </c>
      <c r="U12" s="1570">
        <f t="shared" si="1"/>
        <v>100</v>
      </c>
      <c r="V12" s="1569" t="s">
        <v>11</v>
      </c>
      <c r="W12" s="1570">
        <f t="shared" si="2"/>
        <v>100</v>
      </c>
      <c r="X12" s="1571"/>
      <c r="Y12" s="3316"/>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0"/>
      <c r="Q13" s="1151">
        <f t="shared" si="6"/>
        <v>111</v>
      </c>
      <c r="R13" s="1569" t="s">
        <v>11</v>
      </c>
      <c r="S13" s="1570">
        <f t="shared" si="0"/>
        <v>100</v>
      </c>
      <c r="T13" s="1569" t="s">
        <v>11</v>
      </c>
      <c r="U13" s="1570">
        <f t="shared" si="1"/>
        <v>100</v>
      </c>
      <c r="V13" s="1569" t="s">
        <v>11</v>
      </c>
      <c r="W13" s="1570">
        <f t="shared" si="2"/>
        <v>100</v>
      </c>
      <c r="X13" s="1571"/>
      <c r="Y13" s="3316"/>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0"/>
      <c r="Q14" s="1151">
        <f t="shared" si="6"/>
        <v>111</v>
      </c>
      <c r="R14" s="1569" t="s">
        <v>11</v>
      </c>
      <c r="S14" s="1570">
        <f t="shared" si="0"/>
        <v>100</v>
      </c>
      <c r="T14" s="1569" t="s">
        <v>11</v>
      </c>
      <c r="U14" s="1570">
        <f t="shared" si="1"/>
        <v>100</v>
      </c>
      <c r="V14" s="1569" t="s">
        <v>11</v>
      </c>
      <c r="W14" s="1570">
        <f t="shared" si="2"/>
        <v>100</v>
      </c>
      <c r="X14" s="1571"/>
      <c r="Y14" s="3316"/>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5" t="s">
        <v>540</v>
      </c>
      <c r="Q15" s="1573" t="str">
        <f t="shared" si="6"/>
        <v>居住社区成熟度</v>
      </c>
      <c r="R15" s="1574" t="s">
        <v>11</v>
      </c>
      <c r="S15" s="1575">
        <f t="shared" si="0"/>
        <v>100</v>
      </c>
      <c r="T15" s="1574" t="s">
        <v>11</v>
      </c>
      <c r="U15" s="1575">
        <f t="shared" si="1"/>
        <v>100</v>
      </c>
      <c r="V15" s="1574" t="s">
        <v>11</v>
      </c>
      <c r="W15" s="1575">
        <f t="shared" si="2"/>
        <v>100</v>
      </c>
      <c r="X15" s="1568"/>
      <c r="Y15" s="340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6"/>
      <c r="Q16" s="1573"/>
      <c r="R16" s="1574"/>
      <c r="S16" s="1575"/>
      <c r="T16" s="1574"/>
      <c r="U16" s="1575"/>
      <c r="V16" s="1574"/>
      <c r="W16" s="1575"/>
      <c r="X16" s="1568"/>
      <c r="Y16" s="3406"/>
      <c r="Z16" s="1576"/>
      <c r="AA16" s="1577">
        <v>1</v>
      </c>
      <c r="AB16" s="1577">
        <v>1</v>
      </c>
      <c r="AC16" s="1577">
        <v>1</v>
      </c>
    </row>
    <row r="17" spans="1:29" ht="99.75">
      <c r="A17" s="532"/>
      <c r="B17" s="871" t="s">
        <v>296</v>
      </c>
      <c r="C17" s="872" t="str">
        <f>估价对象房地状况!C6</f>
        <v>估价对象周边道路状况较好、公共交通通达情况较好、停车便捷程度较好，综合评价交通便捷度较好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6"/>
      <c r="Q17" s="1573" t="str">
        <f>B17</f>
        <v>交通便捷度</v>
      </c>
      <c r="R17" s="1574" t="s">
        <v>11</v>
      </c>
      <c r="S17" s="1575">
        <f>F17</f>
        <v>100</v>
      </c>
      <c r="T17" s="1574" t="s">
        <v>11</v>
      </c>
      <c r="U17" s="1575">
        <f>H17</f>
        <v>100</v>
      </c>
      <c r="V17" s="1574" t="s">
        <v>11</v>
      </c>
      <c r="W17" s="1575">
        <f>J17</f>
        <v>100</v>
      </c>
      <c r="X17" s="1568"/>
      <c r="Y17" s="34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6"/>
      <c r="Q18" s="1573"/>
      <c r="R18" s="1574"/>
      <c r="S18" s="1575"/>
      <c r="T18" s="1574"/>
      <c r="U18" s="1575"/>
      <c r="V18" s="1574"/>
      <c r="W18" s="1575"/>
      <c r="X18" s="1568"/>
      <c r="Y18" s="3406"/>
      <c r="Z18" s="1576"/>
      <c r="AA18" s="1577">
        <v>1</v>
      </c>
      <c r="AB18" s="1577">
        <v>1</v>
      </c>
      <c r="AC18" s="1577">
        <v>1</v>
      </c>
    </row>
    <row r="19" spans="1:29" ht="42.75">
      <c r="A19" s="532"/>
      <c r="B19" s="2601" t="s">
        <v>2548</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6"/>
      <c r="Q19" s="1573" t="str">
        <f>B19</f>
        <v>公共配套设施</v>
      </c>
      <c r="R19" s="1574" t="s">
        <v>11</v>
      </c>
      <c r="S19" s="1575">
        <f>F19</f>
        <v>100</v>
      </c>
      <c r="T19" s="1574" t="s">
        <v>11</v>
      </c>
      <c r="U19" s="1575">
        <f>H19</f>
        <v>100</v>
      </c>
      <c r="V19" s="1574" t="s">
        <v>11</v>
      </c>
      <c r="W19" s="1575">
        <f>J19</f>
        <v>100</v>
      </c>
      <c r="X19" s="1568"/>
      <c r="Y19" s="34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6"/>
      <c r="Q20" s="1573"/>
      <c r="R20" s="1574"/>
      <c r="S20" s="1575"/>
      <c r="T20" s="1574"/>
      <c r="U20" s="1575"/>
      <c r="V20" s="1574"/>
      <c r="W20" s="1575"/>
      <c r="X20" s="1568"/>
      <c r="Y20" s="3406"/>
      <c r="Z20" s="1576"/>
      <c r="AA20" s="1577">
        <v>1</v>
      </c>
      <c r="AB20" s="1577">
        <v>1</v>
      </c>
      <c r="AC20" s="1577">
        <v>1</v>
      </c>
    </row>
    <row r="21" spans="1:29" ht="42.75">
      <c r="A21" s="532"/>
      <c r="B21" s="2594" t="s">
        <v>2560</v>
      </c>
      <c r="C21" s="872" t="str">
        <f>估价对象房地状况!C8</f>
        <v>估价对象所在区域基础设施水平达到七通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6"/>
      <c r="Q21" s="2580" t="str">
        <f>B21</f>
        <v>基础设施水平</v>
      </c>
      <c r="R21" s="1574" t="s">
        <v>11</v>
      </c>
      <c r="S21" s="1575">
        <f>F21</f>
        <v>100</v>
      </c>
      <c r="T21" s="1574" t="s">
        <v>11</v>
      </c>
      <c r="U21" s="1575">
        <f>H21</f>
        <v>100</v>
      </c>
      <c r="V21" s="1574" t="s">
        <v>11</v>
      </c>
      <c r="W21" s="1575">
        <f>J21</f>
        <v>100</v>
      </c>
      <c r="X21" s="2582"/>
      <c r="Y21" s="3406"/>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3"/>
      <c r="M22" s="2135"/>
      <c r="N22" s="2135"/>
      <c r="O22" s="2142"/>
      <c r="P22" s="3406"/>
      <c r="Q22" s="2580"/>
      <c r="R22" s="1574"/>
      <c r="S22" s="1575"/>
      <c r="T22" s="1574"/>
      <c r="U22" s="1575"/>
      <c r="V22" s="1574"/>
      <c r="W22" s="1575"/>
      <c r="X22" s="2582"/>
      <c r="Y22" s="3406"/>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6"/>
      <c r="Q23" s="1573" t="str">
        <f>B23</f>
        <v>自然及人文环境</v>
      </c>
      <c r="R23" s="1574" t="s">
        <v>11</v>
      </c>
      <c r="S23" s="1575">
        <f>F23</f>
        <v>100</v>
      </c>
      <c r="T23" s="1574" t="s">
        <v>11</v>
      </c>
      <c r="U23" s="1575">
        <f>H23</f>
        <v>100</v>
      </c>
      <c r="V23" s="1574" t="s">
        <v>11</v>
      </c>
      <c r="W23" s="1575">
        <f>J23</f>
        <v>100</v>
      </c>
      <c r="X23" s="1568"/>
      <c r="Y23" s="34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6"/>
      <c r="Q24" s="1573"/>
      <c r="R24" s="1574"/>
      <c r="S24" s="1575"/>
      <c r="T24" s="1574"/>
      <c r="U24" s="1575"/>
      <c r="V24" s="1574"/>
      <c r="W24" s="1575"/>
      <c r="X24" s="1568"/>
      <c r="Y24" s="3406"/>
      <c r="Z24" s="1576"/>
      <c r="AA24" s="1577">
        <v>1</v>
      </c>
      <c r="AB24" s="1577">
        <v>1</v>
      </c>
      <c r="AC24" s="1577">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6"/>
      <c r="Q25" s="1573" t="str">
        <f t="shared" ref="Q25:Q46" si="11">B25</f>
        <v>楼层-1</v>
      </c>
      <c r="R25" s="1574" t="s">
        <v>11</v>
      </c>
      <c r="S25" s="1575">
        <f>F25</f>
        <v>100</v>
      </c>
      <c r="T25" s="1574" t="s">
        <v>11</v>
      </c>
      <c r="U25" s="1575">
        <f>H25</f>
        <v>100</v>
      </c>
      <c r="V25" s="1574" t="s">
        <v>11</v>
      </c>
      <c r="W25" s="1575">
        <f>J25</f>
        <v>100</v>
      </c>
      <c r="X25" s="1568"/>
      <c r="Y25" s="340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6"/>
      <c r="Q26" s="1573" t="str">
        <f t="shared" si="11"/>
        <v>朝向</v>
      </c>
      <c r="R26" s="1574" t="s">
        <v>11</v>
      </c>
      <c r="S26" s="1575">
        <f>F26</f>
        <v>100</v>
      </c>
      <c r="T26" s="1574" t="s">
        <v>11</v>
      </c>
      <c r="U26" s="1575">
        <f>H26</f>
        <v>100</v>
      </c>
      <c r="V26" s="1574" t="s">
        <v>11</v>
      </c>
      <c r="W26" s="1575">
        <f>J26</f>
        <v>100</v>
      </c>
      <c r="X26" s="1568"/>
      <c r="Y26" s="340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6"/>
      <c r="Q27" s="1151" t="str">
        <f t="shared" si="11"/>
        <v>道路级别</v>
      </c>
      <c r="R27" s="1569" t="s">
        <v>11</v>
      </c>
      <c r="S27" s="1570">
        <f>F27</f>
        <v>100</v>
      </c>
      <c r="T27" s="1569" t="s">
        <v>11</v>
      </c>
      <c r="U27" s="1570">
        <f>H27</f>
        <v>100</v>
      </c>
      <c r="V27" s="1569" t="s">
        <v>11</v>
      </c>
      <c r="W27" s="1570">
        <f>J27</f>
        <v>100</v>
      </c>
      <c r="X27" s="1571"/>
      <c r="Y27" s="340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6"/>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6"/>
      <c r="Q29" s="1573">
        <f t="shared" si="11"/>
        <v>111</v>
      </c>
      <c r="R29" s="1574" t="s">
        <v>11</v>
      </c>
      <c r="S29" s="1575">
        <f t="shared" si="12"/>
        <v>100</v>
      </c>
      <c r="T29" s="1574" t="s">
        <v>11</v>
      </c>
      <c r="U29" s="1575">
        <f t="shared" si="13"/>
        <v>100</v>
      </c>
      <c r="V29" s="1574" t="s">
        <v>11</v>
      </c>
      <c r="W29" s="1575">
        <f t="shared" si="14"/>
        <v>100</v>
      </c>
      <c r="X29" s="1568"/>
      <c r="Y29" s="34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6"/>
      <c r="Q30" s="1573">
        <f t="shared" si="11"/>
        <v>111</v>
      </c>
      <c r="R30" s="1574" t="s">
        <v>11</v>
      </c>
      <c r="S30" s="1575">
        <f t="shared" si="12"/>
        <v>100</v>
      </c>
      <c r="T30" s="1574" t="s">
        <v>11</v>
      </c>
      <c r="U30" s="1575">
        <f t="shared" si="13"/>
        <v>100</v>
      </c>
      <c r="V30" s="1574" t="s">
        <v>11</v>
      </c>
      <c r="W30" s="1575">
        <f t="shared" si="14"/>
        <v>100</v>
      </c>
      <c r="X30" s="1568"/>
      <c r="Y30" s="340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6"/>
      <c r="Q31" s="1573">
        <f t="shared" si="11"/>
        <v>111</v>
      </c>
      <c r="R31" s="1574" t="s">
        <v>11</v>
      </c>
      <c r="S31" s="1575">
        <f t="shared" si="12"/>
        <v>100</v>
      </c>
      <c r="T31" s="1574" t="s">
        <v>11</v>
      </c>
      <c r="U31" s="1575">
        <f t="shared" si="13"/>
        <v>100</v>
      </c>
      <c r="V31" s="1574" t="s">
        <v>11</v>
      </c>
      <c r="W31" s="1575">
        <f t="shared" si="14"/>
        <v>100</v>
      </c>
      <c r="X31" s="1568"/>
      <c r="Y31" s="3406"/>
      <c r="Z31" s="1576">
        <f t="shared" si="15"/>
        <v>111</v>
      </c>
      <c r="AA31" s="1577">
        <f t="shared" si="3"/>
        <v>1</v>
      </c>
      <c r="AB31" s="1577">
        <f t="shared" si="4"/>
        <v>1</v>
      </c>
      <c r="AC31" s="1577">
        <f t="shared" si="5"/>
        <v>1</v>
      </c>
    </row>
    <row r="32" spans="1:29" ht="15">
      <c r="A32" s="2908" t="s">
        <v>2757</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7" t="s">
        <v>550</v>
      </c>
      <c r="Q32" s="1573" t="str">
        <f t="shared" si="11"/>
        <v>建筑类型</v>
      </c>
      <c r="R32" s="1574" t="s">
        <v>11</v>
      </c>
      <c r="S32" s="1575">
        <f t="shared" si="12"/>
        <v>100</v>
      </c>
      <c r="T32" s="1574" t="s">
        <v>11</v>
      </c>
      <c r="U32" s="1575">
        <f t="shared" si="13"/>
        <v>100</v>
      </c>
      <c r="V32" s="1574" t="s">
        <v>11</v>
      </c>
      <c r="W32" s="1575">
        <f t="shared" si="14"/>
        <v>100</v>
      </c>
      <c r="X32" s="1568"/>
      <c r="Y32" s="340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8"/>
      <c r="Q33" s="1606" t="str">
        <f t="shared" si="11"/>
        <v>项目建筑规模</v>
      </c>
      <c r="R33" s="1578" t="s">
        <v>11</v>
      </c>
      <c r="S33" s="1579" t="e">
        <f t="shared" si="12"/>
        <v>#N/A</v>
      </c>
      <c r="T33" s="1578" t="s">
        <v>11</v>
      </c>
      <c r="U33" s="1579" t="e">
        <f t="shared" si="13"/>
        <v>#N/A</v>
      </c>
      <c r="V33" s="1578" t="s">
        <v>11</v>
      </c>
      <c r="W33" s="1579" t="e">
        <f t="shared" si="14"/>
        <v>#N/A</v>
      </c>
      <c r="X33" s="1580"/>
      <c r="Y33" s="340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8"/>
      <c r="Q34" s="1573" t="str">
        <f t="shared" si="11"/>
        <v>建筑结构</v>
      </c>
      <c r="R34" s="1574" t="s">
        <v>11</v>
      </c>
      <c r="S34" s="1575">
        <f t="shared" si="12"/>
        <v>100</v>
      </c>
      <c r="T34" s="1574" t="s">
        <v>11</v>
      </c>
      <c r="U34" s="1575">
        <f t="shared" si="13"/>
        <v>100</v>
      </c>
      <c r="V34" s="1574" t="s">
        <v>11</v>
      </c>
      <c r="W34" s="1575">
        <f t="shared" si="14"/>
        <v>100</v>
      </c>
      <c r="X34" s="1568"/>
      <c r="Y34" s="340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8"/>
      <c r="Q35" s="1573" t="str">
        <f t="shared" si="11"/>
        <v>建筑品质</v>
      </c>
      <c r="R35" s="1574" t="s">
        <v>11</v>
      </c>
      <c r="S35" s="1575">
        <f t="shared" si="12"/>
        <v>100</v>
      </c>
      <c r="T35" s="1574" t="s">
        <v>11</v>
      </c>
      <c r="U35" s="1575">
        <f t="shared" si="13"/>
        <v>100</v>
      </c>
      <c r="V35" s="1574" t="s">
        <v>11</v>
      </c>
      <c r="W35" s="1575">
        <f t="shared" si="14"/>
        <v>100</v>
      </c>
      <c r="X35" s="1568"/>
      <c r="Y35" s="340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8"/>
      <c r="Q36" s="1573" t="str">
        <f t="shared" si="11"/>
        <v>公共部分装修</v>
      </c>
      <c r="R36" s="1574" t="s">
        <v>11</v>
      </c>
      <c r="S36" s="1575">
        <f t="shared" si="12"/>
        <v>100</v>
      </c>
      <c r="T36" s="1574" t="s">
        <v>11</v>
      </c>
      <c r="U36" s="1575">
        <f t="shared" si="13"/>
        <v>100</v>
      </c>
      <c r="V36" s="1574" t="s">
        <v>11</v>
      </c>
      <c r="W36" s="1575">
        <f t="shared" si="14"/>
        <v>100</v>
      </c>
      <c r="X36" s="1568"/>
      <c r="Y36" s="340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8"/>
      <c r="Q37" s="1151" t="str">
        <f t="shared" si="11"/>
        <v>成新度</v>
      </c>
      <c r="R37" s="1569" t="s">
        <v>11</v>
      </c>
      <c r="S37" s="1570" t="e">
        <f t="shared" si="12"/>
        <v>#N/A</v>
      </c>
      <c r="T37" s="1569" t="s">
        <v>11</v>
      </c>
      <c r="U37" s="1570" t="e">
        <f t="shared" si="13"/>
        <v>#N/A</v>
      </c>
      <c r="V37" s="1569" t="s">
        <v>11</v>
      </c>
      <c r="W37" s="1570" t="e">
        <f t="shared" si="14"/>
        <v>#N/A</v>
      </c>
      <c r="X37" s="1571"/>
      <c r="Y37" s="340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8" t="s">
        <v>550</v>
      </c>
      <c r="Q38" s="1573" t="str">
        <f t="shared" si="11"/>
        <v>物业管理</v>
      </c>
      <c r="R38" s="1574" t="s">
        <v>11</v>
      </c>
      <c r="S38" s="1575">
        <f t="shared" si="12"/>
        <v>100</v>
      </c>
      <c r="T38" s="1574" t="s">
        <v>11</v>
      </c>
      <c r="U38" s="1575">
        <f t="shared" si="13"/>
        <v>100</v>
      </c>
      <c r="V38" s="1574" t="s">
        <v>11</v>
      </c>
      <c r="W38" s="1575">
        <f t="shared" si="14"/>
        <v>100</v>
      </c>
      <c r="X38" s="1568"/>
      <c r="Y38" s="3408" t="s">
        <v>550</v>
      </c>
      <c r="Z38" s="1576" t="str">
        <f t="shared" si="15"/>
        <v>物业管理</v>
      </c>
      <c r="AA38" s="1577">
        <f t="shared" si="3"/>
        <v>1</v>
      </c>
      <c r="AB38" s="1577">
        <f t="shared" si="4"/>
        <v>1</v>
      </c>
      <c r="AC38" s="1577">
        <f t="shared" si="5"/>
        <v>1</v>
      </c>
    </row>
    <row r="39" spans="1:29" ht="15">
      <c r="A39" s="594"/>
      <c r="B39" s="1896"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8"/>
      <c r="Q39" s="1573" t="str">
        <f t="shared" si="11"/>
        <v>市政基础设施</v>
      </c>
      <c r="R39" s="1574" t="s">
        <v>11</v>
      </c>
      <c r="S39" s="1575">
        <f t="shared" si="12"/>
        <v>100</v>
      </c>
      <c r="T39" s="1574" t="s">
        <v>11</v>
      </c>
      <c r="U39" s="1575">
        <f t="shared" si="13"/>
        <v>100</v>
      </c>
      <c r="V39" s="1574" t="s">
        <v>11</v>
      </c>
      <c r="W39" s="1575">
        <f t="shared" si="14"/>
        <v>100</v>
      </c>
      <c r="X39" s="1568"/>
      <c r="Y39" s="340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8"/>
      <c r="Q40" s="1573" t="str">
        <f t="shared" si="11"/>
        <v>房型</v>
      </c>
      <c r="R40" s="1574" t="s">
        <v>11</v>
      </c>
      <c r="S40" s="1575">
        <f t="shared" si="12"/>
        <v>100</v>
      </c>
      <c r="T40" s="1574" t="s">
        <v>11</v>
      </c>
      <c r="U40" s="1575">
        <f t="shared" si="13"/>
        <v>100</v>
      </c>
      <c r="V40" s="1574" t="s">
        <v>11</v>
      </c>
      <c r="W40" s="1575">
        <f t="shared" si="14"/>
        <v>100</v>
      </c>
      <c r="X40" s="1568"/>
      <c r="Y40" s="340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8"/>
      <c r="Q41" s="1606" t="str">
        <f t="shared" si="11"/>
        <v>单套/主力户型建筑面积</v>
      </c>
      <c r="R41" s="1578" t="s">
        <v>11</v>
      </c>
      <c r="S41" s="1579">
        <f t="shared" si="12"/>
        <v>100</v>
      </c>
      <c r="T41" s="1578" t="s">
        <v>11</v>
      </c>
      <c r="U41" s="1579">
        <f t="shared" si="13"/>
        <v>100</v>
      </c>
      <c r="V41" s="1578" t="s">
        <v>11</v>
      </c>
      <c r="W41" s="1579">
        <f t="shared" si="14"/>
        <v>100</v>
      </c>
      <c r="X41" s="1580"/>
      <c r="Y41" s="340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8"/>
      <c r="Q42" s="1573" t="str">
        <f t="shared" si="11"/>
        <v>内部装修</v>
      </c>
      <c r="R42" s="1574" t="s">
        <v>11</v>
      </c>
      <c r="S42" s="1575">
        <f t="shared" si="12"/>
        <v>100</v>
      </c>
      <c r="T42" s="1574" t="s">
        <v>11</v>
      </c>
      <c r="U42" s="1575">
        <f t="shared" si="13"/>
        <v>100</v>
      </c>
      <c r="V42" s="1574" t="s">
        <v>11</v>
      </c>
      <c r="W42" s="1575">
        <f t="shared" si="14"/>
        <v>100</v>
      </c>
      <c r="X42" s="1568"/>
      <c r="Y42" s="340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8"/>
      <c r="Q43" s="1573" t="str">
        <f t="shared" si="11"/>
        <v>内部装修维护情况</v>
      </c>
      <c r="R43" s="1574" t="s">
        <v>11</v>
      </c>
      <c r="S43" s="1575">
        <f t="shared" si="12"/>
        <v>100</v>
      </c>
      <c r="T43" s="1574" t="s">
        <v>11</v>
      </c>
      <c r="U43" s="1575">
        <f t="shared" si="13"/>
        <v>100</v>
      </c>
      <c r="V43" s="1574" t="s">
        <v>11</v>
      </c>
      <c r="W43" s="1575">
        <f t="shared" si="14"/>
        <v>100</v>
      </c>
      <c r="X43" s="1568"/>
      <c r="Y43" s="34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8"/>
      <c r="Q44" s="1151">
        <f t="shared" si="11"/>
        <v>111</v>
      </c>
      <c r="R44" s="1569" t="s">
        <v>11</v>
      </c>
      <c r="S44" s="1570">
        <f t="shared" si="12"/>
        <v>100</v>
      </c>
      <c r="T44" s="1569" t="s">
        <v>11</v>
      </c>
      <c r="U44" s="1570">
        <f t="shared" si="13"/>
        <v>100</v>
      </c>
      <c r="V44" s="1569" t="s">
        <v>11</v>
      </c>
      <c r="W44" s="1570">
        <f t="shared" si="14"/>
        <v>100</v>
      </c>
      <c r="X44" s="1571"/>
      <c r="Y44" s="34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8"/>
      <c r="Q45" s="1573">
        <f t="shared" si="11"/>
        <v>111</v>
      </c>
      <c r="R45" s="1574" t="s">
        <v>11</v>
      </c>
      <c r="S45" s="1575">
        <f t="shared" si="12"/>
        <v>100</v>
      </c>
      <c r="T45" s="1574" t="s">
        <v>11</v>
      </c>
      <c r="U45" s="1575">
        <f t="shared" si="13"/>
        <v>100</v>
      </c>
      <c r="V45" s="1574" t="s">
        <v>11</v>
      </c>
      <c r="W45" s="1575">
        <f t="shared" si="14"/>
        <v>100</v>
      </c>
      <c r="X45" s="1568"/>
      <c r="Y45" s="340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5"/>
      <c r="Q46" s="1573">
        <f t="shared" si="11"/>
        <v>111</v>
      </c>
      <c r="R46" s="1574" t="s">
        <v>10</v>
      </c>
      <c r="S46" s="1575">
        <f t="shared" si="12"/>
        <v>100</v>
      </c>
      <c r="T46" s="1574" t="s">
        <v>10</v>
      </c>
      <c r="U46" s="1575">
        <f t="shared" si="13"/>
        <v>100</v>
      </c>
      <c r="V46" s="1574" t="s">
        <v>10</v>
      </c>
      <c r="W46" s="1575">
        <f t="shared" si="14"/>
        <v>100</v>
      </c>
      <c r="X46" s="1568"/>
      <c r="Y46" s="3485"/>
      <c r="Z46" s="1576">
        <f t="shared" si="15"/>
        <v>111</v>
      </c>
      <c r="AA46" s="1577">
        <f t="shared" si="3"/>
        <v>1</v>
      </c>
      <c r="AB46" s="1577">
        <f t="shared" si="4"/>
        <v>1</v>
      </c>
      <c r="AC46" s="1577">
        <f t="shared" si="5"/>
        <v>1</v>
      </c>
    </row>
    <row r="47" spans="1:29" ht="15">
      <c r="A47" s="607" t="s">
        <v>736</v>
      </c>
      <c r="B47" s="887"/>
      <c r="C47" s="2628" t="s">
        <v>9</v>
      </c>
      <c r="D47" s="2629"/>
      <c r="E47" s="2630"/>
      <c r="F47" s="2631"/>
      <c r="G47" s="2632"/>
      <c r="H47" s="2633"/>
      <c r="I47" s="2630"/>
      <c r="J47" s="2633"/>
      <c r="K47" s="1607"/>
      <c r="L47" s="2145"/>
      <c r="M47" s="2146"/>
      <c r="N47" s="2135"/>
      <c r="O47" s="2146"/>
      <c r="P47" s="3370" t="str">
        <f>A47</f>
        <v>成交单价（元/平方米）</v>
      </c>
      <c r="Q47" s="3370"/>
      <c r="R47" s="3484">
        <f>E47</f>
        <v>0</v>
      </c>
      <c r="S47" s="3484"/>
      <c r="T47" s="3484">
        <f>G47</f>
        <v>0</v>
      </c>
      <c r="U47" s="3484"/>
      <c r="V47" s="3484">
        <f>I47</f>
        <v>0</v>
      </c>
      <c r="W47" s="3484"/>
      <c r="X47" s="1560"/>
      <c r="Y47" s="1582"/>
      <c r="Z47" s="1560"/>
      <c r="AA47" s="1560"/>
      <c r="AB47" s="1560"/>
      <c r="AC47" s="1560"/>
    </row>
    <row r="48" spans="1:29" ht="15.75" thickBot="1">
      <c r="A48" s="615" t="s">
        <v>2762</v>
      </c>
      <c r="B48" s="888"/>
      <c r="C48" s="2634" t="e">
        <f>R49</f>
        <v>#DIV/0!</v>
      </c>
      <c r="D48" s="2635"/>
      <c r="E48" s="2636" t="e">
        <f>R48</f>
        <v>#DIV/0!</v>
      </c>
      <c r="F48" s="2636"/>
      <c r="G48" s="2634" t="e">
        <f>T48</f>
        <v>#DIV/0!</v>
      </c>
      <c r="H48" s="2635"/>
      <c r="I48" s="2636" t="e">
        <f>V48</f>
        <v>#DIV/0!</v>
      </c>
      <c r="J48" s="2635"/>
      <c r="K48" s="1608"/>
      <c r="L48" s="2145"/>
      <c r="M48" s="2146"/>
      <c r="N48" s="2146"/>
      <c r="O48" s="2146"/>
      <c r="P48" s="3370" t="str">
        <f>A48</f>
        <v>比较价格（元/平方米）</v>
      </c>
      <c r="Q48" s="337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2936</v>
      </c>
      <c r="B49" s="622"/>
      <c r="C49" s="2637" t="e">
        <f>R49</f>
        <v>#DIV/0!</v>
      </c>
      <c r="D49" s="2637"/>
      <c r="E49" s="2637"/>
      <c r="F49" s="2637"/>
      <c r="G49" s="2637"/>
      <c r="H49" s="2637"/>
      <c r="I49" s="2637"/>
      <c r="J49" s="2637"/>
      <c r="K49" s="1609"/>
      <c r="L49" s="2145"/>
      <c r="M49" s="2146"/>
      <c r="N49" s="2146"/>
      <c r="O49" s="2146"/>
      <c r="P49" s="3367" t="str">
        <f>A49</f>
        <v>估价对象XX用房的比较价格（楼面单价，元/平方米）</v>
      </c>
      <c r="Q49" s="3368"/>
      <c r="R49" s="3483" t="e">
        <f>IF(F1="售价",ROUND(AVERAGE(R48:V48),0),ROUND(AVERAGE(R48:V48),1))</f>
        <v>#DIV/0!</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2558</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6" t="s">
        <v>522</v>
      </c>
      <c r="D4" s="3377"/>
      <c r="E4" s="3411" t="s">
        <v>523</v>
      </c>
      <c r="F4" s="3412"/>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1" t="s">
        <v>524</v>
      </c>
      <c r="AC4" s="3373" t="s">
        <v>525</v>
      </c>
    </row>
    <row r="5" spans="1:29" ht="15">
      <c r="A5" s="515"/>
      <c r="B5" s="516"/>
      <c r="C5" s="3392" t="s">
        <v>2930</v>
      </c>
      <c r="D5" s="3393"/>
      <c r="E5" s="3413" t="s">
        <v>2931</v>
      </c>
      <c r="F5" s="3414"/>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1"/>
      <c r="AC5" s="3374"/>
    </row>
    <row r="6" spans="1:29" ht="15.75" thickBot="1">
      <c r="A6" s="517"/>
      <c r="B6" s="518"/>
      <c r="C6" s="3390" t="s">
        <v>2934</v>
      </c>
      <c r="D6" s="3391"/>
      <c r="E6" s="3409" t="s">
        <v>2934</v>
      </c>
      <c r="F6" s="3410"/>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1"/>
      <c r="AC6" s="3375"/>
    </row>
    <row r="7" spans="1:29" s="1220" customFormat="1" ht="15.75" thickBot="1">
      <c r="A7" s="2913"/>
      <c r="B7" s="2920" t="s">
        <v>529</v>
      </c>
      <c r="C7" s="519">
        <f>'数据-取费表'!B2</f>
        <v>43342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2" t="s">
        <v>530</v>
      </c>
      <c r="Q7" s="3404"/>
      <c r="R7" s="1569" t="s">
        <v>8</v>
      </c>
      <c r="S7" s="1570">
        <f t="shared" ref="S7:S15" si="0">F7</f>
        <v>0</v>
      </c>
      <c r="T7" s="1569" t="s">
        <v>8</v>
      </c>
      <c r="U7" s="1570">
        <f t="shared" ref="U7:U15" si="1">H7</f>
        <v>0</v>
      </c>
      <c r="V7" s="1569" t="s">
        <v>8</v>
      </c>
      <c r="W7" s="1570">
        <f t="shared" ref="W7:W15"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2" t="s">
        <v>533</v>
      </c>
      <c r="Q8" s="3403"/>
      <c r="R8" s="1569" t="s">
        <v>8</v>
      </c>
      <c r="S8" s="1570">
        <f t="shared" si="0"/>
        <v>0</v>
      </c>
      <c r="T8" s="1569" t="s">
        <v>8</v>
      </c>
      <c r="U8" s="1570">
        <f t="shared" si="1"/>
        <v>0</v>
      </c>
      <c r="V8" s="1569" t="s">
        <v>8</v>
      </c>
      <c r="W8" s="1570">
        <f t="shared" si="2"/>
        <v>0</v>
      </c>
      <c r="X8" s="1571"/>
      <c r="Y8" s="3402" t="s">
        <v>533</v>
      </c>
      <c r="Z8" s="3403"/>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85.5">
      <c r="A15" s="2911" t="s">
        <v>2756</v>
      </c>
      <c r="B15" s="166" t="s">
        <v>541</v>
      </c>
      <c r="C15" s="867" t="str">
        <f>估价对象房地状况!C4</f>
        <v>估价对象位于青岛市城阳区，周边商业氛围较成熟，人流量较大，商业繁华度较好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5" t="s">
        <v>540</v>
      </c>
      <c r="Q15" s="1573" t="str">
        <f t="shared" si="6"/>
        <v>商业繁华度</v>
      </c>
      <c r="R15" s="1574" t="s">
        <v>8</v>
      </c>
      <c r="S15" s="1575">
        <f t="shared" si="0"/>
        <v>100</v>
      </c>
      <c r="T15" s="1574" t="s">
        <v>8</v>
      </c>
      <c r="U15" s="1575">
        <f t="shared" si="1"/>
        <v>100</v>
      </c>
      <c r="V15" s="1574" t="s">
        <v>8</v>
      </c>
      <c r="W15" s="1575">
        <f t="shared" si="2"/>
        <v>100</v>
      </c>
      <c r="X15" s="1568"/>
      <c r="Y15" s="340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6"/>
      <c r="Q16" s="1573"/>
      <c r="R16" s="1574"/>
      <c r="S16" s="1575"/>
      <c r="T16" s="1574"/>
      <c r="U16" s="1575"/>
      <c r="V16" s="1574"/>
      <c r="W16" s="1575"/>
      <c r="X16" s="1568"/>
      <c r="Y16" s="3406"/>
      <c r="Z16" s="1576"/>
      <c r="AA16" s="1577">
        <v>1</v>
      </c>
      <c r="AB16" s="1577">
        <v>1</v>
      </c>
      <c r="AC16" s="1577">
        <v>1</v>
      </c>
    </row>
    <row r="17" spans="1:29" ht="99.75">
      <c r="A17" s="532"/>
      <c r="B17" s="871" t="s">
        <v>296</v>
      </c>
      <c r="C17" s="872" t="str">
        <f>估价对象房地状况!C6</f>
        <v>估价对象周边道路状况较好、公共交通通达情况较好、停车便捷程度较好，综合评价交通便捷度较好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6"/>
      <c r="Q17" s="1573" t="str">
        <f>B17</f>
        <v>交通便捷度</v>
      </c>
      <c r="R17" s="1574" t="s">
        <v>8</v>
      </c>
      <c r="S17" s="1575">
        <f>F17</f>
        <v>100</v>
      </c>
      <c r="T17" s="1574" t="s">
        <v>8</v>
      </c>
      <c r="U17" s="1575">
        <f>H17</f>
        <v>100</v>
      </c>
      <c r="V17" s="1574" t="s">
        <v>8</v>
      </c>
      <c r="W17" s="1575">
        <f>J17</f>
        <v>100</v>
      </c>
      <c r="X17" s="1568"/>
      <c r="Y17" s="34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6"/>
      <c r="Q18" s="1573"/>
      <c r="R18" s="1574"/>
      <c r="S18" s="1575"/>
      <c r="T18" s="1574"/>
      <c r="U18" s="1575"/>
      <c r="V18" s="1574"/>
      <c r="W18" s="1575"/>
      <c r="X18" s="1568"/>
      <c r="Y18" s="3406"/>
      <c r="Z18" s="1576"/>
      <c r="AA18" s="1577">
        <v>1</v>
      </c>
      <c r="AB18" s="1577">
        <v>1</v>
      </c>
      <c r="AC18" s="1577">
        <v>1</v>
      </c>
    </row>
    <row r="19" spans="1:29" ht="42.75">
      <c r="A19" s="532"/>
      <c r="B19" s="2601" t="s">
        <v>2548</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6"/>
      <c r="Q19" s="1573" t="str">
        <f>B19</f>
        <v>公共配套设施</v>
      </c>
      <c r="R19" s="1574" t="s">
        <v>8</v>
      </c>
      <c r="S19" s="1575">
        <f>F19</f>
        <v>100</v>
      </c>
      <c r="T19" s="1574" t="s">
        <v>8</v>
      </c>
      <c r="U19" s="1575">
        <f>H19</f>
        <v>100</v>
      </c>
      <c r="V19" s="1574" t="s">
        <v>8</v>
      </c>
      <c r="W19" s="1575">
        <f>J19</f>
        <v>100</v>
      </c>
      <c r="X19" s="1568"/>
      <c r="Y19" s="340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6"/>
      <c r="Q20" s="1573"/>
      <c r="R20" s="1574"/>
      <c r="S20" s="1575"/>
      <c r="T20" s="1574"/>
      <c r="U20" s="1575"/>
      <c r="V20" s="1574"/>
      <c r="W20" s="1575"/>
      <c r="X20" s="1568"/>
      <c r="Y20" s="3406"/>
      <c r="Z20" s="1576"/>
      <c r="AA20" s="1577">
        <v>1</v>
      </c>
      <c r="AB20" s="1577">
        <v>1</v>
      </c>
      <c r="AC20" s="1577">
        <v>1</v>
      </c>
    </row>
    <row r="21" spans="1:29" ht="42.75">
      <c r="A21" s="532"/>
      <c r="B21" s="2594" t="s">
        <v>2560</v>
      </c>
      <c r="C21" s="872" t="str">
        <f>估价对象房地状况!C8</f>
        <v>估价对象所在区域基础设施水平达到七通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6"/>
      <c r="Q21" s="2580" t="str">
        <f>B21</f>
        <v>基础设施水平</v>
      </c>
      <c r="R21" s="1574" t="s">
        <v>8</v>
      </c>
      <c r="S21" s="1575">
        <f>F21</f>
        <v>100</v>
      </c>
      <c r="T21" s="1574" t="s">
        <v>8</v>
      </c>
      <c r="U21" s="1575">
        <f>H21</f>
        <v>100</v>
      </c>
      <c r="V21" s="1574" t="s">
        <v>8</v>
      </c>
      <c r="W21" s="1575">
        <f>J21</f>
        <v>100</v>
      </c>
      <c r="X21" s="2582"/>
      <c r="Y21" s="3406"/>
      <c r="Z21" s="2581"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3"/>
      <c r="L22" s="2143"/>
      <c r="M22" s="2135"/>
      <c r="N22" s="2135"/>
      <c r="O22" s="2142"/>
      <c r="P22" s="3406"/>
      <c r="Q22" s="2580"/>
      <c r="R22" s="1574"/>
      <c r="S22" s="1575"/>
      <c r="T22" s="1574"/>
      <c r="U22" s="1575"/>
      <c r="V22" s="1574"/>
      <c r="W22" s="1575"/>
      <c r="X22" s="2582"/>
      <c r="Y22" s="3406"/>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6"/>
      <c r="Q23" s="1573" t="str">
        <f>B23</f>
        <v>自然及人文环境</v>
      </c>
      <c r="R23" s="1574" t="s">
        <v>8</v>
      </c>
      <c r="S23" s="1575">
        <f>F23</f>
        <v>100</v>
      </c>
      <c r="T23" s="1574" t="s">
        <v>8</v>
      </c>
      <c r="U23" s="1575">
        <f>H23</f>
        <v>100</v>
      </c>
      <c r="V23" s="1574" t="s">
        <v>8</v>
      </c>
      <c r="W23" s="1575">
        <f>J23</f>
        <v>100</v>
      </c>
      <c r="X23" s="1568"/>
      <c r="Y23" s="340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6"/>
      <c r="Q24" s="1573"/>
      <c r="R24" s="1574"/>
      <c r="S24" s="1575"/>
      <c r="T24" s="1574"/>
      <c r="U24" s="1575"/>
      <c r="V24" s="1574"/>
      <c r="W24" s="1575"/>
      <c r="X24" s="1568"/>
      <c r="Y24" s="340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6"/>
      <c r="Q25" s="1573" t="str">
        <f t="shared" ref="Q25:Q46" si="11">B25</f>
        <v>临街状况</v>
      </c>
      <c r="R25" s="1574" t="s">
        <v>8</v>
      </c>
      <c r="S25" s="1575">
        <f>F25</f>
        <v>100</v>
      </c>
      <c r="T25" s="1574" t="s">
        <v>8</v>
      </c>
      <c r="U25" s="1575">
        <f>H25</f>
        <v>100</v>
      </c>
      <c r="V25" s="1574" t="s">
        <v>8</v>
      </c>
      <c r="W25" s="1575">
        <f>J25</f>
        <v>100</v>
      </c>
      <c r="X25" s="1568"/>
      <c r="Y25" s="340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6"/>
      <c r="Q26" s="1573" t="str">
        <f t="shared" si="11"/>
        <v>平面位置/可视性</v>
      </c>
      <c r="R26" s="1574" t="s">
        <v>8</v>
      </c>
      <c r="S26" s="1575">
        <f>F26</f>
        <v>100</v>
      </c>
      <c r="T26" s="1574" t="s">
        <v>8</v>
      </c>
      <c r="U26" s="1575">
        <f>H26</f>
        <v>100</v>
      </c>
      <c r="V26" s="1574" t="s">
        <v>8</v>
      </c>
      <c r="W26" s="1575">
        <f>J26</f>
        <v>100</v>
      </c>
      <c r="X26" s="1568"/>
      <c r="Y26" s="340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6"/>
      <c r="Q27" s="1151" t="str">
        <f t="shared" si="11"/>
        <v>人流量</v>
      </c>
      <c r="R27" s="1569" t="s">
        <v>8</v>
      </c>
      <c r="S27" s="1570">
        <f>F27</f>
        <v>100</v>
      </c>
      <c r="T27" s="1569" t="s">
        <v>8</v>
      </c>
      <c r="U27" s="1570">
        <f>H27</f>
        <v>100</v>
      </c>
      <c r="V27" s="1569" t="s">
        <v>8</v>
      </c>
      <c r="W27" s="1570">
        <f>J27</f>
        <v>100</v>
      </c>
      <c r="X27" s="1571"/>
      <c r="Y27" s="340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6"/>
      <c r="Q29" s="1573">
        <f t="shared" si="11"/>
        <v>111</v>
      </c>
      <c r="R29" s="1574" t="s">
        <v>8</v>
      </c>
      <c r="S29" s="1575">
        <f t="shared" si="12"/>
        <v>100</v>
      </c>
      <c r="T29" s="1574" t="s">
        <v>8</v>
      </c>
      <c r="U29" s="1575">
        <f t="shared" si="13"/>
        <v>100</v>
      </c>
      <c r="V29" s="1574" t="s">
        <v>8</v>
      </c>
      <c r="W29" s="1575">
        <f t="shared" si="14"/>
        <v>100</v>
      </c>
      <c r="X29" s="1568"/>
      <c r="Y29" s="340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6"/>
      <c r="Q30" s="1573">
        <f t="shared" si="11"/>
        <v>111</v>
      </c>
      <c r="R30" s="1574" t="s">
        <v>8</v>
      </c>
      <c r="S30" s="1575">
        <f t="shared" si="12"/>
        <v>100</v>
      </c>
      <c r="T30" s="1574" t="s">
        <v>8</v>
      </c>
      <c r="U30" s="1575">
        <f t="shared" si="13"/>
        <v>100</v>
      </c>
      <c r="V30" s="1574" t="s">
        <v>8</v>
      </c>
      <c r="W30" s="1575">
        <f t="shared" si="14"/>
        <v>100</v>
      </c>
      <c r="X30" s="1568"/>
      <c r="Y30" s="340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6"/>
      <c r="Q31" s="1573">
        <f t="shared" si="11"/>
        <v>111</v>
      </c>
      <c r="R31" s="1574" t="s">
        <v>8</v>
      </c>
      <c r="S31" s="1575">
        <f t="shared" si="12"/>
        <v>100</v>
      </c>
      <c r="T31" s="1574" t="s">
        <v>8</v>
      </c>
      <c r="U31" s="1575">
        <f t="shared" si="13"/>
        <v>100</v>
      </c>
      <c r="V31" s="1574" t="s">
        <v>8</v>
      </c>
      <c r="W31" s="1575">
        <f t="shared" si="14"/>
        <v>100</v>
      </c>
      <c r="X31" s="1568"/>
      <c r="Y31" s="3406"/>
      <c r="Z31" s="1576">
        <f t="shared" si="15"/>
        <v>111</v>
      </c>
      <c r="AA31" s="1577">
        <f t="shared" si="3"/>
        <v>1</v>
      </c>
      <c r="AB31" s="1577">
        <f t="shared" si="4"/>
        <v>1</v>
      </c>
      <c r="AC31" s="1577">
        <f t="shared" si="5"/>
        <v>1</v>
      </c>
    </row>
    <row r="32" spans="1:29" ht="15">
      <c r="A32" s="2908"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7" t="s">
        <v>550</v>
      </c>
      <c r="Q32" s="1573" t="str">
        <f t="shared" si="11"/>
        <v>商业类型</v>
      </c>
      <c r="R32" s="1574" t="s">
        <v>8</v>
      </c>
      <c r="S32" s="1575">
        <f t="shared" si="12"/>
        <v>100</v>
      </c>
      <c r="T32" s="1574" t="s">
        <v>8</v>
      </c>
      <c r="U32" s="1575">
        <f t="shared" si="13"/>
        <v>100</v>
      </c>
      <c r="V32" s="1574" t="s">
        <v>8</v>
      </c>
      <c r="W32" s="1575">
        <f t="shared" si="14"/>
        <v>100</v>
      </c>
      <c r="X32" s="1568"/>
      <c r="Y32" s="340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8"/>
      <c r="Q33" s="1606" t="str">
        <f t="shared" si="11"/>
        <v>项目建筑规模</v>
      </c>
      <c r="R33" s="1578" t="s">
        <v>8</v>
      </c>
      <c r="S33" s="1579" t="e">
        <f t="shared" si="12"/>
        <v>#N/A</v>
      </c>
      <c r="T33" s="1578" t="s">
        <v>8</v>
      </c>
      <c r="U33" s="1579" t="e">
        <f t="shared" si="13"/>
        <v>#N/A</v>
      </c>
      <c r="V33" s="1578" t="s">
        <v>8</v>
      </c>
      <c r="W33" s="1579" t="e">
        <f t="shared" si="14"/>
        <v>#N/A</v>
      </c>
      <c r="X33" s="1580"/>
      <c r="Y33" s="340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8"/>
      <c r="Q34" s="1573" t="str">
        <f t="shared" si="11"/>
        <v>建筑结构</v>
      </c>
      <c r="R34" s="1574" t="s">
        <v>8</v>
      </c>
      <c r="S34" s="1575">
        <f t="shared" si="12"/>
        <v>100</v>
      </c>
      <c r="T34" s="1574" t="s">
        <v>8</v>
      </c>
      <c r="U34" s="1575">
        <f t="shared" si="13"/>
        <v>100</v>
      </c>
      <c r="V34" s="1574" t="s">
        <v>8</v>
      </c>
      <c r="W34" s="1575">
        <f t="shared" si="14"/>
        <v>100</v>
      </c>
      <c r="X34" s="1568"/>
      <c r="Y34" s="340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8"/>
      <c r="Q35" s="1573" t="str">
        <f t="shared" si="11"/>
        <v>公共部分装修</v>
      </c>
      <c r="R35" s="1574" t="s">
        <v>8</v>
      </c>
      <c r="S35" s="1575">
        <f t="shared" si="12"/>
        <v>100</v>
      </c>
      <c r="T35" s="1574" t="s">
        <v>8</v>
      </c>
      <c r="U35" s="1575">
        <f t="shared" si="13"/>
        <v>100</v>
      </c>
      <c r="V35" s="1574" t="s">
        <v>8</v>
      </c>
      <c r="W35" s="1575">
        <f t="shared" si="14"/>
        <v>100</v>
      </c>
      <c r="X35" s="1568"/>
      <c r="Y35" s="340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8"/>
      <c r="Q36" s="1573" t="str">
        <f t="shared" si="11"/>
        <v>成新度</v>
      </c>
      <c r="R36" s="1574" t="s">
        <v>8</v>
      </c>
      <c r="S36" s="1575" t="e">
        <f t="shared" si="12"/>
        <v>#N/A</v>
      </c>
      <c r="T36" s="1574" t="s">
        <v>8</v>
      </c>
      <c r="U36" s="1575" t="e">
        <f t="shared" si="13"/>
        <v>#N/A</v>
      </c>
      <c r="V36" s="1574" t="s">
        <v>8</v>
      </c>
      <c r="W36" s="1575" t="e">
        <f t="shared" si="14"/>
        <v>#N/A</v>
      </c>
      <c r="X36" s="1568"/>
      <c r="Y36" s="3408"/>
      <c r="Z36" s="1576" t="str">
        <f t="shared" si="15"/>
        <v>成新度</v>
      </c>
      <c r="AA36" s="1577" t="e">
        <f t="shared" si="3"/>
        <v>#N/A</v>
      </c>
      <c r="AB36" s="1577" t="e">
        <f t="shared" si="4"/>
        <v>#N/A</v>
      </c>
      <c r="AC36" s="1577" t="e">
        <f t="shared" si="5"/>
        <v>#N/A</v>
      </c>
    </row>
    <row r="37" spans="1:29" s="1220" customFormat="1" ht="15">
      <c r="A37" s="600"/>
      <c r="B37" s="1896"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8"/>
      <c r="Q37" s="1151" t="str">
        <f t="shared" si="11"/>
        <v>市政基础设施</v>
      </c>
      <c r="R37" s="1569" t="s">
        <v>8</v>
      </c>
      <c r="S37" s="1570">
        <f t="shared" si="12"/>
        <v>100</v>
      </c>
      <c r="T37" s="1569" t="s">
        <v>8</v>
      </c>
      <c r="U37" s="1570">
        <f t="shared" si="13"/>
        <v>100</v>
      </c>
      <c r="V37" s="1569" t="s">
        <v>8</v>
      </c>
      <c r="W37" s="1570">
        <f t="shared" si="14"/>
        <v>100</v>
      </c>
      <c r="X37" s="1571"/>
      <c r="Y37" s="340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8" t="s">
        <v>766</v>
      </c>
      <c r="Q38" s="1573" t="str">
        <f t="shared" si="11"/>
        <v>业态</v>
      </c>
      <c r="R38" s="1574" t="s">
        <v>8</v>
      </c>
      <c r="S38" s="1575">
        <f t="shared" si="12"/>
        <v>100</v>
      </c>
      <c r="T38" s="1574" t="s">
        <v>8</v>
      </c>
      <c r="U38" s="1575">
        <f t="shared" si="13"/>
        <v>100</v>
      </c>
      <c r="V38" s="1574" t="s">
        <v>8</v>
      </c>
      <c r="W38" s="1575">
        <f t="shared" si="14"/>
        <v>100</v>
      </c>
      <c r="X38" s="1568"/>
      <c r="Y38" s="340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8"/>
      <c r="Q39" s="1573" t="str">
        <f t="shared" si="11"/>
        <v>层高</v>
      </c>
      <c r="R39" s="1574" t="s">
        <v>8</v>
      </c>
      <c r="S39" s="1575">
        <f t="shared" si="12"/>
        <v>100</v>
      </c>
      <c r="T39" s="1574" t="s">
        <v>8</v>
      </c>
      <c r="U39" s="1575">
        <f t="shared" si="13"/>
        <v>100</v>
      </c>
      <c r="V39" s="1574" t="s">
        <v>8</v>
      </c>
      <c r="W39" s="1575">
        <f t="shared" si="14"/>
        <v>100</v>
      </c>
      <c r="X39" s="1568"/>
      <c r="Y39" s="340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8"/>
      <c r="Q40" s="1573" t="str">
        <f t="shared" si="11"/>
        <v>单套建筑面积</v>
      </c>
      <c r="R40" s="1574" t="s">
        <v>8</v>
      </c>
      <c r="S40" s="1575">
        <f t="shared" si="12"/>
        <v>100</v>
      </c>
      <c r="T40" s="1574" t="s">
        <v>8</v>
      </c>
      <c r="U40" s="1575">
        <f t="shared" si="13"/>
        <v>100</v>
      </c>
      <c r="V40" s="1574" t="s">
        <v>8</v>
      </c>
      <c r="W40" s="1575">
        <f t="shared" si="14"/>
        <v>100</v>
      </c>
      <c r="X40" s="1568"/>
      <c r="Y40" s="340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8"/>
      <c r="Q41" s="1606" t="str">
        <f t="shared" si="11"/>
        <v>进深比</v>
      </c>
      <c r="R41" s="1578" t="s">
        <v>8</v>
      </c>
      <c r="S41" s="1579">
        <f t="shared" si="12"/>
        <v>100</v>
      </c>
      <c r="T41" s="1578" t="s">
        <v>8</v>
      </c>
      <c r="U41" s="1579">
        <f t="shared" si="13"/>
        <v>100</v>
      </c>
      <c r="V41" s="1578" t="s">
        <v>8</v>
      </c>
      <c r="W41" s="1579">
        <f t="shared" si="14"/>
        <v>100</v>
      </c>
      <c r="X41" s="1580"/>
      <c r="Y41" s="340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8"/>
      <c r="Q42" s="1573" t="str">
        <f t="shared" si="11"/>
        <v>内部装修</v>
      </c>
      <c r="R42" s="1574" t="s">
        <v>8</v>
      </c>
      <c r="S42" s="1575">
        <f t="shared" si="12"/>
        <v>100</v>
      </c>
      <c r="T42" s="1574" t="s">
        <v>8</v>
      </c>
      <c r="U42" s="1575">
        <f t="shared" si="13"/>
        <v>100</v>
      </c>
      <c r="V42" s="1574" t="s">
        <v>8</v>
      </c>
      <c r="W42" s="1575">
        <f t="shared" si="14"/>
        <v>100</v>
      </c>
      <c r="X42" s="1568"/>
      <c r="Y42" s="340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8"/>
      <c r="Q43" s="1573" t="str">
        <f t="shared" si="11"/>
        <v>内部装修维护情况</v>
      </c>
      <c r="R43" s="1574" t="s">
        <v>8</v>
      </c>
      <c r="S43" s="1575">
        <f t="shared" si="12"/>
        <v>100</v>
      </c>
      <c r="T43" s="1574" t="s">
        <v>8</v>
      </c>
      <c r="U43" s="1575">
        <f t="shared" si="13"/>
        <v>100</v>
      </c>
      <c r="V43" s="1574" t="s">
        <v>8</v>
      </c>
      <c r="W43" s="1575">
        <f t="shared" si="14"/>
        <v>100</v>
      </c>
      <c r="X43" s="1568"/>
      <c r="Y43" s="340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8"/>
      <c r="Q44" s="1151">
        <f t="shared" si="11"/>
        <v>111</v>
      </c>
      <c r="R44" s="1569" t="s">
        <v>8</v>
      </c>
      <c r="S44" s="1570">
        <f t="shared" si="12"/>
        <v>100</v>
      </c>
      <c r="T44" s="1569" t="s">
        <v>8</v>
      </c>
      <c r="U44" s="1570">
        <f t="shared" si="13"/>
        <v>100</v>
      </c>
      <c r="V44" s="1569" t="s">
        <v>8</v>
      </c>
      <c r="W44" s="1570">
        <f t="shared" si="14"/>
        <v>100</v>
      </c>
      <c r="X44" s="1571"/>
      <c r="Y44" s="340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8"/>
      <c r="Q45" s="1573">
        <f t="shared" si="11"/>
        <v>111</v>
      </c>
      <c r="R45" s="1574" t="s">
        <v>8</v>
      </c>
      <c r="S45" s="1575">
        <f t="shared" si="12"/>
        <v>100</v>
      </c>
      <c r="T45" s="1574" t="s">
        <v>8</v>
      </c>
      <c r="U45" s="1575">
        <f t="shared" si="13"/>
        <v>100</v>
      </c>
      <c r="V45" s="1574" t="s">
        <v>8</v>
      </c>
      <c r="W45" s="1575">
        <f t="shared" si="14"/>
        <v>100</v>
      </c>
      <c r="X45" s="1568"/>
      <c r="Y45" s="340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5"/>
      <c r="Q46" s="1573">
        <f t="shared" si="11"/>
        <v>111</v>
      </c>
      <c r="R46" s="1574" t="s">
        <v>8</v>
      </c>
      <c r="S46" s="1575">
        <f t="shared" si="12"/>
        <v>100</v>
      </c>
      <c r="T46" s="1574" t="s">
        <v>8</v>
      </c>
      <c r="U46" s="1575">
        <f t="shared" si="13"/>
        <v>100</v>
      </c>
      <c r="V46" s="1574" t="s">
        <v>8</v>
      </c>
      <c r="W46" s="1575">
        <f t="shared" si="14"/>
        <v>100</v>
      </c>
      <c r="X46" s="1568"/>
      <c r="Y46" s="3485"/>
      <c r="Z46" s="1576">
        <f t="shared" si="15"/>
        <v>111</v>
      </c>
      <c r="AA46" s="1577">
        <f t="shared" si="3"/>
        <v>1</v>
      </c>
      <c r="AB46" s="1577">
        <f t="shared" si="4"/>
        <v>1</v>
      </c>
      <c r="AC46" s="1577">
        <f t="shared" si="5"/>
        <v>1</v>
      </c>
    </row>
    <row r="47" spans="1:29" ht="15">
      <c r="A47" s="607" t="s">
        <v>736</v>
      </c>
      <c r="B47" s="887"/>
      <c r="C47" s="2628" t="s">
        <v>1</v>
      </c>
      <c r="D47" s="2629"/>
      <c r="E47" s="2630"/>
      <c r="F47" s="2631"/>
      <c r="G47" s="2632"/>
      <c r="H47" s="2633"/>
      <c r="I47" s="2630"/>
      <c r="J47" s="2633"/>
      <c r="K47" s="1612"/>
      <c r="L47" s="2145"/>
      <c r="M47" s="2146"/>
      <c r="N47" s="2135"/>
      <c r="O47" s="2146"/>
      <c r="P47" s="3370" t="str">
        <f>A47</f>
        <v>成交单价（元/平方米）</v>
      </c>
      <c r="Q47" s="3370"/>
      <c r="R47" s="3484">
        <f>E47</f>
        <v>0</v>
      </c>
      <c r="S47" s="3484"/>
      <c r="T47" s="3484">
        <f>G47</f>
        <v>0</v>
      </c>
      <c r="U47" s="3484"/>
      <c r="V47" s="3484">
        <f>I47</f>
        <v>0</v>
      </c>
      <c r="W47" s="3484"/>
      <c r="X47" s="1560"/>
      <c r="Y47" s="1582"/>
      <c r="Z47" s="1560"/>
      <c r="AA47" s="1560"/>
      <c r="AB47" s="1560"/>
      <c r="AC47" s="1560"/>
    </row>
    <row r="48" spans="1:29" ht="15.75" thickBot="1">
      <c r="A48" s="615" t="s">
        <v>2762</v>
      </c>
      <c r="B48" s="888"/>
      <c r="C48" s="2634" t="e">
        <f>R49</f>
        <v>#DIV/0!</v>
      </c>
      <c r="D48" s="2635"/>
      <c r="E48" s="2636" t="e">
        <f>R48</f>
        <v>#DIV/0!</v>
      </c>
      <c r="F48" s="2636"/>
      <c r="G48" s="2634" t="e">
        <f>T48</f>
        <v>#DIV/0!</v>
      </c>
      <c r="H48" s="2635"/>
      <c r="I48" s="2636" t="e">
        <f>V48</f>
        <v>#DIV/0!</v>
      </c>
      <c r="J48" s="2635"/>
      <c r="K48" s="1613"/>
      <c r="L48" s="2145"/>
      <c r="M48" s="2146"/>
      <c r="N48" s="2135"/>
      <c r="O48" s="2146"/>
      <c r="P48" s="3370" t="str">
        <f>A48</f>
        <v>比较价格（元/平方米）</v>
      </c>
      <c r="Q48" s="337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0"/>
      <c r="Y48" s="1560"/>
      <c r="Z48" s="1560"/>
      <c r="AA48" s="1560"/>
      <c r="AB48" s="1560"/>
      <c r="AC48" s="1560"/>
    </row>
    <row r="49" spans="1:29" ht="15.75" thickBot="1">
      <c r="A49" s="621" t="s">
        <v>2936</v>
      </c>
      <c r="B49" s="622"/>
      <c r="C49" s="2637" t="e">
        <f>R49</f>
        <v>#DIV/0!</v>
      </c>
      <c r="D49" s="2637"/>
      <c r="E49" s="2637"/>
      <c r="F49" s="2637"/>
      <c r="G49" s="2637"/>
      <c r="H49" s="2637"/>
      <c r="I49" s="2637"/>
      <c r="J49" s="2637"/>
      <c r="K49" s="1614"/>
      <c r="L49" s="2145"/>
      <c r="M49" s="2146"/>
      <c r="N49" s="2135"/>
      <c r="O49" s="2146"/>
      <c r="P49" s="3367" t="str">
        <f>A49</f>
        <v>估价对象XX用房的比较价格（楼面单价，元/平方米）</v>
      </c>
      <c r="Q49" s="3368"/>
      <c r="R49" s="3483" t="e">
        <f>IF(F1="售价",ROUND(AVERAGE(R48:V48),0),ROUND(AVERAGE(R48:V48),1))</f>
        <v>#DIV/0!</v>
      </c>
      <c r="S49" s="3483"/>
      <c r="T49" s="3483"/>
      <c r="U49" s="3483"/>
      <c r="V49" s="3483"/>
      <c r="W49" s="348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2559</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2560</v>
      </c>
      <c r="C82" s="2599" t="s">
        <v>2561</v>
      </c>
      <c r="D82" s="2599" t="s">
        <v>2562</v>
      </c>
      <c r="E82" s="2599" t="s">
        <v>2563</v>
      </c>
      <c r="F82" s="2599" t="s">
        <v>2564</v>
      </c>
      <c r="G82" s="2599" t="s">
        <v>2565</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2558</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6" t="s">
        <v>522</v>
      </c>
      <c r="D4" s="3377"/>
      <c r="E4" s="3411" t="s">
        <v>523</v>
      </c>
      <c r="F4" s="3412"/>
      <c r="G4" s="3376" t="s">
        <v>524</v>
      </c>
      <c r="H4" s="3377"/>
      <c r="I4" s="3376" t="s">
        <v>525</v>
      </c>
      <c r="J4" s="3377"/>
      <c r="K4" s="514" t="s">
        <v>526</v>
      </c>
      <c r="L4" s="2134"/>
      <c r="M4" s="2135"/>
      <c r="N4" s="2135"/>
      <c r="O4" s="2135"/>
      <c r="P4" s="3487" t="s">
        <v>527</v>
      </c>
      <c r="Q4" s="3379"/>
      <c r="R4" s="3384" t="s">
        <v>523</v>
      </c>
      <c r="S4" s="3385"/>
      <c r="T4" s="3384" t="s">
        <v>524</v>
      </c>
      <c r="U4" s="3385"/>
      <c r="V4" s="3371" t="s">
        <v>525</v>
      </c>
      <c r="W4" s="3371"/>
      <c r="X4" s="1568"/>
      <c r="Y4" s="3384" t="s">
        <v>527</v>
      </c>
      <c r="Z4" s="3385"/>
      <c r="AA4" s="3373" t="s">
        <v>523</v>
      </c>
      <c r="AB4" s="3373" t="s">
        <v>524</v>
      </c>
      <c r="AC4" s="3373" t="s">
        <v>525</v>
      </c>
    </row>
    <row r="5" spans="1:29" ht="15">
      <c r="A5" s="515"/>
      <c r="B5" s="516"/>
      <c r="C5" s="3392" t="s">
        <v>2930</v>
      </c>
      <c r="D5" s="3393"/>
      <c r="E5" s="3413" t="s">
        <v>2931</v>
      </c>
      <c r="F5" s="3414"/>
      <c r="G5" s="3392" t="s">
        <v>2932</v>
      </c>
      <c r="H5" s="3393"/>
      <c r="I5" s="3392" t="s">
        <v>2933</v>
      </c>
      <c r="J5" s="3393"/>
      <c r="K5" s="514"/>
      <c r="L5" s="2134"/>
      <c r="M5" s="2135"/>
      <c r="N5" s="2135"/>
      <c r="O5" s="2135"/>
      <c r="P5" s="3488"/>
      <c r="Q5" s="3381"/>
      <c r="R5" s="3386"/>
      <c r="S5" s="3387"/>
      <c r="T5" s="3386"/>
      <c r="U5" s="3387"/>
      <c r="V5" s="3371"/>
      <c r="W5" s="3371"/>
      <c r="X5" s="1568"/>
      <c r="Y5" s="3386"/>
      <c r="Z5" s="3387"/>
      <c r="AA5" s="3374"/>
      <c r="AB5" s="3374"/>
      <c r="AC5" s="3374"/>
    </row>
    <row r="6" spans="1:29" ht="15.75" thickBot="1">
      <c r="A6" s="517"/>
      <c r="B6" s="518"/>
      <c r="C6" s="3390" t="s">
        <v>2934</v>
      </c>
      <c r="D6" s="3391"/>
      <c r="E6" s="3409" t="s">
        <v>2934</v>
      </c>
      <c r="F6" s="3410"/>
      <c r="G6" s="3390" t="s">
        <v>2934</v>
      </c>
      <c r="H6" s="3391"/>
      <c r="I6" s="3390" t="s">
        <v>2934</v>
      </c>
      <c r="J6" s="3391"/>
      <c r="K6" s="514" t="s">
        <v>528</v>
      </c>
      <c r="L6" s="2134"/>
      <c r="M6" s="2135"/>
      <c r="N6" s="2135"/>
      <c r="O6" s="2135"/>
      <c r="P6" s="3489"/>
      <c r="Q6" s="3383"/>
      <c r="R6" s="3386"/>
      <c r="S6" s="3387"/>
      <c r="T6" s="3388"/>
      <c r="U6" s="3389"/>
      <c r="V6" s="3371"/>
      <c r="W6" s="3371"/>
      <c r="X6" s="1568"/>
      <c r="Y6" s="3388"/>
      <c r="Z6" s="3389"/>
      <c r="AA6" s="3375"/>
      <c r="AB6" s="3375"/>
      <c r="AC6" s="3375"/>
    </row>
    <row r="7" spans="1:29" s="1220" customFormat="1" ht="15.75" thickBot="1">
      <c r="A7" s="2913"/>
      <c r="B7" s="2920" t="s">
        <v>529</v>
      </c>
      <c r="C7" s="519">
        <f>'数据-取费表'!B2</f>
        <v>43342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4" t="s">
        <v>530</v>
      </c>
      <c r="Q7" s="3404"/>
      <c r="R7" s="1569" t="s">
        <v>8</v>
      </c>
      <c r="S7" s="1570">
        <f t="shared" ref="S7:S15" si="0">F7</f>
        <v>0</v>
      </c>
      <c r="T7" s="1569" t="s">
        <v>8</v>
      </c>
      <c r="U7" s="1570">
        <f t="shared" ref="U7:U15" si="1">H7</f>
        <v>0</v>
      </c>
      <c r="V7" s="1569" t="s">
        <v>8</v>
      </c>
      <c r="W7" s="1570">
        <f t="shared" ref="W7:W15"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4" t="s">
        <v>533</v>
      </c>
      <c r="Q8" s="3403"/>
      <c r="R8" s="1569" t="s">
        <v>8</v>
      </c>
      <c r="S8" s="1570">
        <f t="shared" si="0"/>
        <v>0</v>
      </c>
      <c r="T8" s="1569" t="s">
        <v>8</v>
      </c>
      <c r="U8" s="1570">
        <f t="shared" si="1"/>
        <v>0</v>
      </c>
      <c r="V8" s="1569" t="s">
        <v>8</v>
      </c>
      <c r="W8" s="1570">
        <f t="shared" si="2"/>
        <v>0</v>
      </c>
      <c r="X8" s="1571"/>
      <c r="Y8" s="3402" t="s">
        <v>533</v>
      </c>
      <c r="Z8" s="3403"/>
      <c r="AA8" s="1572" t="e">
        <f t="shared" ref="AA8:AA47" si="3">D8/F8</f>
        <v>#DIV/0!</v>
      </c>
      <c r="AB8" s="1572" t="e">
        <f t="shared" ref="AB8:AB47" si="4">D8/H8</f>
        <v>#DIV/0!</v>
      </c>
      <c r="AC8" s="1572" t="e">
        <f t="shared" ref="AC8:AC47" si="5">D8/J8</f>
        <v>#DIV/0!</v>
      </c>
    </row>
    <row r="9" spans="1:29" s="1220" customFormat="1" ht="15">
      <c r="A9" s="2915"/>
      <c r="B9" s="2922" t="s">
        <v>2758</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5" t="s">
        <v>540</v>
      </c>
      <c r="Q15" s="1573" t="str">
        <f t="shared" si="6"/>
        <v>办公集聚程度</v>
      </c>
      <c r="R15" s="1574" t="s">
        <v>8</v>
      </c>
      <c r="S15" s="1575">
        <f t="shared" si="0"/>
        <v>100</v>
      </c>
      <c r="T15" s="1574" t="s">
        <v>8</v>
      </c>
      <c r="U15" s="1575">
        <f t="shared" si="1"/>
        <v>100</v>
      </c>
      <c r="V15" s="1574" t="s">
        <v>8</v>
      </c>
      <c r="W15" s="1575">
        <f t="shared" si="2"/>
        <v>100</v>
      </c>
      <c r="X15" s="1568"/>
      <c r="Y15" s="340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6"/>
      <c r="Q16" s="1573"/>
      <c r="R16" s="1574"/>
      <c r="S16" s="1575"/>
      <c r="T16" s="1574"/>
      <c r="U16" s="1575"/>
      <c r="V16" s="1574"/>
      <c r="W16" s="1575"/>
      <c r="X16" s="1568"/>
      <c r="Y16" s="3406"/>
      <c r="Z16" s="1576"/>
      <c r="AA16" s="1577">
        <v>1</v>
      </c>
      <c r="AB16" s="1577">
        <v>1</v>
      </c>
      <c r="AC16" s="1577">
        <v>1</v>
      </c>
    </row>
    <row r="17" spans="1:29" ht="99.75">
      <c r="A17" s="532"/>
      <c r="B17" s="560" t="s">
        <v>296</v>
      </c>
      <c r="C17" s="573" t="str">
        <f>估价对象房地状况!C6</f>
        <v>估价对象周边道路状况较好、公共交通通达情况较好、停车便捷程度较好，综合评价交通便捷度较好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6"/>
      <c r="Q17" s="1573" t="str">
        <f>B17</f>
        <v>交通便捷度</v>
      </c>
      <c r="R17" s="1574" t="s">
        <v>8</v>
      </c>
      <c r="S17" s="1575">
        <f>F17</f>
        <v>100</v>
      </c>
      <c r="T17" s="1574" t="s">
        <v>8</v>
      </c>
      <c r="U17" s="1575">
        <f>H17</f>
        <v>100</v>
      </c>
      <c r="V17" s="1574" t="s">
        <v>8</v>
      </c>
      <c r="W17" s="1575">
        <f>J17</f>
        <v>100</v>
      </c>
      <c r="X17" s="1568"/>
      <c r="Y17" s="340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6"/>
      <c r="Q18" s="1573"/>
      <c r="R18" s="1574"/>
      <c r="S18" s="1575"/>
      <c r="T18" s="1574"/>
      <c r="U18" s="1575"/>
      <c r="V18" s="1574"/>
      <c r="W18" s="1575"/>
      <c r="X18" s="1568"/>
      <c r="Y18" s="3406"/>
      <c r="Z18" s="1576"/>
      <c r="AA18" s="1577">
        <v>1</v>
      </c>
      <c r="AB18" s="1577">
        <v>1</v>
      </c>
      <c r="AC18" s="1577">
        <v>1</v>
      </c>
    </row>
    <row r="19" spans="1:29" ht="42.75">
      <c r="A19" s="532"/>
      <c r="B19" s="2604" t="s">
        <v>2548</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6"/>
      <c r="Q19" s="1573" t="str">
        <f>B19</f>
        <v>公共配套设施</v>
      </c>
      <c r="R19" s="1574" t="s">
        <v>8</v>
      </c>
      <c r="S19" s="1575">
        <f>F19</f>
        <v>100</v>
      </c>
      <c r="T19" s="1574" t="s">
        <v>8</v>
      </c>
      <c r="U19" s="1575">
        <f>H19</f>
        <v>100</v>
      </c>
      <c r="V19" s="1574" t="s">
        <v>8</v>
      </c>
      <c r="W19" s="1575">
        <f>J19</f>
        <v>100</v>
      </c>
      <c r="X19" s="1568"/>
      <c r="Y19" s="340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6"/>
      <c r="Q20" s="1573"/>
      <c r="R20" s="1574"/>
      <c r="S20" s="1575"/>
      <c r="T20" s="1574"/>
      <c r="U20" s="1575"/>
      <c r="V20" s="1574"/>
      <c r="W20" s="1575"/>
      <c r="X20" s="1568"/>
      <c r="Y20" s="3406"/>
      <c r="Z20" s="1576"/>
      <c r="AA20" s="1577">
        <v>1</v>
      </c>
      <c r="AB20" s="1577">
        <v>1</v>
      </c>
      <c r="AC20" s="1577">
        <v>1</v>
      </c>
    </row>
    <row r="21" spans="1:29" ht="42.75">
      <c r="A21" s="532"/>
      <c r="B21" s="2592" t="s">
        <v>2560</v>
      </c>
      <c r="C21" s="573" t="str">
        <f>估价对象房地状况!C8</f>
        <v>估价对象所在区域基础设施水平达到七通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6"/>
      <c r="Q21" s="2580" t="str">
        <f>B21</f>
        <v>基础设施水平</v>
      </c>
      <c r="R21" s="1574" t="s">
        <v>8</v>
      </c>
      <c r="S21" s="1575">
        <f>F21</f>
        <v>100</v>
      </c>
      <c r="T21" s="1574" t="s">
        <v>8</v>
      </c>
      <c r="U21" s="1575">
        <f>H21</f>
        <v>100</v>
      </c>
      <c r="V21" s="1574" t="s">
        <v>8</v>
      </c>
      <c r="W21" s="1575">
        <f>J21</f>
        <v>100</v>
      </c>
      <c r="X21" s="2582"/>
      <c r="Y21" s="3406"/>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3"/>
      <c r="M22" s="2135"/>
      <c r="N22" s="2135"/>
      <c r="O22" s="2135"/>
      <c r="P22" s="3406"/>
      <c r="Q22" s="2580"/>
      <c r="R22" s="1574"/>
      <c r="S22" s="1575"/>
      <c r="T22" s="1574"/>
      <c r="U22" s="1575"/>
      <c r="V22" s="1574"/>
      <c r="W22" s="1575"/>
      <c r="X22" s="2582"/>
      <c r="Y22" s="3406"/>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6"/>
      <c r="Q23" s="1573" t="str">
        <f>B23</f>
        <v>环境质量</v>
      </c>
      <c r="R23" s="1574" t="s">
        <v>8</v>
      </c>
      <c r="S23" s="1575">
        <f>F23</f>
        <v>100</v>
      </c>
      <c r="T23" s="1574" t="s">
        <v>8</v>
      </c>
      <c r="U23" s="1575">
        <f>H23</f>
        <v>100</v>
      </c>
      <c r="V23" s="1574" t="s">
        <v>8</v>
      </c>
      <c r="W23" s="1575">
        <f>J23</f>
        <v>100</v>
      </c>
      <c r="X23" s="1568"/>
      <c r="Y23" s="340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6"/>
      <c r="Q24" s="1573"/>
      <c r="R24" s="1574"/>
      <c r="S24" s="1575"/>
      <c r="T24" s="1574"/>
      <c r="U24" s="1575"/>
      <c r="V24" s="1574"/>
      <c r="W24" s="1575"/>
      <c r="X24" s="1568"/>
      <c r="Y24" s="340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6"/>
      <c r="Q25" s="1573" t="str">
        <f>B25</f>
        <v>毗邻道路的类型与等级</v>
      </c>
      <c r="R25" s="1574" t="s">
        <v>8</v>
      </c>
      <c r="S25" s="1575">
        <f>F25</f>
        <v>100</v>
      </c>
      <c r="T25" s="1574" t="s">
        <v>8</v>
      </c>
      <c r="U25" s="1575">
        <f>H25</f>
        <v>100</v>
      </c>
      <c r="V25" s="1574" t="s">
        <v>8</v>
      </c>
      <c r="W25" s="1575">
        <f>J25</f>
        <v>100</v>
      </c>
      <c r="X25" s="1568"/>
      <c r="Y25" s="340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6"/>
      <c r="Q26" s="1573"/>
      <c r="R26" s="1574"/>
      <c r="S26" s="1575"/>
      <c r="T26" s="1574"/>
      <c r="U26" s="1575"/>
      <c r="V26" s="1574"/>
      <c r="W26" s="1575"/>
      <c r="X26" s="1568"/>
      <c r="Y26" s="340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6"/>
      <c r="Q27" s="1573" t="str">
        <f t="shared" ref="Q27:Q47" si="11">B27</f>
        <v>楼层</v>
      </c>
      <c r="R27" s="1574" t="s">
        <v>8</v>
      </c>
      <c r="S27" s="1575">
        <f>F27</f>
        <v>100</v>
      </c>
      <c r="T27" s="1574" t="s">
        <v>8</v>
      </c>
      <c r="U27" s="1575">
        <f>H27</f>
        <v>100</v>
      </c>
      <c r="V27" s="1574" t="s">
        <v>8</v>
      </c>
      <c r="W27" s="1575">
        <f>J27</f>
        <v>100</v>
      </c>
      <c r="X27" s="1568"/>
      <c r="Y27" s="340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6"/>
      <c r="Q28" s="1151" t="str">
        <f t="shared" si="11"/>
        <v>朝向</v>
      </c>
      <c r="R28" s="1569" t="s">
        <v>8</v>
      </c>
      <c r="S28" s="1570">
        <f>F28</f>
        <v>100</v>
      </c>
      <c r="T28" s="1569" t="s">
        <v>8</v>
      </c>
      <c r="U28" s="1570">
        <f>H28</f>
        <v>100</v>
      </c>
      <c r="V28" s="1569" t="s">
        <v>8</v>
      </c>
      <c r="W28" s="1570">
        <f>J28</f>
        <v>100</v>
      </c>
      <c r="X28" s="1571"/>
      <c r="Y28" s="340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6"/>
      <c r="Q29" s="1573">
        <f t="shared" si="11"/>
        <v>111</v>
      </c>
      <c r="R29" s="1574" t="s">
        <v>8</v>
      </c>
      <c r="S29" s="1575">
        <f t="shared" ref="S29:S47" si="12">F29</f>
        <v>100</v>
      </c>
      <c r="T29" s="1574" t="s">
        <v>8</v>
      </c>
      <c r="U29" s="1575">
        <f t="shared" ref="U29:U47" si="13">H29</f>
        <v>100</v>
      </c>
      <c r="V29" s="1574" t="s">
        <v>8</v>
      </c>
      <c r="W29" s="1575">
        <f t="shared" ref="W29:W47" si="14">J29</f>
        <v>100</v>
      </c>
      <c r="X29" s="1568"/>
      <c r="Y29" s="340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6"/>
      <c r="Q30" s="1573">
        <f t="shared" si="11"/>
        <v>111</v>
      </c>
      <c r="R30" s="1574" t="s">
        <v>8</v>
      </c>
      <c r="S30" s="1575">
        <f t="shared" si="12"/>
        <v>100</v>
      </c>
      <c r="T30" s="1574" t="s">
        <v>8</v>
      </c>
      <c r="U30" s="1575">
        <f t="shared" si="13"/>
        <v>100</v>
      </c>
      <c r="V30" s="1574" t="s">
        <v>8</v>
      </c>
      <c r="W30" s="1575">
        <f t="shared" si="14"/>
        <v>100</v>
      </c>
      <c r="X30" s="1568"/>
      <c r="Y30" s="340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6"/>
      <c r="Q31" s="1573">
        <f t="shared" si="11"/>
        <v>111</v>
      </c>
      <c r="R31" s="1574" t="s">
        <v>8</v>
      </c>
      <c r="S31" s="1575">
        <f t="shared" si="12"/>
        <v>100</v>
      </c>
      <c r="T31" s="1574" t="s">
        <v>8</v>
      </c>
      <c r="U31" s="1575">
        <f t="shared" si="13"/>
        <v>100</v>
      </c>
      <c r="V31" s="1574" t="s">
        <v>8</v>
      </c>
      <c r="W31" s="1575">
        <f t="shared" si="14"/>
        <v>100</v>
      </c>
      <c r="X31" s="1568"/>
      <c r="Y31" s="340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6"/>
      <c r="Q32" s="1573">
        <f t="shared" si="11"/>
        <v>111</v>
      </c>
      <c r="R32" s="1574" t="s">
        <v>8</v>
      </c>
      <c r="S32" s="1575">
        <f t="shared" si="12"/>
        <v>100</v>
      </c>
      <c r="T32" s="1574" t="s">
        <v>8</v>
      </c>
      <c r="U32" s="1575">
        <f t="shared" si="13"/>
        <v>100</v>
      </c>
      <c r="V32" s="1574" t="s">
        <v>8</v>
      </c>
      <c r="W32" s="1575">
        <f t="shared" si="14"/>
        <v>100</v>
      </c>
      <c r="X32" s="1568"/>
      <c r="Y32" s="3406"/>
      <c r="Z32" s="1576">
        <f t="shared" si="15"/>
        <v>111</v>
      </c>
      <c r="AA32" s="1577">
        <f t="shared" si="3"/>
        <v>1</v>
      </c>
      <c r="AB32" s="1577">
        <f t="shared" si="4"/>
        <v>1</v>
      </c>
      <c r="AC32" s="1577">
        <f t="shared" si="5"/>
        <v>1</v>
      </c>
    </row>
    <row r="33" spans="1:29" ht="15">
      <c r="A33" s="2908"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7" t="s">
        <v>550</v>
      </c>
      <c r="Q33" s="1573" t="str">
        <f t="shared" si="11"/>
        <v>建筑类型</v>
      </c>
      <c r="R33" s="1574" t="s">
        <v>8</v>
      </c>
      <c r="S33" s="1575">
        <f t="shared" si="12"/>
        <v>100</v>
      </c>
      <c r="T33" s="1574" t="s">
        <v>8</v>
      </c>
      <c r="U33" s="1575">
        <f t="shared" si="13"/>
        <v>100</v>
      </c>
      <c r="V33" s="1574" t="s">
        <v>8</v>
      </c>
      <c r="W33" s="1575">
        <f t="shared" si="14"/>
        <v>100</v>
      </c>
      <c r="X33" s="1568"/>
      <c r="Y33" s="340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8"/>
      <c r="Q34" s="1606" t="str">
        <f t="shared" si="11"/>
        <v>项目建筑规模</v>
      </c>
      <c r="R34" s="1578" t="s">
        <v>8</v>
      </c>
      <c r="S34" s="1579" t="e">
        <f t="shared" si="12"/>
        <v>#N/A</v>
      </c>
      <c r="T34" s="1578" t="s">
        <v>8</v>
      </c>
      <c r="U34" s="1579" t="e">
        <f t="shared" si="13"/>
        <v>#N/A</v>
      </c>
      <c r="V34" s="1578" t="s">
        <v>8</v>
      </c>
      <c r="W34" s="1579" t="e">
        <f t="shared" si="14"/>
        <v>#N/A</v>
      </c>
      <c r="X34" s="1580"/>
      <c r="Y34" s="340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8"/>
      <c r="Q35" s="1573" t="str">
        <f t="shared" si="11"/>
        <v>建筑结构</v>
      </c>
      <c r="R35" s="1574" t="s">
        <v>8</v>
      </c>
      <c r="S35" s="1575">
        <f t="shared" si="12"/>
        <v>100</v>
      </c>
      <c r="T35" s="1574" t="s">
        <v>8</v>
      </c>
      <c r="U35" s="1575">
        <f t="shared" si="13"/>
        <v>100</v>
      </c>
      <c r="V35" s="1574" t="s">
        <v>8</v>
      </c>
      <c r="W35" s="1575">
        <f t="shared" si="14"/>
        <v>100</v>
      </c>
      <c r="X35" s="1568"/>
      <c r="Y35" s="340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8"/>
      <c r="Q36" s="1573" t="str">
        <f t="shared" si="11"/>
        <v>公共部分装修</v>
      </c>
      <c r="R36" s="1574" t="s">
        <v>8</v>
      </c>
      <c r="S36" s="1575">
        <f t="shared" si="12"/>
        <v>100</v>
      </c>
      <c r="T36" s="1574" t="s">
        <v>8</v>
      </c>
      <c r="U36" s="1575">
        <f t="shared" si="13"/>
        <v>100</v>
      </c>
      <c r="V36" s="1574" t="s">
        <v>8</v>
      </c>
      <c r="W36" s="1575">
        <f t="shared" si="14"/>
        <v>100</v>
      </c>
      <c r="X36" s="1568"/>
      <c r="Y36" s="340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8"/>
      <c r="Q37" s="1573" t="str">
        <f t="shared" si="11"/>
        <v>成新度</v>
      </c>
      <c r="R37" s="1574" t="s">
        <v>8</v>
      </c>
      <c r="S37" s="1575" t="e">
        <f t="shared" si="12"/>
        <v>#N/A</v>
      </c>
      <c r="T37" s="1574" t="s">
        <v>8</v>
      </c>
      <c r="U37" s="1575" t="e">
        <f t="shared" si="13"/>
        <v>#N/A</v>
      </c>
      <c r="V37" s="1574" t="s">
        <v>8</v>
      </c>
      <c r="W37" s="1575" t="e">
        <f t="shared" si="14"/>
        <v>#N/A</v>
      </c>
      <c r="X37" s="1568"/>
      <c r="Y37" s="340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8"/>
      <c r="Q38" s="1151" t="str">
        <f t="shared" si="11"/>
        <v>写字楼等级</v>
      </c>
      <c r="R38" s="1569" t="s">
        <v>8</v>
      </c>
      <c r="S38" s="1570">
        <f t="shared" si="12"/>
        <v>100</v>
      </c>
      <c r="T38" s="1569" t="s">
        <v>8</v>
      </c>
      <c r="U38" s="1570">
        <f t="shared" si="13"/>
        <v>100</v>
      </c>
      <c r="V38" s="1569" t="s">
        <v>8</v>
      </c>
      <c r="W38" s="1570">
        <f t="shared" si="14"/>
        <v>100</v>
      </c>
      <c r="X38" s="1571"/>
      <c r="Y38" s="340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8" t="s">
        <v>550</v>
      </c>
      <c r="Q39" s="1573" t="str">
        <f t="shared" si="11"/>
        <v>物业管理</v>
      </c>
      <c r="R39" s="1574" t="s">
        <v>8</v>
      </c>
      <c r="S39" s="1575">
        <f t="shared" si="12"/>
        <v>100</v>
      </c>
      <c r="T39" s="1574" t="s">
        <v>8</v>
      </c>
      <c r="U39" s="1575">
        <f t="shared" si="13"/>
        <v>100</v>
      </c>
      <c r="V39" s="1574" t="s">
        <v>8</v>
      </c>
      <c r="W39" s="1575">
        <f t="shared" si="14"/>
        <v>100</v>
      </c>
      <c r="X39" s="1568"/>
      <c r="Y39" s="3408" t="s">
        <v>550</v>
      </c>
      <c r="Z39" s="1576" t="str">
        <f t="shared" si="15"/>
        <v>物业管理</v>
      </c>
      <c r="AA39" s="1577">
        <f t="shared" si="3"/>
        <v>1</v>
      </c>
      <c r="AB39" s="1577">
        <f t="shared" si="4"/>
        <v>1</v>
      </c>
      <c r="AC39" s="1577">
        <f t="shared" si="5"/>
        <v>1</v>
      </c>
    </row>
    <row r="40" spans="1:29" ht="15">
      <c r="A40" s="594"/>
      <c r="B40" s="1896"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8"/>
      <c r="Q40" s="1573" t="str">
        <f t="shared" si="11"/>
        <v>市政基础设施</v>
      </c>
      <c r="R40" s="1574" t="s">
        <v>8</v>
      </c>
      <c r="S40" s="1575">
        <f t="shared" si="12"/>
        <v>100</v>
      </c>
      <c r="T40" s="1574" t="s">
        <v>8</v>
      </c>
      <c r="U40" s="1575">
        <f t="shared" si="13"/>
        <v>100</v>
      </c>
      <c r="V40" s="1574" t="s">
        <v>8</v>
      </c>
      <c r="W40" s="1575">
        <f t="shared" si="14"/>
        <v>100</v>
      </c>
      <c r="X40" s="1568"/>
      <c r="Y40" s="340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8"/>
      <c r="Q41" s="1573" t="str">
        <f t="shared" si="11"/>
        <v>层高</v>
      </c>
      <c r="R41" s="1574" t="s">
        <v>8</v>
      </c>
      <c r="S41" s="1575">
        <f t="shared" si="12"/>
        <v>100</v>
      </c>
      <c r="T41" s="1574" t="s">
        <v>8</v>
      </c>
      <c r="U41" s="1575">
        <f t="shared" si="13"/>
        <v>100</v>
      </c>
      <c r="V41" s="1574" t="s">
        <v>8</v>
      </c>
      <c r="W41" s="1575">
        <f t="shared" si="14"/>
        <v>100</v>
      </c>
      <c r="X41" s="1568"/>
      <c r="Y41" s="340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8"/>
      <c r="Q42" s="1606" t="str">
        <f t="shared" si="11"/>
        <v>单套建筑面积</v>
      </c>
      <c r="R42" s="1578" t="s">
        <v>8</v>
      </c>
      <c r="S42" s="1579">
        <f t="shared" si="12"/>
        <v>100</v>
      </c>
      <c r="T42" s="1578" t="s">
        <v>8</v>
      </c>
      <c r="U42" s="1579">
        <f t="shared" si="13"/>
        <v>100</v>
      </c>
      <c r="V42" s="1578" t="s">
        <v>8</v>
      </c>
      <c r="W42" s="1579">
        <f t="shared" si="14"/>
        <v>100</v>
      </c>
      <c r="X42" s="1580"/>
      <c r="Y42" s="340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8"/>
      <c r="Q43" s="1573" t="str">
        <f t="shared" si="11"/>
        <v>内部装修</v>
      </c>
      <c r="R43" s="1574" t="s">
        <v>8</v>
      </c>
      <c r="S43" s="1575">
        <f t="shared" si="12"/>
        <v>100</v>
      </c>
      <c r="T43" s="1574" t="s">
        <v>8</v>
      </c>
      <c r="U43" s="1575">
        <f t="shared" si="13"/>
        <v>100</v>
      </c>
      <c r="V43" s="1574" t="s">
        <v>8</v>
      </c>
      <c r="W43" s="1575">
        <f t="shared" si="14"/>
        <v>100</v>
      </c>
      <c r="X43" s="1568"/>
      <c r="Y43" s="340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8"/>
      <c r="Q44" s="1573" t="str">
        <f t="shared" si="11"/>
        <v>内部装修维护情况</v>
      </c>
      <c r="R44" s="1574" t="s">
        <v>8</v>
      </c>
      <c r="S44" s="1575">
        <f t="shared" si="12"/>
        <v>100</v>
      </c>
      <c r="T44" s="1574" t="s">
        <v>8</v>
      </c>
      <c r="U44" s="1575">
        <f t="shared" si="13"/>
        <v>100</v>
      </c>
      <c r="V44" s="1574" t="s">
        <v>8</v>
      </c>
      <c r="W44" s="1575">
        <f t="shared" si="14"/>
        <v>100</v>
      </c>
      <c r="X44" s="1568"/>
      <c r="Y44" s="340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8"/>
      <c r="Q45" s="1151">
        <f t="shared" si="11"/>
        <v>111</v>
      </c>
      <c r="R45" s="1569" t="s">
        <v>8</v>
      </c>
      <c r="S45" s="1570">
        <f t="shared" si="12"/>
        <v>100</v>
      </c>
      <c r="T45" s="1569" t="s">
        <v>8</v>
      </c>
      <c r="U45" s="1570">
        <f t="shared" si="13"/>
        <v>100</v>
      </c>
      <c r="V45" s="1569" t="s">
        <v>8</v>
      </c>
      <c r="W45" s="1570">
        <f t="shared" si="14"/>
        <v>100</v>
      </c>
      <c r="X45" s="1571"/>
      <c r="Y45" s="340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8"/>
      <c r="Q46" s="1573">
        <f t="shared" si="11"/>
        <v>111</v>
      </c>
      <c r="R46" s="1574" t="s">
        <v>8</v>
      </c>
      <c r="S46" s="1575">
        <f t="shared" si="12"/>
        <v>100</v>
      </c>
      <c r="T46" s="1574" t="s">
        <v>8</v>
      </c>
      <c r="U46" s="1575">
        <f t="shared" si="13"/>
        <v>100</v>
      </c>
      <c r="V46" s="1574" t="s">
        <v>8</v>
      </c>
      <c r="W46" s="1575">
        <f t="shared" si="14"/>
        <v>100</v>
      </c>
      <c r="X46" s="1568"/>
      <c r="Y46" s="340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5"/>
      <c r="Q47" s="1573">
        <f t="shared" si="11"/>
        <v>111</v>
      </c>
      <c r="R47" s="1574" t="s">
        <v>8</v>
      </c>
      <c r="S47" s="1575">
        <f t="shared" si="12"/>
        <v>100</v>
      </c>
      <c r="T47" s="1574" t="s">
        <v>8</v>
      </c>
      <c r="U47" s="1575">
        <f t="shared" si="13"/>
        <v>100</v>
      </c>
      <c r="V47" s="1574" t="s">
        <v>8</v>
      </c>
      <c r="W47" s="1575">
        <f t="shared" si="14"/>
        <v>100</v>
      </c>
      <c r="X47" s="1568"/>
      <c r="Y47" s="3485"/>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5"/>
      <c r="M48" s="2135"/>
      <c r="N48" s="2135"/>
      <c r="O48" s="2135"/>
      <c r="P48" s="3368" t="str">
        <f>A48</f>
        <v>成交单价（元/平方米）</v>
      </c>
      <c r="Q48" s="3370"/>
      <c r="R48" s="3484">
        <f>E48</f>
        <v>0</v>
      </c>
      <c r="S48" s="3484"/>
      <c r="T48" s="3484">
        <f>G48</f>
        <v>0</v>
      </c>
      <c r="U48" s="3484"/>
      <c r="V48" s="3484">
        <f>I48</f>
        <v>0</v>
      </c>
      <c r="W48" s="3484"/>
      <c r="X48" s="1560"/>
      <c r="Y48" s="1582"/>
      <c r="Z48" s="1560"/>
      <c r="AA48" s="1560"/>
      <c r="AB48" s="1560"/>
      <c r="AC48" s="1560"/>
    </row>
    <row r="49" spans="1:29" ht="15.75" thickBot="1">
      <c r="A49" s="615" t="s">
        <v>2762</v>
      </c>
      <c r="B49" s="888"/>
      <c r="C49" s="2634" t="e">
        <f>R50</f>
        <v>#DIV/0!</v>
      </c>
      <c r="D49" s="2635"/>
      <c r="E49" s="2636" t="e">
        <f>R49</f>
        <v>#DIV/0!</v>
      </c>
      <c r="F49" s="2636"/>
      <c r="G49" s="2634" t="e">
        <f>T49</f>
        <v>#DIV/0!</v>
      </c>
      <c r="H49" s="2635"/>
      <c r="I49" s="2636" t="e">
        <f>V49</f>
        <v>#DIV/0!</v>
      </c>
      <c r="J49" s="2635"/>
      <c r="K49" s="1613"/>
      <c r="L49" s="2145"/>
      <c r="M49" s="2135"/>
      <c r="N49" s="2135"/>
      <c r="O49" s="2135"/>
      <c r="P49" s="3368" t="str">
        <f>A49</f>
        <v>比较价格（元/平方米）</v>
      </c>
      <c r="Q49" s="337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0"/>
      <c r="Y49" s="1560"/>
      <c r="Z49" s="1560"/>
      <c r="AA49" s="1560"/>
      <c r="AB49" s="1560"/>
      <c r="AC49" s="1560"/>
    </row>
    <row r="50" spans="1:29" ht="15.75" thickBot="1">
      <c r="A50" s="621" t="s">
        <v>2936</v>
      </c>
      <c r="B50" s="622"/>
      <c r="C50" s="2637" t="e">
        <f>R50</f>
        <v>#DIV/0!</v>
      </c>
      <c r="D50" s="2637"/>
      <c r="E50" s="2637"/>
      <c r="F50" s="2637"/>
      <c r="G50" s="2637"/>
      <c r="H50" s="2637"/>
      <c r="I50" s="2637"/>
      <c r="J50" s="2637"/>
      <c r="K50" s="1614"/>
      <c r="L50" s="2145"/>
      <c r="M50" s="2135"/>
      <c r="N50" s="2135"/>
      <c r="O50" s="2135"/>
      <c r="P50" s="3486" t="str">
        <f>A50</f>
        <v>估价对象XX用房的比较价格（楼面单价，元/平方米）</v>
      </c>
      <c r="Q50" s="3368"/>
      <c r="R50" s="3483" t="e">
        <f>IF(F1="售价",ROUND(AVERAGE(R49:V49),0),ROUND(AVERAGE(R49:V49),1))</f>
        <v>#DIV/0!</v>
      </c>
      <c r="S50" s="3483"/>
      <c r="T50" s="3483"/>
      <c r="U50" s="3483"/>
      <c r="V50" s="3483"/>
      <c r="W50" s="348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2559</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2560</v>
      </c>
      <c r="C83" s="2599" t="s">
        <v>2561</v>
      </c>
      <c r="D83" s="2599" t="s">
        <v>2562</v>
      </c>
      <c r="E83" s="2599" t="s">
        <v>2563</v>
      </c>
      <c r="F83" s="2599" t="s">
        <v>2564</v>
      </c>
      <c r="G83" s="2599" t="s">
        <v>2565</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2558</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6" t="s">
        <v>522</v>
      </c>
      <c r="D4" s="3377"/>
      <c r="E4" s="3411" t="s">
        <v>523</v>
      </c>
      <c r="F4" s="3412"/>
      <c r="G4" s="3376" t="s">
        <v>524</v>
      </c>
      <c r="H4" s="3377"/>
      <c r="I4" s="3376" t="s">
        <v>525</v>
      </c>
      <c r="J4" s="3377"/>
      <c r="K4" s="514" t="s">
        <v>526</v>
      </c>
      <c r="L4" s="2134"/>
      <c r="M4" s="2135"/>
      <c r="N4" s="2135"/>
      <c r="O4" s="2135"/>
      <c r="P4" s="3378" t="s">
        <v>527</v>
      </c>
      <c r="Q4" s="3379"/>
      <c r="R4" s="3384" t="s">
        <v>523</v>
      </c>
      <c r="S4" s="3385"/>
      <c r="T4" s="3384" t="s">
        <v>524</v>
      </c>
      <c r="U4" s="3385"/>
      <c r="V4" s="3371" t="s">
        <v>525</v>
      </c>
      <c r="W4" s="3371"/>
      <c r="X4" s="1568"/>
      <c r="Y4" s="3384" t="s">
        <v>527</v>
      </c>
      <c r="Z4" s="3385"/>
      <c r="AA4" s="3373" t="s">
        <v>523</v>
      </c>
      <c r="AB4" s="3374" t="s">
        <v>524</v>
      </c>
      <c r="AC4" s="3373" t="s">
        <v>525</v>
      </c>
    </row>
    <row r="5" spans="1:29" ht="15">
      <c r="A5" s="515"/>
      <c r="B5" s="516"/>
      <c r="C5" s="3392" t="s">
        <v>2930</v>
      </c>
      <c r="D5" s="3393"/>
      <c r="E5" s="3413" t="s">
        <v>2931</v>
      </c>
      <c r="F5" s="3414"/>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409" t="s">
        <v>2934</v>
      </c>
      <c r="F6" s="3410"/>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913"/>
      <c r="B7" s="2920" t="s">
        <v>529</v>
      </c>
      <c r="C7" s="519">
        <f>'数据-取费表'!B2</f>
        <v>43342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2" t="s">
        <v>530</v>
      </c>
      <c r="Q7" s="3404"/>
      <c r="R7" s="1569" t="s">
        <v>8</v>
      </c>
      <c r="S7" s="1570">
        <f t="shared" ref="S7:S15" si="0">F7</f>
        <v>0</v>
      </c>
      <c r="T7" s="1569" t="s">
        <v>8</v>
      </c>
      <c r="U7" s="1570">
        <f t="shared" ref="U7:U15" si="1">H7</f>
        <v>0</v>
      </c>
      <c r="V7" s="1569" t="s">
        <v>8</v>
      </c>
      <c r="W7" s="1570">
        <f t="shared" ref="W7:W15"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2" t="s">
        <v>533</v>
      </c>
      <c r="Q8" s="3403"/>
      <c r="R8" s="1569" t="s">
        <v>8</v>
      </c>
      <c r="S8" s="1570">
        <f t="shared" si="0"/>
        <v>0</v>
      </c>
      <c r="T8" s="1569" t="s">
        <v>8</v>
      </c>
      <c r="U8" s="1570">
        <f t="shared" si="1"/>
        <v>0</v>
      </c>
      <c r="V8" s="1569" t="s">
        <v>8</v>
      </c>
      <c r="W8" s="1570">
        <f t="shared" si="2"/>
        <v>0</v>
      </c>
      <c r="X8" s="1571"/>
      <c r="Y8" s="3402" t="s">
        <v>533</v>
      </c>
      <c r="Z8" s="3403"/>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0" t="s">
        <v>535</v>
      </c>
      <c r="Q9" s="1151" t="str">
        <f t="shared" ref="Q9:Q15" si="6">B9</f>
        <v>用途</v>
      </c>
      <c r="R9" s="1569" t="s">
        <v>8</v>
      </c>
      <c r="S9" s="1570">
        <f t="shared" si="0"/>
        <v>100</v>
      </c>
      <c r="T9" s="1569" t="s">
        <v>8</v>
      </c>
      <c r="U9" s="1570">
        <f t="shared" si="1"/>
        <v>100</v>
      </c>
      <c r="V9" s="1569" t="s">
        <v>8</v>
      </c>
      <c r="W9" s="1570">
        <f t="shared" si="2"/>
        <v>100</v>
      </c>
      <c r="X9" s="1571"/>
      <c r="Y9" s="3316"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0"/>
      <c r="Q11" s="1151" t="str">
        <f t="shared" si="6"/>
        <v>容积率</v>
      </c>
      <c r="R11" s="1569" t="s">
        <v>8</v>
      </c>
      <c r="S11" s="1570" t="e">
        <f t="shared" si="0"/>
        <v>#N/A</v>
      </c>
      <c r="T11" s="1569" t="s">
        <v>8</v>
      </c>
      <c r="U11" s="1570" t="e">
        <f t="shared" si="1"/>
        <v>#N/A</v>
      </c>
      <c r="V11" s="1569" t="s">
        <v>8</v>
      </c>
      <c r="W11" s="1570" t="e">
        <f t="shared" si="2"/>
        <v>#N/A</v>
      </c>
      <c r="X11" s="1571"/>
      <c r="Y11" s="3316"/>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0"/>
      <c r="Q14" s="1151">
        <f t="shared" si="6"/>
        <v>111</v>
      </c>
      <c r="R14" s="1569" t="s">
        <v>8</v>
      </c>
      <c r="S14" s="1570">
        <f t="shared" si="0"/>
        <v>100</v>
      </c>
      <c r="T14" s="1569" t="s">
        <v>8</v>
      </c>
      <c r="U14" s="1570">
        <f t="shared" si="1"/>
        <v>100</v>
      </c>
      <c r="V14" s="1569" t="s">
        <v>8</v>
      </c>
      <c r="W14" s="1570">
        <f t="shared" si="2"/>
        <v>100</v>
      </c>
      <c r="X14" s="1571"/>
      <c r="Y14" s="3316"/>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5" t="s">
        <v>540</v>
      </c>
      <c r="Q15" s="1573" t="str">
        <f t="shared" si="6"/>
        <v>产业集聚程度</v>
      </c>
      <c r="R15" s="1574" t="s">
        <v>8</v>
      </c>
      <c r="S15" s="1575">
        <f t="shared" si="0"/>
        <v>100</v>
      </c>
      <c r="T15" s="1574" t="s">
        <v>8</v>
      </c>
      <c r="U15" s="1575">
        <f t="shared" si="1"/>
        <v>100</v>
      </c>
      <c r="V15" s="1574" t="s">
        <v>8</v>
      </c>
      <c r="W15" s="1575">
        <f t="shared" si="2"/>
        <v>100</v>
      </c>
      <c r="X15" s="1568"/>
      <c r="Y15" s="340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6"/>
      <c r="Q16" s="1573"/>
      <c r="R16" s="1574"/>
      <c r="S16" s="1575"/>
      <c r="T16" s="1574"/>
      <c r="U16" s="1575"/>
      <c r="V16" s="1574"/>
      <c r="W16" s="1575"/>
      <c r="X16" s="1568"/>
      <c r="Y16" s="340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6"/>
      <c r="Q17" s="1573" t="str">
        <f>B17</f>
        <v>交通便捷度</v>
      </c>
      <c r="R17" s="1574" t="s">
        <v>8</v>
      </c>
      <c r="S17" s="1575">
        <f>F17</f>
        <v>100</v>
      </c>
      <c r="T17" s="1574" t="s">
        <v>8</v>
      </c>
      <c r="U17" s="1575">
        <f>H17</f>
        <v>100</v>
      </c>
      <c r="V17" s="1574" t="s">
        <v>8</v>
      </c>
      <c r="W17" s="1575">
        <f>J17</f>
        <v>100</v>
      </c>
      <c r="X17" s="1568"/>
      <c r="Y17" s="340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6"/>
      <c r="Q18" s="1573"/>
      <c r="R18" s="1574"/>
      <c r="S18" s="1575"/>
      <c r="T18" s="1574"/>
      <c r="U18" s="1575"/>
      <c r="V18" s="1574"/>
      <c r="W18" s="1575"/>
      <c r="X18" s="1568"/>
      <c r="Y18" s="3406"/>
      <c r="Z18" s="1576"/>
      <c r="AA18" s="1577">
        <v>1</v>
      </c>
      <c r="AB18" s="1577">
        <v>1</v>
      </c>
      <c r="AC18" s="1577">
        <v>1</v>
      </c>
    </row>
    <row r="19" spans="1:29" ht="42.75">
      <c r="A19" s="532"/>
      <c r="B19" s="2604"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6"/>
      <c r="Q19" s="1573" t="str">
        <f>B19</f>
        <v>公共配套设施</v>
      </c>
      <c r="R19" s="1574" t="s">
        <v>8</v>
      </c>
      <c r="S19" s="1575">
        <f>F19</f>
        <v>100</v>
      </c>
      <c r="T19" s="1574" t="s">
        <v>8</v>
      </c>
      <c r="U19" s="1575">
        <f>H19</f>
        <v>100</v>
      </c>
      <c r="V19" s="1574" t="s">
        <v>8</v>
      </c>
      <c r="W19" s="1575">
        <f>J19</f>
        <v>100</v>
      </c>
      <c r="X19" s="1568"/>
      <c r="Y19" s="340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6"/>
      <c r="Q20" s="1573"/>
      <c r="R20" s="1574"/>
      <c r="S20" s="1575"/>
      <c r="T20" s="1574"/>
      <c r="U20" s="1575"/>
      <c r="V20" s="1574"/>
      <c r="W20" s="1575"/>
      <c r="X20" s="1568"/>
      <c r="Y20" s="3406"/>
      <c r="Z20" s="1576"/>
      <c r="AA20" s="1577">
        <v>1</v>
      </c>
      <c r="AB20" s="1577">
        <v>1</v>
      </c>
      <c r="AC20" s="1577">
        <v>1</v>
      </c>
    </row>
    <row r="21" spans="1:29" ht="28.5">
      <c r="A21" s="532"/>
      <c r="B21" s="2592"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6"/>
      <c r="Q21" s="2580" t="str">
        <f>B21</f>
        <v>基础设施水平</v>
      </c>
      <c r="R21" s="1574" t="s">
        <v>8</v>
      </c>
      <c r="S21" s="1575">
        <f>F21</f>
        <v>100</v>
      </c>
      <c r="T21" s="1574" t="s">
        <v>8</v>
      </c>
      <c r="U21" s="1575">
        <f>H21</f>
        <v>100</v>
      </c>
      <c r="V21" s="1574" t="s">
        <v>8</v>
      </c>
      <c r="W21" s="1575">
        <f>J21</f>
        <v>100</v>
      </c>
      <c r="X21" s="2582"/>
      <c r="Y21" s="3406"/>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3"/>
      <c r="M22" s="2135"/>
      <c r="N22" s="2135"/>
      <c r="O22" s="2142"/>
      <c r="P22" s="3406"/>
      <c r="Q22" s="2580"/>
      <c r="R22" s="1574"/>
      <c r="S22" s="1575"/>
      <c r="T22" s="1574"/>
      <c r="U22" s="1575"/>
      <c r="V22" s="1574"/>
      <c r="W22" s="1575"/>
      <c r="X22" s="2582"/>
      <c r="Y22" s="3406"/>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6"/>
      <c r="Q23" s="1573" t="str">
        <f>B23</f>
        <v>环境质量</v>
      </c>
      <c r="R23" s="1574" t="s">
        <v>8</v>
      </c>
      <c r="S23" s="1575">
        <f>F23</f>
        <v>100</v>
      </c>
      <c r="T23" s="1574" t="s">
        <v>8</v>
      </c>
      <c r="U23" s="1575">
        <f>H23</f>
        <v>100</v>
      </c>
      <c r="V23" s="1574" t="s">
        <v>8</v>
      </c>
      <c r="W23" s="1575">
        <f>J23</f>
        <v>100</v>
      </c>
      <c r="X23" s="1568"/>
      <c r="Y23" s="340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6"/>
      <c r="Q24" s="1573"/>
      <c r="R24" s="1574"/>
      <c r="S24" s="1575"/>
      <c r="T24" s="1574"/>
      <c r="U24" s="1575"/>
      <c r="V24" s="1574"/>
      <c r="W24" s="1575"/>
      <c r="X24" s="1568"/>
      <c r="Y24" s="340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6"/>
      <c r="Q25" s="1573">
        <f>B25</f>
        <v>111</v>
      </c>
      <c r="R25" s="1574" t="s">
        <v>8</v>
      </c>
      <c r="S25" s="1575">
        <f>F25</f>
        <v>100</v>
      </c>
      <c r="T25" s="1574" t="s">
        <v>8</v>
      </c>
      <c r="U25" s="1575">
        <f>H25</f>
        <v>100</v>
      </c>
      <c r="V25" s="1574" t="s">
        <v>8</v>
      </c>
      <c r="W25" s="1575">
        <f>J25</f>
        <v>100</v>
      </c>
      <c r="X25" s="1568"/>
      <c r="Y25" s="340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6"/>
      <c r="Q26" s="1573">
        <f t="shared" ref="Q26:Q40" si="11">B26</f>
        <v>111</v>
      </c>
      <c r="R26" s="1574" t="s">
        <v>8</v>
      </c>
      <c r="S26" s="1575">
        <f>F26</f>
        <v>100</v>
      </c>
      <c r="T26" s="1574" t="s">
        <v>8</v>
      </c>
      <c r="U26" s="1575">
        <f>H26</f>
        <v>100</v>
      </c>
      <c r="V26" s="1574" t="s">
        <v>8</v>
      </c>
      <c r="W26" s="1575">
        <f>J26</f>
        <v>100</v>
      </c>
      <c r="X26" s="1568"/>
      <c r="Y26" s="340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6"/>
      <c r="Q27" s="1151">
        <f t="shared" si="11"/>
        <v>111</v>
      </c>
      <c r="R27" s="1569" t="s">
        <v>8</v>
      </c>
      <c r="S27" s="1570">
        <f>F27</f>
        <v>100</v>
      </c>
      <c r="T27" s="1569" t="s">
        <v>8</v>
      </c>
      <c r="U27" s="1570">
        <f>H27</f>
        <v>100</v>
      </c>
      <c r="V27" s="1569" t="s">
        <v>8</v>
      </c>
      <c r="W27" s="1570">
        <f>J27</f>
        <v>100</v>
      </c>
      <c r="X27" s="1571"/>
      <c r="Y27" s="340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6"/>
      <c r="Q28" s="1573">
        <f t="shared" si="11"/>
        <v>111</v>
      </c>
      <c r="R28" s="1574" t="s">
        <v>8</v>
      </c>
      <c r="S28" s="1575">
        <f t="shared" ref="S28:S40" si="12">F28</f>
        <v>100</v>
      </c>
      <c r="T28" s="1574" t="s">
        <v>8</v>
      </c>
      <c r="U28" s="1575">
        <f t="shared" ref="U28:U40" si="13">H28</f>
        <v>100</v>
      </c>
      <c r="V28" s="1574" t="s">
        <v>8</v>
      </c>
      <c r="W28" s="1575">
        <f t="shared" ref="W28:W40" si="14">J28</f>
        <v>100</v>
      </c>
      <c r="X28" s="1568"/>
      <c r="Y28" s="3406"/>
      <c r="Z28" s="1576">
        <f t="shared" ref="Z28:Z40" si="15">Q28</f>
        <v>111</v>
      </c>
      <c r="AA28" s="1577">
        <f t="shared" si="3"/>
        <v>1</v>
      </c>
      <c r="AB28" s="1577">
        <f t="shared" si="4"/>
        <v>1</v>
      </c>
      <c r="AC28" s="1577">
        <f t="shared" si="5"/>
        <v>1</v>
      </c>
    </row>
    <row r="29" spans="1:29" ht="15">
      <c r="A29" s="2908"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7" t="s">
        <v>550</v>
      </c>
      <c r="Q29" s="1573" t="str">
        <f t="shared" si="11"/>
        <v>建筑类型</v>
      </c>
      <c r="R29" s="1574" t="s">
        <v>8</v>
      </c>
      <c r="S29" s="1575">
        <f t="shared" si="12"/>
        <v>100</v>
      </c>
      <c r="T29" s="1574" t="s">
        <v>8</v>
      </c>
      <c r="U29" s="1575">
        <f t="shared" si="13"/>
        <v>100</v>
      </c>
      <c r="V29" s="1574" t="s">
        <v>8</v>
      </c>
      <c r="W29" s="1575">
        <f t="shared" si="14"/>
        <v>100</v>
      </c>
      <c r="X29" s="1568"/>
      <c r="Y29" s="340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8"/>
      <c r="Q30" s="1606" t="str">
        <f t="shared" si="11"/>
        <v>项目建筑规模</v>
      </c>
      <c r="R30" s="1578" t="s">
        <v>8</v>
      </c>
      <c r="S30" s="1579" t="e">
        <f t="shared" si="12"/>
        <v>#N/A</v>
      </c>
      <c r="T30" s="1578" t="s">
        <v>8</v>
      </c>
      <c r="U30" s="1579" t="e">
        <f t="shared" si="13"/>
        <v>#N/A</v>
      </c>
      <c r="V30" s="1578" t="s">
        <v>8</v>
      </c>
      <c r="W30" s="1579" t="e">
        <f t="shared" si="14"/>
        <v>#N/A</v>
      </c>
      <c r="X30" s="1580"/>
      <c r="Y30" s="340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8"/>
      <c r="Q31" s="1573" t="str">
        <f t="shared" si="11"/>
        <v>建筑结构</v>
      </c>
      <c r="R31" s="1574" t="s">
        <v>8</v>
      </c>
      <c r="S31" s="1575">
        <f t="shared" si="12"/>
        <v>100</v>
      </c>
      <c r="T31" s="1574" t="s">
        <v>8</v>
      </c>
      <c r="U31" s="1575">
        <f t="shared" si="13"/>
        <v>100</v>
      </c>
      <c r="V31" s="1574" t="s">
        <v>8</v>
      </c>
      <c r="W31" s="1575">
        <f t="shared" si="14"/>
        <v>100</v>
      </c>
      <c r="X31" s="1568"/>
      <c r="Y31" s="340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8"/>
      <c r="Q32" s="1573" t="str">
        <f t="shared" si="11"/>
        <v>公共部分装修</v>
      </c>
      <c r="R32" s="1574" t="s">
        <v>8</v>
      </c>
      <c r="S32" s="1575">
        <f t="shared" si="12"/>
        <v>100</v>
      </c>
      <c r="T32" s="1574" t="s">
        <v>8</v>
      </c>
      <c r="U32" s="1575">
        <f t="shared" si="13"/>
        <v>100</v>
      </c>
      <c r="V32" s="1574" t="s">
        <v>8</v>
      </c>
      <c r="W32" s="1575">
        <f t="shared" si="14"/>
        <v>100</v>
      </c>
      <c r="X32" s="1568"/>
      <c r="Y32" s="340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8"/>
      <c r="Q33" s="1573" t="str">
        <f t="shared" si="11"/>
        <v>成新度</v>
      </c>
      <c r="R33" s="1574" t="s">
        <v>8</v>
      </c>
      <c r="S33" s="1575" t="e">
        <f t="shared" si="12"/>
        <v>#N/A</v>
      </c>
      <c r="T33" s="1574" t="s">
        <v>8</v>
      </c>
      <c r="U33" s="1575" t="e">
        <f t="shared" si="13"/>
        <v>#N/A</v>
      </c>
      <c r="V33" s="1574" t="s">
        <v>8</v>
      </c>
      <c r="W33" s="1575" t="e">
        <f t="shared" si="14"/>
        <v>#N/A</v>
      </c>
      <c r="X33" s="1568"/>
      <c r="Y33" s="340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8"/>
      <c r="Q34" s="1151" t="str">
        <f t="shared" si="11"/>
        <v>物业管理</v>
      </c>
      <c r="R34" s="1569" t="s">
        <v>8</v>
      </c>
      <c r="S34" s="1570">
        <f t="shared" si="12"/>
        <v>100</v>
      </c>
      <c r="T34" s="1569" t="s">
        <v>8</v>
      </c>
      <c r="U34" s="1570">
        <f t="shared" si="13"/>
        <v>100</v>
      </c>
      <c r="V34" s="1569" t="s">
        <v>8</v>
      </c>
      <c r="W34" s="1570">
        <f t="shared" si="14"/>
        <v>100</v>
      </c>
      <c r="X34" s="1571"/>
      <c r="Y34" s="3408"/>
      <c r="Z34" s="1150" t="str">
        <f t="shared" si="15"/>
        <v>物业管理</v>
      </c>
      <c r="AA34" s="1572">
        <f t="shared" si="3"/>
        <v>1</v>
      </c>
      <c r="AB34" s="1572">
        <f t="shared" si="4"/>
        <v>1</v>
      </c>
      <c r="AC34" s="1572">
        <f t="shared" si="5"/>
        <v>1</v>
      </c>
    </row>
    <row r="35" spans="1:29" ht="15">
      <c r="A35" s="594"/>
      <c r="B35" s="1896"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8" t="s">
        <v>550</v>
      </c>
      <c r="Q35" s="1573" t="str">
        <f t="shared" si="11"/>
        <v>市政基础设施</v>
      </c>
      <c r="R35" s="1574" t="s">
        <v>8</v>
      </c>
      <c r="S35" s="1575">
        <f t="shared" si="12"/>
        <v>100</v>
      </c>
      <c r="T35" s="1574" t="s">
        <v>8</v>
      </c>
      <c r="U35" s="1575">
        <f t="shared" si="13"/>
        <v>100</v>
      </c>
      <c r="V35" s="1574" t="s">
        <v>8</v>
      </c>
      <c r="W35" s="1575">
        <f t="shared" si="14"/>
        <v>100</v>
      </c>
      <c r="X35" s="1568"/>
      <c r="Y35" s="340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8"/>
      <c r="Q36" s="1573" t="str">
        <f t="shared" si="11"/>
        <v>内部装修</v>
      </c>
      <c r="R36" s="1574" t="s">
        <v>8</v>
      </c>
      <c r="S36" s="1575">
        <f t="shared" si="12"/>
        <v>100</v>
      </c>
      <c r="T36" s="1574" t="s">
        <v>8</v>
      </c>
      <c r="U36" s="1575">
        <f t="shared" si="13"/>
        <v>100</v>
      </c>
      <c r="V36" s="1574" t="s">
        <v>8</v>
      </c>
      <c r="W36" s="1575">
        <f t="shared" si="14"/>
        <v>100</v>
      </c>
      <c r="X36" s="1568"/>
      <c r="Y36" s="340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8"/>
      <c r="Q37" s="1573" t="str">
        <f t="shared" si="11"/>
        <v>内部装修状况</v>
      </c>
      <c r="R37" s="1574" t="s">
        <v>8</v>
      </c>
      <c r="S37" s="1575">
        <f t="shared" si="12"/>
        <v>100</v>
      </c>
      <c r="T37" s="1574" t="s">
        <v>8</v>
      </c>
      <c r="U37" s="1575">
        <f t="shared" si="13"/>
        <v>100</v>
      </c>
      <c r="V37" s="1574" t="s">
        <v>8</v>
      </c>
      <c r="W37" s="1575">
        <f t="shared" si="14"/>
        <v>100</v>
      </c>
      <c r="X37" s="1568"/>
      <c r="Y37" s="340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8"/>
      <c r="Q38" s="1606">
        <f t="shared" si="11"/>
        <v>111</v>
      </c>
      <c r="R38" s="1578" t="s">
        <v>8</v>
      </c>
      <c r="S38" s="1579">
        <f t="shared" si="12"/>
        <v>100</v>
      </c>
      <c r="T38" s="1578" t="s">
        <v>8</v>
      </c>
      <c r="U38" s="1579">
        <f t="shared" si="13"/>
        <v>100</v>
      </c>
      <c r="V38" s="1578" t="s">
        <v>8</v>
      </c>
      <c r="W38" s="1579">
        <f t="shared" si="14"/>
        <v>100</v>
      </c>
      <c r="X38" s="1580"/>
      <c r="Y38" s="340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8"/>
      <c r="Q39" s="1573">
        <f t="shared" si="11"/>
        <v>111</v>
      </c>
      <c r="R39" s="1574" t="s">
        <v>8</v>
      </c>
      <c r="S39" s="1575">
        <f t="shared" si="12"/>
        <v>100</v>
      </c>
      <c r="T39" s="1574" t="s">
        <v>8</v>
      </c>
      <c r="U39" s="1575">
        <f t="shared" si="13"/>
        <v>100</v>
      </c>
      <c r="V39" s="1574" t="s">
        <v>8</v>
      </c>
      <c r="W39" s="1575">
        <f t="shared" si="14"/>
        <v>100</v>
      </c>
      <c r="X39" s="1568"/>
      <c r="Y39" s="340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5"/>
      <c r="Q40" s="1573">
        <f t="shared" si="11"/>
        <v>111</v>
      </c>
      <c r="R40" s="1574" t="s">
        <v>8</v>
      </c>
      <c r="S40" s="1575">
        <f t="shared" si="12"/>
        <v>100</v>
      </c>
      <c r="T40" s="1574" t="s">
        <v>8</v>
      </c>
      <c r="U40" s="1575">
        <f t="shared" si="13"/>
        <v>100</v>
      </c>
      <c r="V40" s="1574" t="s">
        <v>8</v>
      </c>
      <c r="W40" s="1575">
        <f t="shared" si="14"/>
        <v>100</v>
      </c>
      <c r="X40" s="1568"/>
      <c r="Y40" s="3485"/>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5"/>
      <c r="M41" s="2146"/>
      <c r="N41" s="2135"/>
      <c r="O41" s="2146"/>
      <c r="P41" s="3370" t="str">
        <f>A41</f>
        <v>成交单价（元/平方米）</v>
      </c>
      <c r="Q41" s="3370"/>
      <c r="R41" s="3484">
        <f>E41</f>
        <v>0</v>
      </c>
      <c r="S41" s="3484"/>
      <c r="T41" s="3484">
        <f>G41</f>
        <v>0</v>
      </c>
      <c r="U41" s="3484"/>
      <c r="V41" s="3484">
        <f>I41</f>
        <v>0</v>
      </c>
      <c r="W41" s="3484"/>
      <c r="X41" s="1560"/>
      <c r="Y41" s="1582"/>
      <c r="Z41" s="1560"/>
      <c r="AA41" s="1560"/>
      <c r="AB41" s="1560"/>
      <c r="AC41" s="1560"/>
    </row>
    <row r="42" spans="1:29" ht="15.75" thickBot="1">
      <c r="A42" s="615" t="s">
        <v>2762</v>
      </c>
      <c r="B42" s="888"/>
      <c r="C42" s="2634" t="e">
        <f>R43</f>
        <v>#DIV/0!</v>
      </c>
      <c r="D42" s="2635"/>
      <c r="E42" s="2636" t="e">
        <f>R42</f>
        <v>#DIV/0!</v>
      </c>
      <c r="F42" s="2636"/>
      <c r="G42" s="2634" t="e">
        <f>T42</f>
        <v>#DIV/0!</v>
      </c>
      <c r="H42" s="2635"/>
      <c r="I42" s="2636" t="e">
        <f>V42</f>
        <v>#DIV/0!</v>
      </c>
      <c r="J42" s="2635"/>
      <c r="K42" s="1613"/>
      <c r="L42" s="2145"/>
      <c r="M42" s="2146"/>
      <c r="N42" s="2135"/>
      <c r="O42" s="2146"/>
      <c r="P42" s="3370" t="str">
        <f>A42</f>
        <v>比较价格（元/平方米）</v>
      </c>
      <c r="Q42" s="337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0"/>
      <c r="Y42" s="1560"/>
      <c r="Z42" s="1560"/>
      <c r="AA42" s="1560"/>
      <c r="AB42" s="1560"/>
      <c r="AC42" s="1560"/>
    </row>
    <row r="43" spans="1:29" ht="15.75" thickBot="1">
      <c r="A43" s="621" t="s">
        <v>2936</v>
      </c>
      <c r="B43" s="622"/>
      <c r="C43" s="2637" t="e">
        <f>R43</f>
        <v>#DIV/0!</v>
      </c>
      <c r="D43" s="2637"/>
      <c r="E43" s="2637"/>
      <c r="F43" s="2637"/>
      <c r="G43" s="2637"/>
      <c r="H43" s="2637"/>
      <c r="I43" s="2637"/>
      <c r="J43" s="2637"/>
      <c r="K43" s="1614"/>
      <c r="L43" s="2145"/>
      <c r="M43" s="2146"/>
      <c r="N43" s="2146"/>
      <c r="O43" s="2146"/>
      <c r="P43" s="3367" t="str">
        <f>A43</f>
        <v>估价对象XX用房的比较价格（楼面单价，元/平方米）</v>
      </c>
      <c r="Q43" s="3368"/>
      <c r="R43" s="3483" t="e">
        <f>IF(F1="售价",ROUND(AVERAGE(R42:V42),0),ROUND(AVERAGE(R42:V42),1))</f>
        <v>#DIV/0!</v>
      </c>
      <c r="S43" s="3483"/>
      <c r="T43" s="3483"/>
      <c r="U43" s="3483"/>
      <c r="V43" s="3483"/>
      <c r="W43" s="348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2559</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2560</v>
      </c>
      <c r="C76" s="2599" t="s">
        <v>2561</v>
      </c>
      <c r="D76" s="2599" t="s">
        <v>2562</v>
      </c>
      <c r="E76" s="2599" t="s">
        <v>2563</v>
      </c>
      <c r="F76" s="2599" t="s">
        <v>2564</v>
      </c>
      <c r="G76" s="2599" t="s">
        <v>2565</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2558</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376" t="s">
        <v>799</v>
      </c>
      <c r="F4" s="3377"/>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2930</v>
      </c>
      <c r="D5" s="3393"/>
      <c r="E5" s="3392" t="s">
        <v>2931</v>
      </c>
      <c r="F5" s="3393"/>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395" t="s">
        <v>2934</v>
      </c>
      <c r="F6" s="3396"/>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913"/>
      <c r="B7" s="2920" t="s">
        <v>529</v>
      </c>
      <c r="C7" s="519">
        <f>'数据-取费表'!B2</f>
        <v>43342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2" t="s">
        <v>530</v>
      </c>
      <c r="Q7" s="3404"/>
      <c r="R7" s="1569" t="s">
        <v>8</v>
      </c>
      <c r="S7" s="1570">
        <f t="shared" ref="S7:S14" si="0">F7</f>
        <v>0</v>
      </c>
      <c r="T7" s="1569" t="s">
        <v>8</v>
      </c>
      <c r="U7" s="1570">
        <f t="shared" ref="U7:U14" si="1">H7</f>
        <v>0</v>
      </c>
      <c r="V7" s="1569" t="s">
        <v>8</v>
      </c>
      <c r="W7" s="1570">
        <f t="shared" ref="W7:W14"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2" t="s">
        <v>533</v>
      </c>
      <c r="Q8" s="3403"/>
      <c r="R8" s="1569" t="s">
        <v>8</v>
      </c>
      <c r="S8" s="1570">
        <f t="shared" si="0"/>
        <v>0</v>
      </c>
      <c r="T8" s="1569" t="s">
        <v>8</v>
      </c>
      <c r="U8" s="1570">
        <f t="shared" si="1"/>
        <v>0</v>
      </c>
      <c r="V8" s="1569" t="s">
        <v>8</v>
      </c>
      <c r="W8" s="1570">
        <f t="shared" si="2"/>
        <v>0</v>
      </c>
      <c r="X8" s="1571"/>
      <c r="Y8" s="3402" t="s">
        <v>533</v>
      </c>
      <c r="Z8" s="3403"/>
      <c r="AA8" s="1572" t="e">
        <f t="shared" ref="AA8:AA36" si="3">D8/F8</f>
        <v>#DIV/0!</v>
      </c>
      <c r="AB8" s="1572" t="e">
        <f t="shared" ref="AB8:AB36" si="4">D8/H8</f>
        <v>#DIV/0!</v>
      </c>
      <c r="AC8" s="1572" t="e">
        <f t="shared" ref="AC8:AC36" si="5">D8/J8</f>
        <v>#DIV/0!</v>
      </c>
    </row>
    <row r="9" spans="1:29" s="1220" customFormat="1" ht="15">
      <c r="A9" s="2915"/>
      <c r="B9" s="2922" t="s">
        <v>2758</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99.75">
      <c r="A14" s="2911" t="s">
        <v>2756</v>
      </c>
      <c r="B14" s="547" t="s">
        <v>543</v>
      </c>
      <c r="C14" s="921" t="str">
        <f>IF(B1="工业",估价对象房地状况!G4,估价对象房地状况!C6)</f>
        <v>估价对象周边道路状况较好、公共交通通达情况较好、停车便捷程度较好，综合评价交通便捷度较好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5" t="s">
        <v>540</v>
      </c>
      <c r="Q14" s="1573" t="str">
        <f t="shared" si="6"/>
        <v>交通便捷度</v>
      </c>
      <c r="R14" s="1574" t="s">
        <v>8</v>
      </c>
      <c r="S14" s="1575">
        <f t="shared" si="0"/>
        <v>100</v>
      </c>
      <c r="T14" s="1574" t="s">
        <v>8</v>
      </c>
      <c r="U14" s="1575">
        <f t="shared" si="1"/>
        <v>100</v>
      </c>
      <c r="V14" s="1574" t="s">
        <v>8</v>
      </c>
      <c r="W14" s="1575">
        <f t="shared" si="2"/>
        <v>100</v>
      </c>
      <c r="X14" s="1568"/>
      <c r="Y14" s="340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6"/>
      <c r="Q15" s="1573"/>
      <c r="R15" s="1574"/>
      <c r="S15" s="1575"/>
      <c r="T15" s="1574"/>
      <c r="U15" s="1575"/>
      <c r="V15" s="1574"/>
      <c r="W15" s="1575"/>
      <c r="X15" s="1568"/>
      <c r="Y15" s="3406"/>
      <c r="Z15" s="1576"/>
      <c r="AA15" s="1577">
        <v>1</v>
      </c>
      <c r="AB15" s="1577">
        <v>1</v>
      </c>
      <c r="AC15" s="1577">
        <v>1</v>
      </c>
    </row>
    <row r="16" spans="1:29" ht="42.75">
      <c r="A16" s="515"/>
      <c r="B16" s="2604" t="s">
        <v>2548</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6"/>
      <c r="Q16" s="1573" t="str">
        <f>B16</f>
        <v>公共配套设施</v>
      </c>
      <c r="R16" s="1574" t="s">
        <v>8</v>
      </c>
      <c r="S16" s="1575">
        <f>F16</f>
        <v>100</v>
      </c>
      <c r="T16" s="1574" t="s">
        <v>8</v>
      </c>
      <c r="U16" s="1575">
        <f>H16</f>
        <v>100</v>
      </c>
      <c r="V16" s="1574" t="s">
        <v>8</v>
      </c>
      <c r="W16" s="1575">
        <f>J16</f>
        <v>100</v>
      </c>
      <c r="X16" s="1568"/>
      <c r="Y16" s="340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6"/>
      <c r="Q17" s="1573"/>
      <c r="R17" s="1574"/>
      <c r="S17" s="1575"/>
      <c r="T17" s="1574"/>
      <c r="U17" s="1575"/>
      <c r="V17" s="1574"/>
      <c r="W17" s="1575"/>
      <c r="X17" s="1568"/>
      <c r="Y17" s="3406"/>
      <c r="Z17" s="1576"/>
      <c r="AA17" s="1577">
        <v>1</v>
      </c>
      <c r="AB17" s="1577">
        <v>1</v>
      </c>
      <c r="AC17" s="1577">
        <v>1</v>
      </c>
    </row>
    <row r="18" spans="1:29" ht="42.75">
      <c r="A18" s="515"/>
      <c r="B18" s="2592" t="s">
        <v>2560</v>
      </c>
      <c r="C18" s="872" t="str">
        <f>IF(B1="工业",估价对象房地状况!G6,估价对象房地状况!C8)</f>
        <v>估价对象所在区域基础设施水平达到七通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6"/>
      <c r="Q18" s="2580" t="str">
        <f>B18</f>
        <v>基础设施水平</v>
      </c>
      <c r="R18" s="1574" t="s">
        <v>8</v>
      </c>
      <c r="S18" s="1575">
        <f>F18</f>
        <v>100</v>
      </c>
      <c r="T18" s="1574" t="s">
        <v>8</v>
      </c>
      <c r="U18" s="1575">
        <f>H18</f>
        <v>100</v>
      </c>
      <c r="V18" s="1574" t="s">
        <v>8</v>
      </c>
      <c r="W18" s="1575">
        <f>J18</f>
        <v>100</v>
      </c>
      <c r="X18" s="2582"/>
      <c r="Y18" s="3406"/>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3"/>
      <c r="M19" s="2135"/>
      <c r="N19" s="2135"/>
      <c r="O19" s="2142"/>
      <c r="P19" s="3406"/>
      <c r="Q19" s="2580"/>
      <c r="R19" s="1574"/>
      <c r="S19" s="1575"/>
      <c r="T19" s="1574"/>
      <c r="U19" s="1575"/>
      <c r="V19" s="1574"/>
      <c r="W19" s="1575"/>
      <c r="X19" s="2582"/>
      <c r="Y19" s="3406"/>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6"/>
      <c r="Q20" s="1573" t="str">
        <f>B20</f>
        <v>自然及人文环境</v>
      </c>
      <c r="R20" s="1574" t="s">
        <v>8</v>
      </c>
      <c r="S20" s="1575">
        <f>F20</f>
        <v>100</v>
      </c>
      <c r="T20" s="1574" t="s">
        <v>8</v>
      </c>
      <c r="U20" s="1575">
        <f>H20</f>
        <v>100</v>
      </c>
      <c r="V20" s="1574" t="s">
        <v>8</v>
      </c>
      <c r="W20" s="1575">
        <f>J20</f>
        <v>100</v>
      </c>
      <c r="X20" s="1568"/>
      <c r="Y20" s="340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6"/>
      <c r="Q21" s="1573"/>
      <c r="R21" s="1574"/>
      <c r="S21" s="1575"/>
      <c r="T21" s="1574"/>
      <c r="U21" s="1575"/>
      <c r="V21" s="1574"/>
      <c r="W21" s="1575"/>
      <c r="X21" s="1568"/>
      <c r="Y21" s="340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6"/>
      <c r="Q22" s="1573" t="str">
        <f>B22</f>
        <v>楼层</v>
      </c>
      <c r="R22" s="1574" t="s">
        <v>8</v>
      </c>
      <c r="S22" s="1575">
        <f>F22</f>
        <v>100</v>
      </c>
      <c r="T22" s="1574" t="s">
        <v>8</v>
      </c>
      <c r="U22" s="1575">
        <f>H22</f>
        <v>100</v>
      </c>
      <c r="V22" s="1574" t="s">
        <v>8</v>
      </c>
      <c r="W22" s="1575">
        <f>J22</f>
        <v>100</v>
      </c>
      <c r="X22" s="1568"/>
      <c r="Y22" s="340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6"/>
      <c r="Q23" s="1573">
        <f>B23</f>
        <v>111</v>
      </c>
      <c r="R23" s="1574" t="s">
        <v>8</v>
      </c>
      <c r="S23" s="1575">
        <f>F23</f>
        <v>100</v>
      </c>
      <c r="T23" s="1574" t="s">
        <v>8</v>
      </c>
      <c r="U23" s="1575">
        <f>H23</f>
        <v>100</v>
      </c>
      <c r="V23" s="1574" t="s">
        <v>8</v>
      </c>
      <c r="W23" s="1575">
        <f>J23</f>
        <v>100</v>
      </c>
      <c r="X23" s="1568"/>
      <c r="Y23" s="340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6"/>
      <c r="Q24" s="1573">
        <f t="shared" ref="Q24:Q36" si="11">B24</f>
        <v>111</v>
      </c>
      <c r="R24" s="1574" t="s">
        <v>8</v>
      </c>
      <c r="S24" s="1575">
        <f>F24</f>
        <v>100</v>
      </c>
      <c r="T24" s="1574" t="s">
        <v>8</v>
      </c>
      <c r="U24" s="1575">
        <f>H24</f>
        <v>100</v>
      </c>
      <c r="V24" s="1574" t="s">
        <v>8</v>
      </c>
      <c r="W24" s="1575">
        <f>J24</f>
        <v>100</v>
      </c>
      <c r="X24" s="1568"/>
      <c r="Y24" s="340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6"/>
      <c r="Q25" s="1151">
        <f t="shared" si="11"/>
        <v>111</v>
      </c>
      <c r="R25" s="1569" t="s">
        <v>8</v>
      </c>
      <c r="S25" s="1570">
        <f>F25</f>
        <v>100</v>
      </c>
      <c r="T25" s="1569" t="s">
        <v>8</v>
      </c>
      <c r="U25" s="1570">
        <f>H25</f>
        <v>100</v>
      </c>
      <c r="V25" s="1569" t="s">
        <v>8</v>
      </c>
      <c r="W25" s="1570">
        <f>J25</f>
        <v>100</v>
      </c>
      <c r="X25" s="1571"/>
      <c r="Y25" s="3406"/>
      <c r="Z25" s="1150">
        <f>Q25</f>
        <v>111</v>
      </c>
      <c r="AA25" s="1577">
        <f>D25/F25</f>
        <v>1</v>
      </c>
      <c r="AB25" s="1577">
        <f>D25/H25</f>
        <v>1</v>
      </c>
      <c r="AC25" s="1577">
        <f>D25/J25</f>
        <v>1</v>
      </c>
    </row>
    <row r="26" spans="1:29" ht="15">
      <c r="A26" s="2908"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8"/>
      <c r="Q27" s="1606" t="str">
        <f t="shared" si="11"/>
        <v>项目停车位配比</v>
      </c>
      <c r="R27" s="1578" t="s">
        <v>8</v>
      </c>
      <c r="S27" s="1579">
        <f t="shared" si="12"/>
        <v>100</v>
      </c>
      <c r="T27" s="1578" t="s">
        <v>8</v>
      </c>
      <c r="U27" s="1579">
        <f t="shared" si="13"/>
        <v>100</v>
      </c>
      <c r="V27" s="1578" t="s">
        <v>8</v>
      </c>
      <c r="W27" s="1579">
        <f t="shared" si="14"/>
        <v>100</v>
      </c>
      <c r="X27" s="1580"/>
      <c r="Y27" s="340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8"/>
      <c r="Q28" s="1573" t="str">
        <f t="shared" si="11"/>
        <v>公共部分装修</v>
      </c>
      <c r="R28" s="1574" t="s">
        <v>8</v>
      </c>
      <c r="S28" s="1575">
        <f t="shared" si="12"/>
        <v>100</v>
      </c>
      <c r="T28" s="1574" t="s">
        <v>8</v>
      </c>
      <c r="U28" s="1575">
        <f t="shared" si="13"/>
        <v>100</v>
      </c>
      <c r="V28" s="1574" t="s">
        <v>8</v>
      </c>
      <c r="W28" s="1575">
        <f t="shared" si="14"/>
        <v>100</v>
      </c>
      <c r="X28" s="1568"/>
      <c r="Y28" s="340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8"/>
      <c r="Q29" s="1573" t="str">
        <f t="shared" si="11"/>
        <v>成新率</v>
      </c>
      <c r="R29" s="1574" t="s">
        <v>8</v>
      </c>
      <c r="S29" s="1575" t="e">
        <f t="shared" si="12"/>
        <v>#N/A</v>
      </c>
      <c r="T29" s="1574" t="s">
        <v>8</v>
      </c>
      <c r="U29" s="1575" t="e">
        <f t="shared" si="13"/>
        <v>#N/A</v>
      </c>
      <c r="V29" s="1574" t="s">
        <v>8</v>
      </c>
      <c r="W29" s="1575" t="e">
        <f t="shared" si="14"/>
        <v>#N/A</v>
      </c>
      <c r="X29" s="1568"/>
      <c r="Y29" s="340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8"/>
      <c r="Q30" s="1573" t="str">
        <f t="shared" si="11"/>
        <v>物业等级</v>
      </c>
      <c r="R30" s="1574" t="s">
        <v>8</v>
      </c>
      <c r="S30" s="1575">
        <f t="shared" si="12"/>
        <v>100</v>
      </c>
      <c r="T30" s="1574" t="s">
        <v>8</v>
      </c>
      <c r="U30" s="1575">
        <f t="shared" si="13"/>
        <v>100</v>
      </c>
      <c r="V30" s="1574" t="s">
        <v>8</v>
      </c>
      <c r="W30" s="1575">
        <f t="shared" si="14"/>
        <v>100</v>
      </c>
      <c r="X30" s="1568"/>
      <c r="Y30" s="340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8"/>
      <c r="Q31" s="1151" t="str">
        <f t="shared" si="11"/>
        <v>停车位面积</v>
      </c>
      <c r="R31" s="1569" t="s">
        <v>8</v>
      </c>
      <c r="S31" s="1570" t="e">
        <f t="shared" si="12"/>
        <v>#N/A</v>
      </c>
      <c r="T31" s="1569" t="s">
        <v>8</v>
      </c>
      <c r="U31" s="1570" t="e">
        <f t="shared" si="13"/>
        <v>#N/A</v>
      </c>
      <c r="V31" s="1569" t="s">
        <v>8</v>
      </c>
      <c r="W31" s="1570" t="e">
        <f t="shared" si="14"/>
        <v>#N/A</v>
      </c>
      <c r="X31" s="1571"/>
      <c r="Y31" s="340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8" t="s">
        <v>550</v>
      </c>
      <c r="Q32" s="1573" t="str">
        <f t="shared" si="11"/>
        <v>车位类型</v>
      </c>
      <c r="R32" s="1574" t="s">
        <v>8</v>
      </c>
      <c r="S32" s="1575">
        <f t="shared" si="12"/>
        <v>100</v>
      </c>
      <c r="T32" s="1574" t="s">
        <v>8</v>
      </c>
      <c r="U32" s="1575">
        <f t="shared" si="13"/>
        <v>100</v>
      </c>
      <c r="V32" s="1574" t="s">
        <v>8</v>
      </c>
      <c r="W32" s="1575">
        <f t="shared" si="14"/>
        <v>100</v>
      </c>
      <c r="X32" s="1568"/>
      <c r="Y32" s="340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8"/>
      <c r="Q33" s="1573" t="str">
        <f t="shared" si="11"/>
        <v>是否直接入户</v>
      </c>
      <c r="R33" s="1574" t="s">
        <v>8</v>
      </c>
      <c r="S33" s="1575">
        <f t="shared" si="12"/>
        <v>100</v>
      </c>
      <c r="T33" s="1574" t="s">
        <v>8</v>
      </c>
      <c r="U33" s="1575">
        <f t="shared" si="13"/>
        <v>100</v>
      </c>
      <c r="V33" s="1574" t="s">
        <v>8</v>
      </c>
      <c r="W33" s="1575">
        <f t="shared" si="14"/>
        <v>100</v>
      </c>
      <c r="X33" s="1568"/>
      <c r="Y33" s="340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8"/>
      <c r="Q34" s="1573">
        <f t="shared" si="11"/>
        <v>111</v>
      </c>
      <c r="R34" s="1574" t="s">
        <v>8</v>
      </c>
      <c r="S34" s="1575">
        <f t="shared" si="12"/>
        <v>100</v>
      </c>
      <c r="T34" s="1574" t="s">
        <v>8</v>
      </c>
      <c r="U34" s="1575">
        <f t="shared" si="13"/>
        <v>100</v>
      </c>
      <c r="V34" s="1574" t="s">
        <v>8</v>
      </c>
      <c r="W34" s="1575">
        <f t="shared" si="14"/>
        <v>100</v>
      </c>
      <c r="X34" s="1568"/>
      <c r="Y34" s="340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8"/>
      <c r="Q35" s="1606">
        <f t="shared" si="11"/>
        <v>111</v>
      </c>
      <c r="R35" s="1578" t="s">
        <v>8</v>
      </c>
      <c r="S35" s="1579">
        <f t="shared" si="12"/>
        <v>100</v>
      </c>
      <c r="T35" s="1578" t="s">
        <v>8</v>
      </c>
      <c r="U35" s="1579">
        <f t="shared" si="13"/>
        <v>100</v>
      </c>
      <c r="V35" s="1578" t="s">
        <v>8</v>
      </c>
      <c r="W35" s="1579">
        <f t="shared" si="14"/>
        <v>100</v>
      </c>
      <c r="X35" s="1580"/>
      <c r="Y35" s="340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8"/>
      <c r="Q36" s="1573">
        <f t="shared" si="11"/>
        <v>111</v>
      </c>
      <c r="R36" s="1574" t="s">
        <v>8</v>
      </c>
      <c r="S36" s="1575">
        <f t="shared" si="12"/>
        <v>100</v>
      </c>
      <c r="T36" s="1574" t="s">
        <v>8</v>
      </c>
      <c r="U36" s="1575">
        <f t="shared" si="13"/>
        <v>100</v>
      </c>
      <c r="V36" s="1574" t="s">
        <v>8</v>
      </c>
      <c r="W36" s="1575">
        <f t="shared" si="14"/>
        <v>100</v>
      </c>
      <c r="X36" s="1568"/>
      <c r="Y36" s="3408"/>
      <c r="Z36" s="1576">
        <f t="shared" si="15"/>
        <v>111</v>
      </c>
      <c r="AA36" s="1577">
        <f t="shared" si="3"/>
        <v>1</v>
      </c>
      <c r="AB36" s="1577">
        <f t="shared" si="4"/>
        <v>1</v>
      </c>
      <c r="AC36" s="1577">
        <f t="shared" si="5"/>
        <v>1</v>
      </c>
    </row>
    <row r="37" spans="1:29" ht="15">
      <c r="A37" s="1847" t="s">
        <v>2079</v>
      </c>
      <c r="B37" s="1848" t="s">
        <v>2080</v>
      </c>
      <c r="C37" s="2628" t="s">
        <v>1</v>
      </c>
      <c r="D37" s="2629"/>
      <c r="E37" s="2630"/>
      <c r="F37" s="2631"/>
      <c r="G37" s="2632"/>
      <c r="H37" s="2633"/>
      <c r="I37" s="2630"/>
      <c r="J37" s="2633"/>
      <c r="K37" s="1612"/>
      <c r="L37" s="2145"/>
      <c r="M37" s="2146"/>
      <c r="N37" s="2135"/>
      <c r="O37" s="2146"/>
      <c r="P37" s="3370" t="str">
        <f>A37</f>
        <v>成交单价</v>
      </c>
      <c r="Q37" s="3370"/>
      <c r="R37" s="3484">
        <f>E37</f>
        <v>0</v>
      </c>
      <c r="S37" s="3484"/>
      <c r="T37" s="3484">
        <f>G37</f>
        <v>0</v>
      </c>
      <c r="U37" s="3484"/>
      <c r="V37" s="3484">
        <f>I37</f>
        <v>0</v>
      </c>
      <c r="W37" s="3484"/>
      <c r="X37" s="1560"/>
      <c r="Y37" s="1582"/>
      <c r="Z37" s="1560"/>
      <c r="AA37" s="1560"/>
      <c r="AB37" s="1560"/>
      <c r="AC37" s="1560"/>
    </row>
    <row r="38" spans="1:29" ht="15.75" thickBot="1">
      <c r="A38" s="615" t="s">
        <v>2762</v>
      </c>
      <c r="B38" s="888"/>
      <c r="C38" s="2634" t="e">
        <f>R39</f>
        <v>#DIV/0!</v>
      </c>
      <c r="D38" s="2635"/>
      <c r="E38" s="2636" t="e">
        <f>R38</f>
        <v>#DIV/0!</v>
      </c>
      <c r="F38" s="2636"/>
      <c r="G38" s="2634" t="e">
        <f>T38</f>
        <v>#DIV/0!</v>
      </c>
      <c r="H38" s="2635"/>
      <c r="I38" s="2636" t="e">
        <f>V38</f>
        <v>#DIV/0!</v>
      </c>
      <c r="J38" s="2635"/>
      <c r="K38" s="1613"/>
      <c r="L38" s="2145"/>
      <c r="M38" s="2146"/>
      <c r="N38" s="2146"/>
      <c r="O38" s="2146"/>
      <c r="P38" s="3370" t="str">
        <f>A38</f>
        <v>比较价格（元/平方米）</v>
      </c>
      <c r="Q38" s="337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0"/>
      <c r="Y38" s="1560"/>
      <c r="Z38" s="1560"/>
      <c r="AA38" s="1560"/>
      <c r="AB38" s="1560"/>
      <c r="AC38" s="1560"/>
    </row>
    <row r="39" spans="1:29" ht="15.75" thickBot="1">
      <c r="A39" s="621" t="s">
        <v>2936</v>
      </c>
      <c r="B39" s="622"/>
      <c r="C39" s="2637" t="e">
        <f>R39</f>
        <v>#DIV/0!</v>
      </c>
      <c r="D39" s="2637"/>
      <c r="E39" s="2637"/>
      <c r="F39" s="2637"/>
      <c r="G39" s="2637"/>
      <c r="H39" s="2637"/>
      <c r="I39" s="2637"/>
      <c r="J39" s="2637"/>
      <c r="K39" s="1614"/>
      <c r="L39" s="2145"/>
      <c r="M39" s="2146"/>
      <c r="N39" s="2146"/>
      <c r="O39" s="2146"/>
      <c r="P39" s="3367" t="str">
        <f>A39</f>
        <v>估价对象XX用房的比较价格（楼面单价，元/平方米）</v>
      </c>
      <c r="Q39" s="3368"/>
      <c r="R39" s="3483" t="e">
        <f>IF(F1="售价",ROUND(AVERAGE(R38:V38),0),ROUND(AVERAGE(R38:V38),1))</f>
        <v>#DIV/0!</v>
      </c>
      <c r="S39" s="3483"/>
      <c r="T39" s="3483"/>
      <c r="U39" s="3483"/>
      <c r="V39" s="3483"/>
      <c r="W39" s="348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2559</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2560</v>
      </c>
      <c r="C67" s="2599" t="s">
        <v>2561</v>
      </c>
      <c r="D67" s="2599" t="s">
        <v>2562</v>
      </c>
      <c r="E67" s="2599" t="s">
        <v>2563</v>
      </c>
      <c r="F67" s="2599" t="s">
        <v>2564</v>
      </c>
      <c r="G67" s="2599" t="s">
        <v>2565</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6" t="s">
        <v>798</v>
      </c>
      <c r="D4" s="3377"/>
      <c r="E4" s="3411" t="s">
        <v>799</v>
      </c>
      <c r="F4" s="3412"/>
      <c r="G4" s="3376" t="s">
        <v>800</v>
      </c>
      <c r="H4" s="3377"/>
      <c r="I4" s="3376" t="s">
        <v>801</v>
      </c>
      <c r="J4" s="3377"/>
      <c r="K4" s="514" t="s">
        <v>802</v>
      </c>
      <c r="L4" s="2134"/>
      <c r="M4" s="2135"/>
      <c r="N4" s="2135"/>
      <c r="O4" s="2135"/>
      <c r="P4" s="3378" t="s">
        <v>803</v>
      </c>
      <c r="Q4" s="3379"/>
      <c r="R4" s="3384" t="s">
        <v>799</v>
      </c>
      <c r="S4" s="3385"/>
      <c r="T4" s="3384" t="s">
        <v>800</v>
      </c>
      <c r="U4" s="3385"/>
      <c r="V4" s="3371" t="s">
        <v>801</v>
      </c>
      <c r="W4" s="3371"/>
      <c r="X4" s="1568"/>
      <c r="Y4" s="3384" t="s">
        <v>803</v>
      </c>
      <c r="Z4" s="3385"/>
      <c r="AA4" s="3373" t="s">
        <v>799</v>
      </c>
      <c r="AB4" s="3374" t="s">
        <v>800</v>
      </c>
      <c r="AC4" s="3373" t="s">
        <v>801</v>
      </c>
    </row>
    <row r="5" spans="1:29" ht="15">
      <c r="A5" s="515"/>
      <c r="B5" s="516"/>
      <c r="C5" s="3392" t="s">
        <v>2930</v>
      </c>
      <c r="D5" s="3393"/>
      <c r="E5" s="3413" t="s">
        <v>2931</v>
      </c>
      <c r="F5" s="3414"/>
      <c r="G5" s="3392" t="s">
        <v>2932</v>
      </c>
      <c r="H5" s="3393"/>
      <c r="I5" s="3392" t="s">
        <v>2933</v>
      </c>
      <c r="J5" s="3393"/>
      <c r="K5" s="514"/>
      <c r="L5" s="2134"/>
      <c r="M5" s="2135"/>
      <c r="N5" s="2135"/>
      <c r="O5" s="2135"/>
      <c r="P5" s="3380"/>
      <c r="Q5" s="3381"/>
      <c r="R5" s="3386"/>
      <c r="S5" s="3387"/>
      <c r="T5" s="3386"/>
      <c r="U5" s="3387"/>
      <c r="V5" s="3371"/>
      <c r="W5" s="3371"/>
      <c r="X5" s="1568"/>
      <c r="Y5" s="3386"/>
      <c r="Z5" s="3387"/>
      <c r="AA5" s="3374"/>
      <c r="AB5" s="3374"/>
      <c r="AC5" s="3374"/>
    </row>
    <row r="6" spans="1:29" ht="15.75" thickBot="1">
      <c r="A6" s="517"/>
      <c r="B6" s="518"/>
      <c r="C6" s="3390" t="s">
        <v>2934</v>
      </c>
      <c r="D6" s="3391"/>
      <c r="E6" s="3409" t="s">
        <v>2934</v>
      </c>
      <c r="F6" s="3410"/>
      <c r="G6" s="3390" t="s">
        <v>2934</v>
      </c>
      <c r="H6" s="3391"/>
      <c r="I6" s="3390" t="s">
        <v>2934</v>
      </c>
      <c r="J6" s="3391"/>
      <c r="K6" s="514" t="s">
        <v>528</v>
      </c>
      <c r="L6" s="2134"/>
      <c r="M6" s="2135"/>
      <c r="N6" s="2135"/>
      <c r="O6" s="2135"/>
      <c r="P6" s="3382"/>
      <c r="Q6" s="3383"/>
      <c r="R6" s="3386"/>
      <c r="S6" s="3387"/>
      <c r="T6" s="3388"/>
      <c r="U6" s="3389"/>
      <c r="V6" s="3371"/>
      <c r="W6" s="3371"/>
      <c r="X6" s="1568"/>
      <c r="Y6" s="3388"/>
      <c r="Z6" s="3389"/>
      <c r="AA6" s="3375"/>
      <c r="AB6" s="3375"/>
      <c r="AC6" s="3375"/>
    </row>
    <row r="7" spans="1:29" s="1220" customFormat="1" ht="15.75" thickBot="1">
      <c r="A7" s="2913"/>
      <c r="B7" s="2920" t="s">
        <v>529</v>
      </c>
      <c r="C7" s="519">
        <f>'数据-取费表'!B2</f>
        <v>43342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2" t="s">
        <v>530</v>
      </c>
      <c r="Q7" s="3404"/>
      <c r="R7" s="1569" t="s">
        <v>8</v>
      </c>
      <c r="S7" s="1570">
        <f t="shared" ref="S7:S14" si="0">F7</f>
        <v>0</v>
      </c>
      <c r="T7" s="1569" t="s">
        <v>8</v>
      </c>
      <c r="U7" s="1570">
        <f t="shared" ref="U7:U14" si="1">H7</f>
        <v>0</v>
      </c>
      <c r="V7" s="1569" t="s">
        <v>8</v>
      </c>
      <c r="W7" s="1570">
        <f t="shared" ref="W7:W14" si="2">J7</f>
        <v>0</v>
      </c>
      <c r="X7" s="1571"/>
      <c r="Y7" s="3402" t="s">
        <v>530</v>
      </c>
      <c r="Z7" s="3403"/>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2" t="s">
        <v>533</v>
      </c>
      <c r="Q8" s="3403"/>
      <c r="R8" s="1569" t="s">
        <v>8</v>
      </c>
      <c r="S8" s="1570">
        <f t="shared" si="0"/>
        <v>0</v>
      </c>
      <c r="T8" s="1569" t="s">
        <v>8</v>
      </c>
      <c r="U8" s="1570">
        <f t="shared" si="1"/>
        <v>0</v>
      </c>
      <c r="V8" s="1569" t="s">
        <v>8</v>
      </c>
      <c r="W8" s="1570">
        <f t="shared" si="2"/>
        <v>0</v>
      </c>
      <c r="X8" s="1571"/>
      <c r="Y8" s="3402" t="s">
        <v>533</v>
      </c>
      <c r="Z8" s="3403"/>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0" t="s">
        <v>535</v>
      </c>
      <c r="Q9" s="1151" t="str">
        <f t="shared" ref="Q9:Q14" si="6">B9</f>
        <v>用途</v>
      </c>
      <c r="R9" s="1569" t="s">
        <v>8</v>
      </c>
      <c r="S9" s="1570">
        <f t="shared" si="0"/>
        <v>100</v>
      </c>
      <c r="T9" s="1569" t="s">
        <v>8</v>
      </c>
      <c r="U9" s="1570">
        <f t="shared" si="1"/>
        <v>100</v>
      </c>
      <c r="V9" s="1569" t="s">
        <v>8</v>
      </c>
      <c r="W9" s="1570">
        <f t="shared" si="2"/>
        <v>100</v>
      </c>
      <c r="X9" s="1571"/>
      <c r="Y9" s="3316"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0"/>
      <c r="Q10" s="1151" t="str">
        <f t="shared" si="6"/>
        <v>土地使用年限（年）</v>
      </c>
      <c r="R10" s="1569" t="s">
        <v>8</v>
      </c>
      <c r="S10" s="1570">
        <f t="shared" si="0"/>
        <v>100</v>
      </c>
      <c r="T10" s="1569" t="s">
        <v>8</v>
      </c>
      <c r="U10" s="1570">
        <f t="shared" si="1"/>
        <v>100</v>
      </c>
      <c r="V10" s="1569" t="s">
        <v>8</v>
      </c>
      <c r="W10" s="1570">
        <f t="shared" si="2"/>
        <v>100</v>
      </c>
      <c r="X10" s="1571"/>
      <c r="Y10" s="3316"/>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0"/>
      <c r="Q11" s="1151">
        <f t="shared" si="6"/>
        <v>111</v>
      </c>
      <c r="R11" s="1569" t="s">
        <v>8</v>
      </c>
      <c r="S11" s="1570">
        <f t="shared" si="0"/>
        <v>100</v>
      </c>
      <c r="T11" s="1569" t="s">
        <v>8</v>
      </c>
      <c r="U11" s="1570">
        <f t="shared" si="1"/>
        <v>100</v>
      </c>
      <c r="V11" s="1569" t="s">
        <v>8</v>
      </c>
      <c r="W11" s="1570">
        <f t="shared" si="2"/>
        <v>100</v>
      </c>
      <c r="X11" s="1571"/>
      <c r="Y11" s="3316"/>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0"/>
      <c r="Q12" s="1151">
        <f t="shared" si="6"/>
        <v>111</v>
      </c>
      <c r="R12" s="1569" t="s">
        <v>8</v>
      </c>
      <c r="S12" s="1570">
        <f t="shared" si="0"/>
        <v>100</v>
      </c>
      <c r="T12" s="1569" t="s">
        <v>8</v>
      </c>
      <c r="U12" s="1570">
        <f t="shared" si="1"/>
        <v>100</v>
      </c>
      <c r="V12" s="1569" t="s">
        <v>8</v>
      </c>
      <c r="W12" s="1570">
        <f t="shared" si="2"/>
        <v>100</v>
      </c>
      <c r="X12" s="1571"/>
      <c r="Y12" s="3316"/>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0"/>
      <c r="Q13" s="1151">
        <f t="shared" si="6"/>
        <v>111</v>
      </c>
      <c r="R13" s="1569" t="s">
        <v>8</v>
      </c>
      <c r="S13" s="1570">
        <f t="shared" si="0"/>
        <v>100</v>
      </c>
      <c r="T13" s="1569" t="s">
        <v>8</v>
      </c>
      <c r="U13" s="1570">
        <f t="shared" si="1"/>
        <v>100</v>
      </c>
      <c r="V13" s="1569" t="s">
        <v>8</v>
      </c>
      <c r="W13" s="1570">
        <f t="shared" si="2"/>
        <v>100</v>
      </c>
      <c r="X13" s="1571"/>
      <c r="Y13" s="3316"/>
      <c r="Z13" s="1150">
        <f t="shared" si="7"/>
        <v>111</v>
      </c>
      <c r="AA13" s="1572">
        <f t="shared" si="3"/>
        <v>1</v>
      </c>
      <c r="AB13" s="1572">
        <f t="shared" si="4"/>
        <v>1</v>
      </c>
      <c r="AC13" s="1572">
        <f t="shared" si="5"/>
        <v>1</v>
      </c>
    </row>
    <row r="14" spans="1:29" ht="99.75">
      <c r="A14" s="2911" t="s">
        <v>2756</v>
      </c>
      <c r="B14" s="166" t="s">
        <v>543</v>
      </c>
      <c r="C14" s="921" t="str">
        <f>IF(B1="工业",估价对象房地状况!G4,估价对象房地状况!C6)</f>
        <v>估价对象周边道路状况较好、公共交通通达情况较好、停车便捷程度较好，综合评价交通便捷度较好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5" t="s">
        <v>540</v>
      </c>
      <c r="Q14" s="1573" t="str">
        <f t="shared" si="6"/>
        <v>交通便捷度</v>
      </c>
      <c r="R14" s="1574" t="s">
        <v>8</v>
      </c>
      <c r="S14" s="1575">
        <f t="shared" si="0"/>
        <v>100</v>
      </c>
      <c r="T14" s="1574" t="s">
        <v>8</v>
      </c>
      <c r="U14" s="1575">
        <f t="shared" si="1"/>
        <v>100</v>
      </c>
      <c r="V14" s="1574" t="s">
        <v>8</v>
      </c>
      <c r="W14" s="1575">
        <f t="shared" si="2"/>
        <v>100</v>
      </c>
      <c r="X14" s="1568"/>
      <c r="Y14" s="340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6"/>
      <c r="Q15" s="1573"/>
      <c r="R15" s="1574"/>
      <c r="S15" s="1575"/>
      <c r="T15" s="1574"/>
      <c r="U15" s="1575"/>
      <c r="V15" s="1574"/>
      <c r="W15" s="1575"/>
      <c r="X15" s="1568"/>
      <c r="Y15" s="3406"/>
      <c r="Z15" s="1576"/>
      <c r="AA15" s="1577">
        <v>1</v>
      </c>
      <c r="AB15" s="1577">
        <v>1</v>
      </c>
      <c r="AC15" s="1577">
        <v>1</v>
      </c>
    </row>
    <row r="16" spans="1:29" ht="42.75">
      <c r="A16" s="532"/>
      <c r="B16" s="2604" t="s">
        <v>2548</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6"/>
      <c r="Q16" s="1573" t="str">
        <f>B16</f>
        <v>公共配套设施</v>
      </c>
      <c r="R16" s="1574" t="s">
        <v>8</v>
      </c>
      <c r="S16" s="1575">
        <f>F16</f>
        <v>100</v>
      </c>
      <c r="T16" s="1574" t="s">
        <v>8</v>
      </c>
      <c r="U16" s="1575">
        <f>H16</f>
        <v>100</v>
      </c>
      <c r="V16" s="1574" t="s">
        <v>8</v>
      </c>
      <c r="W16" s="1575">
        <f>J16</f>
        <v>100</v>
      </c>
      <c r="X16" s="1568"/>
      <c r="Y16" s="340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6"/>
      <c r="Q17" s="1573"/>
      <c r="R17" s="1574"/>
      <c r="S17" s="1575"/>
      <c r="T17" s="1574"/>
      <c r="U17" s="1575"/>
      <c r="V17" s="1574"/>
      <c r="W17" s="1575"/>
      <c r="X17" s="1568"/>
      <c r="Y17" s="3406"/>
      <c r="Z17" s="1576"/>
      <c r="AA17" s="1577">
        <v>1</v>
      </c>
      <c r="AB17" s="1577">
        <v>1</v>
      </c>
      <c r="AC17" s="1577">
        <v>1</v>
      </c>
    </row>
    <row r="18" spans="1:29" ht="42.75">
      <c r="A18" s="532"/>
      <c r="B18" s="2592" t="s">
        <v>2560</v>
      </c>
      <c r="C18" s="872" t="str">
        <f>IF(B1="工业",估价对象房地状况!G6,估价对象房地状况!C8)</f>
        <v>估价对象所在区域基础设施水平达到七通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6"/>
      <c r="Q18" s="2580" t="str">
        <f>B18</f>
        <v>基础设施水平</v>
      </c>
      <c r="R18" s="1574" t="s">
        <v>8</v>
      </c>
      <c r="S18" s="1575">
        <f>F18</f>
        <v>100</v>
      </c>
      <c r="T18" s="1574" t="s">
        <v>8</v>
      </c>
      <c r="U18" s="1575">
        <f>H18</f>
        <v>100</v>
      </c>
      <c r="V18" s="1574" t="s">
        <v>8</v>
      </c>
      <c r="W18" s="1575">
        <f>J18</f>
        <v>100</v>
      </c>
      <c r="X18" s="2582"/>
      <c r="Y18" s="3406"/>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3"/>
      <c r="M19" s="2135"/>
      <c r="N19" s="2135"/>
      <c r="O19" s="2142"/>
      <c r="P19" s="3406"/>
      <c r="Q19" s="2580"/>
      <c r="R19" s="1574"/>
      <c r="S19" s="1575"/>
      <c r="T19" s="1574"/>
      <c r="U19" s="1575"/>
      <c r="V19" s="1574"/>
      <c r="W19" s="1575"/>
      <c r="X19" s="2582"/>
      <c r="Y19" s="3406"/>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6"/>
      <c r="Q20" s="1573" t="str">
        <f>B20</f>
        <v>自然及人文环境</v>
      </c>
      <c r="R20" s="1574" t="s">
        <v>8</v>
      </c>
      <c r="S20" s="1575">
        <f>F20</f>
        <v>100</v>
      </c>
      <c r="T20" s="1574" t="s">
        <v>8</v>
      </c>
      <c r="U20" s="1575">
        <f>H20</f>
        <v>100</v>
      </c>
      <c r="V20" s="1574" t="s">
        <v>8</v>
      </c>
      <c r="W20" s="1575">
        <f>J20</f>
        <v>100</v>
      </c>
      <c r="X20" s="1568"/>
      <c r="Y20" s="340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6"/>
      <c r="Q21" s="1573"/>
      <c r="R21" s="1574"/>
      <c r="S21" s="1575"/>
      <c r="T21" s="1574"/>
      <c r="U21" s="1575"/>
      <c r="V21" s="1574"/>
      <c r="W21" s="1575"/>
      <c r="X21" s="1568"/>
      <c r="Y21" s="340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6"/>
      <c r="Q22" s="1573" t="str">
        <f>B22</f>
        <v>楼层</v>
      </c>
      <c r="R22" s="1574" t="s">
        <v>8</v>
      </c>
      <c r="S22" s="1575">
        <f>F22</f>
        <v>100</v>
      </c>
      <c r="T22" s="1574" t="s">
        <v>8</v>
      </c>
      <c r="U22" s="1575">
        <f>H22</f>
        <v>100</v>
      </c>
      <c r="V22" s="1574" t="s">
        <v>8</v>
      </c>
      <c r="W22" s="1575">
        <f>J22</f>
        <v>100</v>
      </c>
      <c r="X22" s="1568"/>
      <c r="Y22" s="340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6"/>
      <c r="Q23" s="1573">
        <f>B23</f>
        <v>111</v>
      </c>
      <c r="R23" s="1574" t="s">
        <v>8</v>
      </c>
      <c r="S23" s="1575">
        <f>F23</f>
        <v>100</v>
      </c>
      <c r="T23" s="1574" t="s">
        <v>8</v>
      </c>
      <c r="U23" s="1575">
        <f>H23</f>
        <v>100</v>
      </c>
      <c r="V23" s="1574" t="s">
        <v>8</v>
      </c>
      <c r="W23" s="1575">
        <f>J23</f>
        <v>100</v>
      </c>
      <c r="X23" s="1568"/>
      <c r="Y23" s="340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6"/>
      <c r="Q24" s="1573">
        <f t="shared" ref="Q24:Q34" si="11">B24</f>
        <v>111</v>
      </c>
      <c r="R24" s="1574" t="s">
        <v>8</v>
      </c>
      <c r="S24" s="1575">
        <f>F24</f>
        <v>100</v>
      </c>
      <c r="T24" s="1574" t="s">
        <v>8</v>
      </c>
      <c r="U24" s="1575">
        <f>H24</f>
        <v>100</v>
      </c>
      <c r="V24" s="1574" t="s">
        <v>8</v>
      </c>
      <c r="W24" s="1575">
        <f>J24</f>
        <v>100</v>
      </c>
      <c r="X24" s="1568"/>
      <c r="Y24" s="340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6"/>
      <c r="Q25" s="1151">
        <f t="shared" si="11"/>
        <v>111</v>
      </c>
      <c r="R25" s="1569" t="s">
        <v>8</v>
      </c>
      <c r="S25" s="1570">
        <f>F25</f>
        <v>100</v>
      </c>
      <c r="T25" s="1569" t="s">
        <v>8</v>
      </c>
      <c r="U25" s="1570">
        <f>H25</f>
        <v>100</v>
      </c>
      <c r="V25" s="1569" t="s">
        <v>8</v>
      </c>
      <c r="W25" s="1570">
        <f>J25</f>
        <v>100</v>
      </c>
      <c r="X25" s="1571"/>
      <c r="Y25" s="3406"/>
      <c r="Z25" s="1150">
        <f>Q25</f>
        <v>111</v>
      </c>
      <c r="AA25" s="1577">
        <f>D25/F25</f>
        <v>1</v>
      </c>
      <c r="AB25" s="1577">
        <f>D25/H25</f>
        <v>1</v>
      </c>
      <c r="AC25" s="1577">
        <f>D25/J25</f>
        <v>1</v>
      </c>
    </row>
    <row r="26" spans="1:29" ht="15">
      <c r="A26" s="2908"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8"/>
      <c r="Q27" s="1606" t="str">
        <f t="shared" si="11"/>
        <v>成新率</v>
      </c>
      <c r="R27" s="1578" t="s">
        <v>8</v>
      </c>
      <c r="S27" s="1579" t="e">
        <f t="shared" si="12"/>
        <v>#N/A</v>
      </c>
      <c r="T27" s="1578" t="s">
        <v>8</v>
      </c>
      <c r="U27" s="1579" t="e">
        <f t="shared" si="13"/>
        <v>#N/A</v>
      </c>
      <c r="V27" s="1578" t="s">
        <v>8</v>
      </c>
      <c r="W27" s="1579" t="e">
        <f t="shared" si="14"/>
        <v>#N/A</v>
      </c>
      <c r="X27" s="1580"/>
      <c r="Y27" s="340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8"/>
      <c r="Q28" s="1573" t="str">
        <f t="shared" si="11"/>
        <v>物业等级</v>
      </c>
      <c r="R28" s="1574" t="s">
        <v>8</v>
      </c>
      <c r="S28" s="1575">
        <f t="shared" si="12"/>
        <v>100</v>
      </c>
      <c r="T28" s="1574" t="s">
        <v>8</v>
      </c>
      <c r="U28" s="1575">
        <f t="shared" si="13"/>
        <v>100</v>
      </c>
      <c r="V28" s="1574" t="s">
        <v>8</v>
      </c>
      <c r="W28" s="1575">
        <f t="shared" si="14"/>
        <v>100</v>
      </c>
      <c r="X28" s="1568"/>
      <c r="Y28" s="340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8"/>
      <c r="Q29" s="1573" t="str">
        <f t="shared" si="11"/>
        <v>有无电梯</v>
      </c>
      <c r="R29" s="1574" t="s">
        <v>8</v>
      </c>
      <c r="S29" s="1575">
        <f t="shared" si="12"/>
        <v>100</v>
      </c>
      <c r="T29" s="1574" t="s">
        <v>8</v>
      </c>
      <c r="U29" s="1575">
        <f t="shared" si="13"/>
        <v>100</v>
      </c>
      <c r="V29" s="1574" t="s">
        <v>8</v>
      </c>
      <c r="W29" s="1575">
        <f t="shared" si="14"/>
        <v>100</v>
      </c>
      <c r="X29" s="1568"/>
      <c r="Y29" s="340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8"/>
      <c r="Q30" s="1573" t="str">
        <f t="shared" si="11"/>
        <v>建筑面积</v>
      </c>
      <c r="R30" s="1574" t="s">
        <v>8</v>
      </c>
      <c r="S30" s="1575" t="e">
        <f t="shared" si="12"/>
        <v>#N/A</v>
      </c>
      <c r="T30" s="1574" t="s">
        <v>8</v>
      </c>
      <c r="U30" s="1575" t="e">
        <f t="shared" si="13"/>
        <v>#N/A</v>
      </c>
      <c r="V30" s="1574" t="s">
        <v>8</v>
      </c>
      <c r="W30" s="1575" t="e">
        <f t="shared" si="14"/>
        <v>#N/A</v>
      </c>
      <c r="X30" s="1568"/>
      <c r="Y30" s="340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8"/>
      <c r="Q31" s="1151" t="str">
        <f t="shared" si="11"/>
        <v>是否封闭</v>
      </c>
      <c r="R31" s="1569" t="s">
        <v>8</v>
      </c>
      <c r="S31" s="1570">
        <f t="shared" si="12"/>
        <v>100</v>
      </c>
      <c r="T31" s="1569" t="s">
        <v>8</v>
      </c>
      <c r="U31" s="1570">
        <f t="shared" si="13"/>
        <v>100</v>
      </c>
      <c r="V31" s="1569" t="s">
        <v>8</v>
      </c>
      <c r="W31" s="1570">
        <f t="shared" si="14"/>
        <v>100</v>
      </c>
      <c r="X31" s="1571"/>
      <c r="Y31" s="340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8" t="s">
        <v>550</v>
      </c>
      <c r="Q32" s="1573">
        <f t="shared" si="11"/>
        <v>111</v>
      </c>
      <c r="R32" s="1574" t="s">
        <v>8</v>
      </c>
      <c r="S32" s="1575">
        <f t="shared" si="12"/>
        <v>100</v>
      </c>
      <c r="T32" s="1574" t="s">
        <v>8</v>
      </c>
      <c r="U32" s="1575">
        <f t="shared" si="13"/>
        <v>100</v>
      </c>
      <c r="V32" s="1574" t="s">
        <v>8</v>
      </c>
      <c r="W32" s="1575">
        <f t="shared" si="14"/>
        <v>100</v>
      </c>
      <c r="X32" s="1568"/>
      <c r="Y32" s="340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8"/>
      <c r="Q33" s="1573">
        <f t="shared" si="11"/>
        <v>111</v>
      </c>
      <c r="R33" s="1574" t="s">
        <v>8</v>
      </c>
      <c r="S33" s="1575">
        <f t="shared" si="12"/>
        <v>100</v>
      </c>
      <c r="T33" s="1574" t="s">
        <v>8</v>
      </c>
      <c r="U33" s="1575">
        <f t="shared" si="13"/>
        <v>100</v>
      </c>
      <c r="V33" s="1574" t="s">
        <v>8</v>
      </c>
      <c r="W33" s="1575">
        <f t="shared" si="14"/>
        <v>100</v>
      </c>
      <c r="X33" s="1568"/>
      <c r="Y33" s="340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8"/>
      <c r="Q34" s="1573">
        <f t="shared" si="11"/>
        <v>111</v>
      </c>
      <c r="R34" s="1574" t="s">
        <v>8</v>
      </c>
      <c r="S34" s="1575">
        <f t="shared" si="12"/>
        <v>100</v>
      </c>
      <c r="T34" s="1574" t="s">
        <v>8</v>
      </c>
      <c r="U34" s="1575">
        <f t="shared" si="13"/>
        <v>100</v>
      </c>
      <c r="V34" s="1574" t="s">
        <v>8</v>
      </c>
      <c r="W34" s="1575">
        <f t="shared" si="14"/>
        <v>100</v>
      </c>
      <c r="X34" s="1568"/>
      <c r="Y34" s="3408"/>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5"/>
      <c r="M35" s="2146"/>
      <c r="N35" s="2135"/>
      <c r="O35" s="2146"/>
      <c r="P35" s="3370" t="str">
        <f>A35</f>
        <v>成交单价（元/平方米）</v>
      </c>
      <c r="Q35" s="3370"/>
      <c r="R35" s="3484">
        <f>E35</f>
        <v>0</v>
      </c>
      <c r="S35" s="3484"/>
      <c r="T35" s="3484">
        <f>G35</f>
        <v>0</v>
      </c>
      <c r="U35" s="3484"/>
      <c r="V35" s="3484">
        <f>I35</f>
        <v>0</v>
      </c>
      <c r="W35" s="3484"/>
      <c r="X35" s="1560"/>
      <c r="Y35" s="1582"/>
      <c r="Z35" s="1560"/>
      <c r="AA35" s="1560"/>
      <c r="AB35" s="1560"/>
      <c r="AC35" s="1560"/>
    </row>
    <row r="36" spans="1:29" ht="15.75" thickBot="1">
      <c r="A36" s="615" t="s">
        <v>2762</v>
      </c>
      <c r="B36" s="888"/>
      <c r="C36" s="2634" t="e">
        <f>R37</f>
        <v>#DIV/0!</v>
      </c>
      <c r="D36" s="2635"/>
      <c r="E36" s="2636" t="e">
        <f>R36</f>
        <v>#DIV/0!</v>
      </c>
      <c r="F36" s="2636"/>
      <c r="G36" s="2634" t="e">
        <f>T36</f>
        <v>#DIV/0!</v>
      </c>
      <c r="H36" s="2635"/>
      <c r="I36" s="2636" t="e">
        <f>V36</f>
        <v>#DIV/0!</v>
      </c>
      <c r="J36" s="2635"/>
      <c r="K36" s="1613"/>
      <c r="L36" s="2145"/>
      <c r="M36" s="2146"/>
      <c r="N36" s="2135"/>
      <c r="O36" s="2146"/>
      <c r="P36" s="3370" t="str">
        <f>A36</f>
        <v>比较价格（元/平方米）</v>
      </c>
      <c r="Q36" s="337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0"/>
      <c r="Y36" s="1560"/>
      <c r="Z36" s="1560"/>
      <c r="AA36" s="1560"/>
      <c r="AB36" s="1560"/>
      <c r="AC36" s="1560"/>
    </row>
    <row r="37" spans="1:29" ht="15.75" thickBot="1">
      <c r="A37" s="621" t="s">
        <v>2936</v>
      </c>
      <c r="B37" s="622"/>
      <c r="C37" s="2637" t="e">
        <f>R37</f>
        <v>#DIV/0!</v>
      </c>
      <c r="D37" s="2637"/>
      <c r="E37" s="2637"/>
      <c r="F37" s="2637"/>
      <c r="G37" s="2637"/>
      <c r="H37" s="2637"/>
      <c r="I37" s="2637"/>
      <c r="J37" s="2637"/>
      <c r="K37" s="1614"/>
      <c r="L37" s="2145"/>
      <c r="M37" s="2146"/>
      <c r="N37" s="2146"/>
      <c r="O37" s="2146"/>
      <c r="P37" s="3367" t="str">
        <f>A37</f>
        <v>估价对象XX用房的比较价格（楼面单价，元/平方米）</v>
      </c>
      <c r="Q37" s="3368"/>
      <c r="R37" s="3483" t="e">
        <f>IF(F1="售价",ROUND(AVERAGE(R36:V36),0),ROUND(AVERAGE(R36:V36),1))</f>
        <v>#DIV/0!</v>
      </c>
      <c r="S37" s="3483"/>
      <c r="T37" s="3483"/>
      <c r="U37" s="3483"/>
      <c r="V37" s="3483"/>
      <c r="W37" s="348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2559</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2560</v>
      </c>
      <c r="C65" s="2599" t="s">
        <v>2561</v>
      </c>
      <c r="D65" s="2599" t="s">
        <v>2562</v>
      </c>
      <c r="E65" s="2599" t="s">
        <v>2563</v>
      </c>
      <c r="F65" s="2599" t="s">
        <v>2564</v>
      </c>
      <c r="G65" s="2599" t="s">
        <v>2565</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青岛北曲后汇豪置业有限公司：</v>
      </c>
    </row>
    <row r="4" spans="1:4" ht="37.5">
      <c r="A4" s="1792" t="str">
        <f>"受贵公司委托，我公司对"&amp;项目基本情况!K2&amp;项目基本情况!B9&amp;"进行了预评估。"</f>
        <v>受贵公司委托，我公司对山东省青岛市城阳街道大北曲后社区青岛北曲后汇豪置业有限公司出让国有建设用地使用权抵押价格进行了预评估。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北曲后汇豪置业有限公司使用的、位于山东省青岛市城阳街道大北曲后社区青岛北曲后汇豪置业有限公司出让国有建设用地使用权。根据《国有土地使用证》[]，估价对象（分摊）出让国有建设用地使用权面积为31518.19平方米。根据《建设工程规划许可证》[]、《出让合同》[]，估价对象规划建筑面积为124676.06平方米。</v>
      </c>
    </row>
    <row r="7" spans="1:4" ht="93.75">
      <c r="A7" s="2874" t="s">
        <v>2750</v>
      </c>
    </row>
    <row r="8" spans="1:4" ht="18.75">
      <c r="A8" s="1795" t="s">
        <v>1907</v>
      </c>
    </row>
    <row r="9" spans="1:4" ht="75">
      <c r="A9" s="1797"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2018年8月30日（评估专业人员勘察现场之日）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根据《不动产权证书》[青房地权市字第201174701号]，本次评估估价对象证载（地类）用途为批发零售。</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2075</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根据《国有土地使用证》[]，估价对象（分摊）出让国有建设用地使用权面积为31518.19平方米。根据《建设工程规划许可证》[]、《出让合同》[]，估价对象规划建筑面积为124676.06平方米。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876" t="s">
        <v>2751</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8月30日，在规划利用条件下、设定土地开发程度为红线外“六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493" t="s">
        <v>2306</v>
      </c>
      <c r="D1" s="3494"/>
      <c r="E1" s="3494"/>
      <c r="F1" s="3494"/>
      <c r="G1" s="3494"/>
      <c r="H1" s="3494"/>
      <c r="I1" s="3494"/>
      <c r="J1" s="3494"/>
      <c r="K1" s="3494"/>
      <c r="L1" s="3494"/>
      <c r="M1" s="3494"/>
      <c r="N1" s="3494"/>
      <c r="O1" s="3494"/>
      <c r="P1" s="3494"/>
      <c r="Q1" s="3494"/>
      <c r="R1" s="3494"/>
      <c r="S1" s="3495"/>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2929</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2928</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2927</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2926</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2925</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43342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workbookViewId="0">
      <selection activeCell="C10" sqref="C10"/>
    </sheetView>
  </sheetViews>
  <sheetFormatPr defaultRowHeight="13.5"/>
  <cols>
    <col min="8" max="8" width="12.375" customWidth="1"/>
  </cols>
  <sheetData>
    <row r="1" spans="1:8">
      <c r="A1" s="3201" t="s">
        <v>3136</v>
      </c>
      <c r="B1" s="3201" t="s">
        <v>3137</v>
      </c>
      <c r="C1" s="3201" t="s">
        <v>3138</v>
      </c>
    </row>
    <row r="2" spans="1:8">
      <c r="A2" s="3201" t="s">
        <v>3133</v>
      </c>
      <c r="B2">
        <v>9000</v>
      </c>
      <c r="C2">
        <f>C3*D2</f>
        <v>1.125</v>
      </c>
      <c r="D2">
        <v>0.25</v>
      </c>
      <c r="E2">
        <f>C2*B2</f>
        <v>10125</v>
      </c>
      <c r="G2">
        <f>G3*D2</f>
        <v>7500</v>
      </c>
      <c r="H2">
        <f>G2*B2</f>
        <v>67500000</v>
      </c>
    </row>
    <row r="3" spans="1:8">
      <c r="A3" s="3201" t="s">
        <v>3128</v>
      </c>
      <c r="B3" s="3201">
        <v>17849.91</v>
      </c>
      <c r="C3">
        <v>4.5</v>
      </c>
      <c r="D3">
        <v>1</v>
      </c>
      <c r="E3">
        <f t="shared" ref="E3:E9" si="0">C3*B3</f>
        <v>80324.595000000001</v>
      </c>
      <c r="G3">
        <v>30000</v>
      </c>
      <c r="H3">
        <f t="shared" ref="H3:H9" si="1">G3*B3</f>
        <v>535497300</v>
      </c>
    </row>
    <row r="4" spans="1:8">
      <c r="A4" s="3201" t="s">
        <v>3129</v>
      </c>
      <c r="B4" s="3201">
        <v>16366.62</v>
      </c>
      <c r="C4">
        <f>C3*D4</f>
        <v>2.9250000000000003</v>
      </c>
      <c r="D4">
        <v>0.65</v>
      </c>
      <c r="E4">
        <f t="shared" si="0"/>
        <v>47872.363500000007</v>
      </c>
      <c r="G4">
        <f>G3*D4</f>
        <v>19500</v>
      </c>
      <c r="H4">
        <f t="shared" si="1"/>
        <v>319149090</v>
      </c>
    </row>
    <row r="5" spans="1:8">
      <c r="A5" s="3201" t="s">
        <v>3130</v>
      </c>
      <c r="B5" s="3201">
        <v>16334.27</v>
      </c>
      <c r="C5">
        <f>C3*D5</f>
        <v>2.25</v>
      </c>
      <c r="D5">
        <v>0.5</v>
      </c>
      <c r="E5">
        <f t="shared" si="0"/>
        <v>36752.107499999998</v>
      </c>
      <c r="G5">
        <f>G3*D5</f>
        <v>15000</v>
      </c>
      <c r="H5">
        <f t="shared" si="1"/>
        <v>245014050</v>
      </c>
    </row>
    <row r="6" spans="1:8">
      <c r="A6" s="3201" t="s">
        <v>3131</v>
      </c>
      <c r="B6" s="3201">
        <v>15693.88</v>
      </c>
      <c r="C6">
        <f>C3*D6</f>
        <v>1.8</v>
      </c>
      <c r="D6">
        <v>0.4</v>
      </c>
      <c r="E6">
        <f t="shared" si="0"/>
        <v>28248.984</v>
      </c>
      <c r="G6">
        <f>G3*D6</f>
        <v>12000</v>
      </c>
      <c r="H6">
        <f t="shared" si="1"/>
        <v>188326560</v>
      </c>
    </row>
    <row r="7" spans="1:8">
      <c r="A7" s="3201" t="s">
        <v>3132</v>
      </c>
      <c r="B7" s="3201">
        <v>10027.52</v>
      </c>
      <c r="C7">
        <f>C3*D7</f>
        <v>1.3499999999999999</v>
      </c>
      <c r="D7">
        <v>0.3</v>
      </c>
      <c r="E7">
        <f t="shared" si="0"/>
        <v>13537.152</v>
      </c>
      <c r="G7">
        <f>G3*D7</f>
        <v>9000</v>
      </c>
      <c r="H7">
        <f t="shared" si="1"/>
        <v>90247680</v>
      </c>
    </row>
    <row r="8" spans="1:8">
      <c r="A8" s="3201" t="s">
        <v>3134</v>
      </c>
      <c r="B8" s="3201">
        <v>1318.55</v>
      </c>
      <c r="C8">
        <f>C3*D8</f>
        <v>1.125</v>
      </c>
      <c r="D8">
        <v>0.25</v>
      </c>
      <c r="E8">
        <f t="shared" si="0"/>
        <v>1483.3687499999999</v>
      </c>
      <c r="G8">
        <f>G3*D8</f>
        <v>7500</v>
      </c>
      <c r="H8">
        <f t="shared" si="1"/>
        <v>9889125</v>
      </c>
    </row>
    <row r="9" spans="1:8">
      <c r="A9" s="3201" t="s">
        <v>3135</v>
      </c>
      <c r="B9" s="3201">
        <v>736.55</v>
      </c>
      <c r="C9">
        <f>C3*D9</f>
        <v>0.9</v>
      </c>
      <c r="D9">
        <v>0.2</v>
      </c>
      <c r="E9">
        <f t="shared" si="0"/>
        <v>662.89499999999998</v>
      </c>
      <c r="G9">
        <f>G3*D9</f>
        <v>6000</v>
      </c>
      <c r="H9">
        <f t="shared" si="1"/>
        <v>4419300</v>
      </c>
    </row>
    <row r="10" spans="1:8">
      <c r="B10" s="3201">
        <f>SUM(B2:B9)</f>
        <v>87327.300000000017</v>
      </c>
      <c r="C10">
        <f>ROUND(E10/B10,2)</f>
        <v>2.5099999999999998</v>
      </c>
      <c r="E10">
        <f>SUM(E2:E9)</f>
        <v>219006.46574999997</v>
      </c>
      <c r="G10">
        <f>H10/B10</f>
        <v>16719.205849717095</v>
      </c>
      <c r="H10">
        <f>SUM(H2:H9)</f>
        <v>1460043105</v>
      </c>
    </row>
    <row r="17" spans="12:12">
      <c r="L17" s="3201" t="s">
        <v>3145</v>
      </c>
    </row>
    <row r="18" spans="12:12">
      <c r="L18" s="3201" t="s">
        <v>3142</v>
      </c>
    </row>
    <row r="19" spans="12:12">
      <c r="L19" s="3201" t="s">
        <v>3143</v>
      </c>
    </row>
    <row r="21" spans="12:12">
      <c r="L21" s="3201" t="s">
        <v>3144</v>
      </c>
    </row>
    <row r="23" spans="12:12">
      <c r="L23" s="3201" t="s">
        <v>3146</v>
      </c>
    </row>
    <row r="47" spans="12:12">
      <c r="L47" s="3201" t="s">
        <v>3139</v>
      </c>
    </row>
    <row r="48" spans="12:12">
      <c r="L48" s="3201" t="s">
        <v>3140</v>
      </c>
    </row>
    <row r="49" spans="12:12">
      <c r="L49" s="3201" t="s">
        <v>3141</v>
      </c>
    </row>
    <row r="51" spans="12:12">
      <c r="L51" s="3201" t="s">
        <v>3147</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L39" sqref="L39"/>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A19" workbookViewId="0">
      <selection activeCell="A6" sqref="A6"/>
    </sheetView>
  </sheetViews>
  <sheetFormatPr defaultRowHeight="13.5"/>
  <cols>
    <col min="1" max="1" width="35.75" customWidth="1"/>
  </cols>
  <sheetData>
    <row r="1" spans="1:16">
      <c r="A1" s="3189" t="s">
        <v>3034</v>
      </c>
      <c r="B1" s="3189" t="s">
        <v>3035</v>
      </c>
      <c r="C1" s="3189" t="s">
        <v>3036</v>
      </c>
      <c r="D1" s="3189" t="s">
        <v>3037</v>
      </c>
      <c r="E1" s="3189" t="s">
        <v>3038</v>
      </c>
      <c r="F1" s="3189" t="s">
        <v>2034</v>
      </c>
      <c r="G1" s="3189" t="s">
        <v>3039</v>
      </c>
      <c r="H1" s="3189" t="s">
        <v>3040</v>
      </c>
      <c r="I1" s="3189" t="s">
        <v>3041</v>
      </c>
      <c r="J1" s="3189" t="s">
        <v>3042</v>
      </c>
      <c r="K1" s="3189" t="s">
        <v>3043</v>
      </c>
      <c r="L1" s="3189" t="s">
        <v>3044</v>
      </c>
      <c r="M1" s="3189" t="s">
        <v>3045</v>
      </c>
    </row>
    <row r="2" spans="1:16" s="3191" customFormat="1">
      <c r="A2" s="3190" t="s">
        <v>3046</v>
      </c>
      <c r="B2" s="3190" t="s">
        <v>3047</v>
      </c>
      <c r="C2" s="3190" t="s">
        <v>3048</v>
      </c>
      <c r="D2" s="3190">
        <v>47345</v>
      </c>
      <c r="E2" s="3190">
        <v>75752</v>
      </c>
      <c r="F2" s="3190" t="s">
        <v>3049</v>
      </c>
      <c r="G2" s="3190" t="s">
        <v>3050</v>
      </c>
      <c r="H2" s="3190" t="s">
        <v>3051</v>
      </c>
      <c r="I2" s="3190">
        <v>21309.040000000001</v>
      </c>
      <c r="J2" s="3190">
        <v>21309.040000000001</v>
      </c>
      <c r="K2" s="3190">
        <v>2813</v>
      </c>
      <c r="L2" s="3190">
        <v>0</v>
      </c>
      <c r="M2" s="3190" t="s">
        <v>3052</v>
      </c>
      <c r="O2" s="3191">
        <f>ROUND(J2/D2*10000,2)</f>
        <v>4500.8</v>
      </c>
      <c r="P2" s="3191">
        <f>O2*666/10000</f>
        <v>299.75328000000002</v>
      </c>
    </row>
    <row r="3" spans="1:16">
      <c r="A3" s="3189" t="s">
        <v>3053</v>
      </c>
      <c r="B3" s="3189" t="s">
        <v>3047</v>
      </c>
      <c r="C3" s="3189" t="s">
        <v>3048</v>
      </c>
      <c r="D3" s="3189">
        <v>108169</v>
      </c>
      <c r="E3" s="3189">
        <v>259605.6</v>
      </c>
      <c r="F3" s="3189" t="s">
        <v>3054</v>
      </c>
      <c r="G3" s="3189" t="s">
        <v>3050</v>
      </c>
      <c r="H3" s="3189" t="s">
        <v>3051</v>
      </c>
      <c r="I3" s="3189">
        <v>41043.65</v>
      </c>
      <c r="J3" s="3189">
        <v>41043.65</v>
      </c>
      <c r="K3" s="3189">
        <v>1581</v>
      </c>
      <c r="L3" s="3189">
        <v>0</v>
      </c>
      <c r="M3" s="3189" t="s">
        <v>3055</v>
      </c>
      <c r="O3" s="3191">
        <f t="shared" ref="O3:O16" si="0">ROUND(J3/D3*10000,2)</f>
        <v>3794.4</v>
      </c>
      <c r="P3" s="3191">
        <f t="shared" ref="P3:P16" si="1">O3*666/10000</f>
        <v>252.70703999999998</v>
      </c>
    </row>
    <row r="4" spans="1:16" s="3191" customFormat="1">
      <c r="A4" s="3195" t="s">
        <v>3127</v>
      </c>
      <c r="B4" s="3190" t="s">
        <v>3047</v>
      </c>
      <c r="C4" s="3190" t="s">
        <v>3048</v>
      </c>
      <c r="D4" s="3190">
        <v>17953</v>
      </c>
      <c r="E4" s="3190">
        <v>32315.4</v>
      </c>
      <c r="F4" s="3190" t="s">
        <v>3056</v>
      </c>
      <c r="G4" s="3190" t="s">
        <v>3050</v>
      </c>
      <c r="H4" s="3190" t="s">
        <v>3051</v>
      </c>
      <c r="I4" s="3190">
        <v>8450.4699999999993</v>
      </c>
      <c r="J4" s="3190">
        <v>8450.4699999999993</v>
      </c>
      <c r="K4" s="3190">
        <v>2615</v>
      </c>
      <c r="L4" s="3190">
        <v>0</v>
      </c>
      <c r="M4" s="3190" t="s">
        <v>3055</v>
      </c>
      <c r="O4" s="3191">
        <f t="shared" si="0"/>
        <v>4707</v>
      </c>
      <c r="P4" s="3191">
        <f t="shared" si="1"/>
        <v>313.4862</v>
      </c>
    </row>
    <row r="5" spans="1:16" s="3197" customFormat="1">
      <c r="A5" s="3196" t="s">
        <v>3057</v>
      </c>
      <c r="B5" s="3196" t="s">
        <v>3047</v>
      </c>
      <c r="C5" s="3196" t="s">
        <v>3048</v>
      </c>
      <c r="D5" s="3196">
        <v>93972.1</v>
      </c>
      <c r="E5" s="3196">
        <v>93972.1</v>
      </c>
      <c r="F5" s="3196" t="s">
        <v>3058</v>
      </c>
      <c r="G5" s="3196" t="s">
        <v>3050</v>
      </c>
      <c r="H5" s="3196" t="s">
        <v>3059</v>
      </c>
      <c r="I5" s="3196">
        <v>28107.02</v>
      </c>
      <c r="J5" s="3196">
        <v>28107.02</v>
      </c>
      <c r="K5" s="3196">
        <v>2991</v>
      </c>
      <c r="L5" s="3196">
        <v>0</v>
      </c>
      <c r="M5" s="3196" t="s">
        <v>3060</v>
      </c>
      <c r="O5" s="3197">
        <f t="shared" si="0"/>
        <v>2991</v>
      </c>
      <c r="P5" s="3197">
        <f t="shared" si="1"/>
        <v>199.20060000000001</v>
      </c>
    </row>
    <row r="6" spans="1:16" s="3191" customFormat="1">
      <c r="A6" s="3195" t="s">
        <v>3107</v>
      </c>
      <c r="B6" s="3190" t="s">
        <v>3047</v>
      </c>
      <c r="C6" s="3190" t="s">
        <v>3048</v>
      </c>
      <c r="D6" s="3190">
        <v>51071.7</v>
      </c>
      <c r="E6" s="3190">
        <v>153215</v>
      </c>
      <c r="F6" s="3190" t="s">
        <v>3062</v>
      </c>
      <c r="G6" s="3190" t="s">
        <v>3050</v>
      </c>
      <c r="H6" s="3190" t="s">
        <v>3063</v>
      </c>
      <c r="I6" s="3190">
        <v>45964.5</v>
      </c>
      <c r="J6" s="3190">
        <v>45964.5</v>
      </c>
      <c r="K6" s="3190">
        <v>3000</v>
      </c>
      <c r="L6" s="3190">
        <v>0</v>
      </c>
      <c r="M6" s="3190" t="s">
        <v>3064</v>
      </c>
      <c r="O6" s="3191">
        <f t="shared" si="0"/>
        <v>8999.99</v>
      </c>
      <c r="P6" s="3191">
        <f t="shared" si="1"/>
        <v>599.39933399999995</v>
      </c>
    </row>
    <row r="7" spans="1:16">
      <c r="A7" s="3189" t="s">
        <v>3061</v>
      </c>
      <c r="B7" s="3189" t="s">
        <v>3047</v>
      </c>
      <c r="C7" s="3189" t="s">
        <v>3048</v>
      </c>
      <c r="D7" s="3189">
        <v>51720.1</v>
      </c>
      <c r="E7" s="3189">
        <v>181020</v>
      </c>
      <c r="F7" s="3189" t="s">
        <v>3065</v>
      </c>
      <c r="G7" s="3189" t="s">
        <v>3050</v>
      </c>
      <c r="H7" s="3189" t="s">
        <v>3063</v>
      </c>
      <c r="I7" s="3189">
        <v>54306</v>
      </c>
      <c r="J7" s="3189">
        <v>54306</v>
      </c>
      <c r="K7" s="3189">
        <v>3000</v>
      </c>
      <c r="L7" s="3189">
        <v>0</v>
      </c>
      <c r="M7" s="3189" t="s">
        <v>3064</v>
      </c>
      <c r="O7" s="3191">
        <f t="shared" si="0"/>
        <v>10499.98</v>
      </c>
      <c r="P7" s="3191">
        <f t="shared" si="1"/>
        <v>699.29866800000002</v>
      </c>
    </row>
    <row r="8" spans="1:16">
      <c r="A8" s="3189" t="s">
        <v>3108</v>
      </c>
      <c r="B8" s="3189" t="s">
        <v>3047</v>
      </c>
      <c r="C8" s="3189" t="s">
        <v>3048</v>
      </c>
      <c r="D8" s="3189">
        <v>27903.599999999999</v>
      </c>
      <c r="E8" s="3189">
        <v>97662.6</v>
      </c>
      <c r="F8" s="3189" t="s">
        <v>3065</v>
      </c>
      <c r="G8" s="3189" t="s">
        <v>3050</v>
      </c>
      <c r="H8" s="3189" t="s">
        <v>3066</v>
      </c>
      <c r="I8" s="3189">
        <v>29298.59</v>
      </c>
      <c r="J8" s="3189">
        <v>29298.59</v>
      </c>
      <c r="K8" s="3189">
        <v>2999.98</v>
      </c>
      <c r="L8" s="3189">
        <v>0</v>
      </c>
      <c r="M8" s="3189" t="s">
        <v>3067</v>
      </c>
      <c r="O8" s="3191">
        <f t="shared" si="0"/>
        <v>10499.93</v>
      </c>
      <c r="P8" s="3191">
        <f t="shared" si="1"/>
        <v>699.29533800000002</v>
      </c>
    </row>
    <row r="9" spans="1:16">
      <c r="A9" s="3189" t="s">
        <v>3068</v>
      </c>
      <c r="B9" s="3189" t="s">
        <v>3047</v>
      </c>
      <c r="C9" s="3189" t="s">
        <v>3048</v>
      </c>
      <c r="D9" s="3189">
        <v>37644.300000000003</v>
      </c>
      <c r="E9" s="3189">
        <v>165634.9</v>
      </c>
      <c r="F9" s="3189" t="s">
        <v>3069</v>
      </c>
      <c r="G9" s="3189" t="s">
        <v>3050</v>
      </c>
      <c r="H9" s="3189" t="s">
        <v>3066</v>
      </c>
      <c r="I9" s="3189">
        <v>49690.19</v>
      </c>
      <c r="J9" s="3189">
        <v>49690.19</v>
      </c>
      <c r="K9" s="3189">
        <v>2999.98</v>
      </c>
      <c r="L9" s="3189">
        <v>0</v>
      </c>
      <c r="M9" s="3189" t="s">
        <v>3067</v>
      </c>
      <c r="O9" s="3191">
        <f t="shared" si="0"/>
        <v>13199.92</v>
      </c>
      <c r="P9" s="3191">
        <f t="shared" si="1"/>
        <v>879.11467200000004</v>
      </c>
    </row>
    <row r="10" spans="1:16">
      <c r="A10" s="3189" t="s">
        <v>3070</v>
      </c>
      <c r="B10" s="3189" t="s">
        <v>3047</v>
      </c>
      <c r="C10" s="3189" t="s">
        <v>3048</v>
      </c>
      <c r="D10" s="3189">
        <v>20884.599999999999</v>
      </c>
      <c r="E10" s="3189">
        <v>73096</v>
      </c>
      <c r="F10" s="3189" t="s">
        <v>3071</v>
      </c>
      <c r="G10" s="3189" t="s">
        <v>3050</v>
      </c>
      <c r="H10" s="3189" t="s">
        <v>3072</v>
      </c>
      <c r="I10" s="3189">
        <v>25583.59</v>
      </c>
      <c r="J10" s="3189">
        <v>26314.560000000001</v>
      </c>
      <c r="K10" s="3189">
        <v>3600</v>
      </c>
      <c r="L10" s="3189">
        <v>2.86</v>
      </c>
      <c r="M10" s="3189" t="s">
        <v>3073</v>
      </c>
      <c r="O10" s="3191">
        <f t="shared" si="0"/>
        <v>12599.98</v>
      </c>
      <c r="P10" s="3191">
        <f t="shared" si="1"/>
        <v>839.15866799999992</v>
      </c>
    </row>
    <row r="11" spans="1:16">
      <c r="A11" s="3189" t="s">
        <v>3074</v>
      </c>
      <c r="B11" s="3189" t="s">
        <v>3047</v>
      </c>
      <c r="C11" s="3189" t="s">
        <v>3048</v>
      </c>
      <c r="D11" s="3189">
        <v>23673.200000000001</v>
      </c>
      <c r="E11" s="3189">
        <v>47346.400000000001</v>
      </c>
      <c r="F11" s="3189" t="s">
        <v>3075</v>
      </c>
      <c r="G11" s="3189" t="s">
        <v>3050</v>
      </c>
      <c r="H11" s="3189" t="s">
        <v>3076</v>
      </c>
      <c r="I11" s="3189">
        <v>14203.79</v>
      </c>
      <c r="J11" s="3189">
        <v>14203.79</v>
      </c>
      <c r="K11" s="3189">
        <v>2999.96</v>
      </c>
      <c r="L11" s="3189">
        <v>0</v>
      </c>
      <c r="M11" s="3189" t="s">
        <v>3077</v>
      </c>
      <c r="O11" s="3191">
        <f t="shared" si="0"/>
        <v>5999.95</v>
      </c>
      <c r="P11" s="3191">
        <f t="shared" si="1"/>
        <v>399.59666999999996</v>
      </c>
    </row>
    <row r="12" spans="1:16">
      <c r="A12" s="3189" t="s">
        <v>3078</v>
      </c>
      <c r="B12" s="3189" t="s">
        <v>3047</v>
      </c>
      <c r="C12" s="3189" t="s">
        <v>3048</v>
      </c>
      <c r="D12" s="3189">
        <v>26541.9</v>
      </c>
      <c r="E12" s="3189">
        <v>79625.7</v>
      </c>
      <c r="F12" s="3189" t="s">
        <v>3062</v>
      </c>
      <c r="G12" s="3189" t="s">
        <v>3050</v>
      </c>
      <c r="H12" s="3189" t="s">
        <v>3076</v>
      </c>
      <c r="I12" s="3189">
        <v>23887.5</v>
      </c>
      <c r="J12" s="3189">
        <v>23887.5</v>
      </c>
      <c r="K12" s="3189">
        <v>2999.96</v>
      </c>
      <c r="L12" s="3189">
        <v>0</v>
      </c>
      <c r="M12" s="3189" t="s">
        <v>3077</v>
      </c>
      <c r="O12" s="3191">
        <f t="shared" si="0"/>
        <v>8999.92</v>
      </c>
      <c r="P12" s="3191">
        <f t="shared" si="1"/>
        <v>599.39467200000001</v>
      </c>
    </row>
    <row r="13" spans="1:16">
      <c r="A13" s="3189" t="s">
        <v>3079</v>
      </c>
      <c r="B13" s="3189" t="s">
        <v>3047</v>
      </c>
      <c r="C13" s="3189" t="s">
        <v>3048</v>
      </c>
      <c r="D13" s="3189">
        <v>3286.6</v>
      </c>
      <c r="E13" s="3189">
        <v>1643.15</v>
      </c>
      <c r="F13" s="3189" t="s">
        <v>3080</v>
      </c>
      <c r="G13" s="3189" t="s">
        <v>3081</v>
      </c>
      <c r="H13" s="3189" t="s">
        <v>3082</v>
      </c>
      <c r="I13" s="3189">
        <v>652.26</v>
      </c>
      <c r="J13" s="3189">
        <v>652.26</v>
      </c>
      <c r="K13" s="3189">
        <v>3969.63</v>
      </c>
      <c r="L13" s="3189">
        <v>0</v>
      </c>
      <c r="M13" s="3189" t="s">
        <v>3083</v>
      </c>
      <c r="O13" s="3191">
        <f t="shared" si="0"/>
        <v>1984.6</v>
      </c>
      <c r="P13" s="3191">
        <f t="shared" si="1"/>
        <v>132.17435999999998</v>
      </c>
    </row>
    <row r="14" spans="1:16">
      <c r="A14" s="3189" t="s">
        <v>3084</v>
      </c>
      <c r="B14" s="3189" t="s">
        <v>3047</v>
      </c>
      <c r="C14" s="3189" t="s">
        <v>3048</v>
      </c>
      <c r="D14" s="3189">
        <v>286387.7</v>
      </c>
      <c r="E14" s="3189">
        <v>357000</v>
      </c>
      <c r="F14" s="3189" t="s">
        <v>3085</v>
      </c>
      <c r="G14" s="3189" t="s">
        <v>3050</v>
      </c>
      <c r="H14" s="3189" t="s">
        <v>3086</v>
      </c>
      <c r="I14" s="3189">
        <v>50586.9</v>
      </c>
      <c r="J14" s="3189">
        <v>50586.9</v>
      </c>
      <c r="K14" s="3189">
        <v>1417</v>
      </c>
      <c r="L14" s="3189">
        <v>0</v>
      </c>
      <c r="M14" s="3189" t="s">
        <v>3087</v>
      </c>
      <c r="O14" s="3191">
        <f t="shared" si="0"/>
        <v>1766.38</v>
      </c>
      <c r="P14" s="3191">
        <f t="shared" si="1"/>
        <v>117.64090800000001</v>
      </c>
    </row>
    <row r="15" spans="1:16">
      <c r="A15" s="3189" t="s">
        <v>3088</v>
      </c>
      <c r="B15" s="3189" t="s">
        <v>3047</v>
      </c>
      <c r="C15" s="3189" t="s">
        <v>3048</v>
      </c>
      <c r="D15" s="3189">
        <v>11119.1</v>
      </c>
      <c r="E15" s="3189">
        <v>13342</v>
      </c>
      <c r="F15" s="3189" t="s">
        <v>3089</v>
      </c>
      <c r="G15" s="3189" t="s">
        <v>3050</v>
      </c>
      <c r="H15" s="3189" t="s">
        <v>3090</v>
      </c>
      <c r="I15" s="3189">
        <v>1802.5</v>
      </c>
      <c r="J15" s="3189">
        <v>1802.5</v>
      </c>
      <c r="K15" s="3189">
        <v>1351</v>
      </c>
      <c r="L15" s="3189">
        <v>0</v>
      </c>
      <c r="M15" s="3189" t="s">
        <v>3091</v>
      </c>
      <c r="O15" s="3191">
        <f t="shared" si="0"/>
        <v>1621.08</v>
      </c>
      <c r="P15" s="3191">
        <f t="shared" si="1"/>
        <v>107.96392800000001</v>
      </c>
    </row>
    <row r="16" spans="1:16">
      <c r="A16" s="3189" t="s">
        <v>3092</v>
      </c>
      <c r="B16" s="3189" t="s">
        <v>3047</v>
      </c>
      <c r="C16" s="3189" t="s">
        <v>3048</v>
      </c>
      <c r="D16" s="3189">
        <v>4076</v>
      </c>
      <c r="E16" s="3189">
        <v>12228</v>
      </c>
      <c r="F16" s="3189" t="s">
        <v>3093</v>
      </c>
      <c r="G16" s="3189" t="s">
        <v>3050</v>
      </c>
      <c r="H16" s="3189" t="s">
        <v>3094</v>
      </c>
      <c r="I16" s="3189">
        <v>1516.26</v>
      </c>
      <c r="J16" s="3189">
        <v>1516.26</v>
      </c>
      <c r="K16" s="3189">
        <v>1240</v>
      </c>
      <c r="L16" s="3189">
        <v>0</v>
      </c>
      <c r="M16" s="3189" t="s">
        <v>3095</v>
      </c>
      <c r="O16" s="3191">
        <f t="shared" si="0"/>
        <v>3719.97</v>
      </c>
      <c r="P16" s="3191">
        <f t="shared" si="1"/>
        <v>247.75000199999999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2040</v>
      </c>
      <c r="B1" s="3206"/>
      <c r="C1" s="3206"/>
      <c r="D1" s="3206"/>
      <c r="E1" s="3206"/>
      <c r="F1" s="3206"/>
      <c r="G1" s="3206"/>
      <c r="H1" s="3206"/>
      <c r="I1" s="3206"/>
      <c r="J1" s="3206"/>
      <c r="K1" s="3206"/>
      <c r="L1" s="3206"/>
      <c r="M1" s="3206"/>
      <c r="N1" s="3206"/>
      <c r="O1" s="3206"/>
      <c r="P1" s="3206"/>
      <c r="Q1" s="3206"/>
      <c r="R1" s="3206"/>
    </row>
    <row r="2" spans="1:18">
      <c r="A2" s="1808" t="s">
        <v>2042</v>
      </c>
      <c r="B2" s="1808"/>
      <c r="C2" s="1808"/>
      <c r="D2" s="1808"/>
      <c r="E2" s="1808"/>
      <c r="F2" s="1808"/>
      <c r="G2" s="1808"/>
      <c r="H2" s="1808"/>
      <c r="I2" s="1809"/>
      <c r="J2" s="1809"/>
      <c r="K2" s="1810" t="str">
        <f>"估价期日："&amp;TEXT(项目基本情况!D3,"yyyy年m月d日;;")</f>
        <v>估价期日：2018年8月30日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7" t="s">
        <v>2031</v>
      </c>
      <c r="B3" s="3207" t="s">
        <v>2733</v>
      </c>
      <c r="C3" s="3208" t="s">
        <v>2032</v>
      </c>
      <c r="D3" s="3207" t="s">
        <v>2737</v>
      </c>
      <c r="E3" s="3210" t="s">
        <v>2033</v>
      </c>
      <c r="F3" s="3210"/>
      <c r="G3" s="3210"/>
      <c r="H3" s="3210" t="s">
        <v>2034</v>
      </c>
      <c r="I3" s="3210"/>
      <c r="J3" s="3210"/>
      <c r="K3" s="3208" t="s">
        <v>2035</v>
      </c>
      <c r="L3" s="3208" t="s">
        <v>2036</v>
      </c>
      <c r="M3" s="3207" t="s">
        <v>2734</v>
      </c>
      <c r="N3" s="3209" t="str">
        <f>"（分摊）"&amp;项目基本情况!B16&amp;"国有建设用地使用权面积/㎡"</f>
        <v>（分摊）出让国有建设用地使用权面积/㎡</v>
      </c>
      <c r="O3" s="3207" t="s">
        <v>2065</v>
      </c>
      <c r="P3" s="3208" t="s">
        <v>2045</v>
      </c>
      <c r="Q3" s="3208" t="s">
        <v>2066</v>
      </c>
      <c r="R3" s="3208" t="s">
        <v>2037</v>
      </c>
    </row>
    <row r="4" spans="1:18" ht="36.75" customHeight="1">
      <c r="A4" s="3207"/>
      <c r="B4" s="3207"/>
      <c r="C4" s="3208"/>
      <c r="D4" s="3207"/>
      <c r="E4" s="2650" t="s">
        <v>2044</v>
      </c>
      <c r="F4" s="2650" t="s">
        <v>2746</v>
      </c>
      <c r="G4" s="2650" t="s">
        <v>2038</v>
      </c>
      <c r="H4" s="2650" t="s">
        <v>2039</v>
      </c>
      <c r="I4" s="2650" t="s">
        <v>2747</v>
      </c>
      <c r="J4" s="2650" t="s">
        <v>2038</v>
      </c>
      <c r="K4" s="3208"/>
      <c r="L4" s="3208"/>
      <c r="M4" s="3207"/>
      <c r="N4" s="3209"/>
      <c r="O4" s="3207"/>
      <c r="P4" s="3208"/>
      <c r="Q4" s="3208"/>
      <c r="R4" s="3208"/>
    </row>
    <row r="5" spans="1:18" ht="135" customHeight="1">
      <c r="A5" s="1944" t="s">
        <v>2657</v>
      </c>
      <c r="B5" s="2868" t="s">
        <v>2655</v>
      </c>
      <c r="C5" s="2649">
        <v>22</v>
      </c>
      <c r="D5" s="2648" t="s">
        <v>2656</v>
      </c>
      <c r="E5" s="1811" t="str">
        <f>项目基本情况!B12</f>
        <v>批发零售</v>
      </c>
      <c r="F5" s="2648">
        <v>258</v>
      </c>
      <c r="G5" s="1811">
        <f>项目基本情况!B13</f>
        <v>0</v>
      </c>
      <c r="H5" s="2648">
        <v>1.5</v>
      </c>
      <c r="I5" s="2648">
        <v>1.5</v>
      </c>
      <c r="J5" s="2648">
        <v>1.5</v>
      </c>
      <c r="K5" s="1811" t="str">
        <f>"红线外"&amp;项目基本情况!T40&amp;"、宗地红线内"&amp;项目基本情况!B35</f>
        <v>红线外六通、宗地红线内场地平整</v>
      </c>
      <c r="L5" s="1811" t="str">
        <f>"红线外"&amp;项目基本情况!T40&amp;"、宗地红线内场地"&amp;项目基本情况!D36</f>
        <v>红线外六通、宗地红线内场地</v>
      </c>
      <c r="M5" s="1811">
        <f>IF(项目基本情况!B16="出让",项目基本情况!D20,"——")</f>
        <v>0</v>
      </c>
      <c r="N5" s="1811">
        <f>项目基本情况!C22</f>
        <v>31518.19</v>
      </c>
      <c r="O5" s="1811">
        <f>项目基本情况!C21</f>
        <v>124676.06000000001</v>
      </c>
      <c r="P5" s="1811">
        <f ca="1">结果表!E42</f>
        <v>8711</v>
      </c>
      <c r="Q5" s="1811">
        <f ca="1">结果表!D42</f>
        <v>2202</v>
      </c>
      <c r="R5" s="1812">
        <f ca="1">结果表!C42</f>
        <v>27455</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27455</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2" t="s">
        <v>2067</v>
      </c>
      <c r="B1" s="3212"/>
      <c r="C1" s="3212"/>
      <c r="D1" s="3212"/>
    </row>
    <row r="2" spans="1:4" ht="47.25" customHeight="1">
      <c r="A2" s="3213" t="str">
        <f>"1.权利限制："&amp;项目基本情况!L24&amp;"未设定租赁等其他他项权利。"</f>
        <v>1.权利限制：根据估价对象《不动产权证书》复印件、《国有土地使用权》——，截至估价期日，估价对象抵押权未见登记。未设定租赁等其他他项权利。</v>
      </c>
      <c r="B2" s="3213"/>
      <c r="C2" s="3213"/>
      <c r="D2" s="3213"/>
    </row>
    <row r="3" spans="1:4" ht="48" customHeight="1">
      <c r="A3" s="3212"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1" t="s">
        <v>2068</v>
      </c>
      <c r="B5" s="3211"/>
      <c r="C5" s="3211"/>
      <c r="D5" s="3211"/>
    </row>
    <row r="6" spans="1:4">
      <c r="A6" s="3212" t="s">
        <v>2046</v>
      </c>
      <c r="B6" s="3212"/>
      <c r="C6" s="3212"/>
      <c r="D6" s="3212"/>
    </row>
    <row r="7" spans="1:4" ht="33" customHeight="1">
      <c r="A7" s="3212" t="s">
        <v>2577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（1）根据估价对象《不动产权证书》复印件、《国有土地使用权》——，截至估价期日，估价对象抵押权未见登记。</v>
      </c>
      <c r="B11" s="3214"/>
      <c r="C11" s="3214"/>
      <c r="D11" s="3214"/>
    </row>
    <row r="12" spans="1:4" ht="168" customHeight="1">
      <c r="A12" s="3211" t="s">
        <v>2070</v>
      </c>
      <c r="B12" s="3211"/>
      <c r="C12" s="3211"/>
      <c r="D12" s="3211"/>
    </row>
    <row r="13" spans="1:4">
      <c r="A13" s="3215" t="s">
        <v>2748</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2704</v>
      </c>
      <c r="B17" s="3212"/>
      <c r="C17" s="3212"/>
      <c r="D17" s="3212"/>
    </row>
    <row r="18" spans="1:4">
      <c r="A18" s="3212" t="s">
        <v>2696</v>
      </c>
      <c r="B18" s="3212"/>
      <c r="C18" s="3212"/>
      <c r="D18" s="3212"/>
    </row>
    <row r="19" spans="1:4">
      <c r="A19" s="2869" t="s">
        <v>2697</v>
      </c>
      <c r="B19" s="2869" t="s">
        <v>2698</v>
      </c>
      <c r="C19" s="2869" t="s">
        <v>2699</v>
      </c>
      <c r="D19" s="2869" t="s">
        <v>2700</v>
      </c>
    </row>
    <row r="20" spans="1:4">
      <c r="A20" s="2869" t="str">
        <f>项目基本情况!B4</f>
        <v>吴薇</v>
      </c>
      <c r="B20" s="2869">
        <f ca="1">项目基本情况!C4</f>
        <v>2002110125</v>
      </c>
      <c r="C20" s="2871"/>
      <c r="D20" s="1801" t="s">
        <v>2705</v>
      </c>
    </row>
    <row r="21" spans="1:4">
      <c r="A21" s="2869" t="str">
        <f>项目基本情况!D4</f>
        <v>赵雯</v>
      </c>
      <c r="B21" s="2869">
        <f ca="1">项目基本情况!E4</f>
        <v>2011110090</v>
      </c>
      <c r="C21" s="2871"/>
      <c r="D21" s="1801" t="s">
        <v>2706</v>
      </c>
    </row>
    <row r="23" spans="1:4">
      <c r="A23" s="3212" t="s">
        <v>2701</v>
      </c>
      <c r="B23" s="3212"/>
      <c r="C23" s="3212"/>
      <c r="D23" s="3212"/>
    </row>
    <row r="24" spans="1:4">
      <c r="A24" s="2869" t="s">
        <v>2697</v>
      </c>
      <c r="B24" s="2869" t="s">
        <v>2702</v>
      </c>
      <c r="C24" s="2869" t="s">
        <v>2699</v>
      </c>
      <c r="D24" s="2869" t="s">
        <v>2700</v>
      </c>
    </row>
    <row r="25" spans="1:4">
      <c r="A25" s="2872" t="s">
        <v>2703</v>
      </c>
      <c r="B25" s="2869" t="s">
        <v>952</v>
      </c>
      <c r="C25" s="2871"/>
      <c r="D25" s="1801" t="s">
        <v>2706</v>
      </c>
    </row>
    <row r="29" spans="1:4">
      <c r="D29" s="2870" t="s">
        <v>2041</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43348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2980</v>
      </c>
      <c r="B12" s="2344">
        <v>1120110054</v>
      </c>
      <c r="C12" s="3007">
        <v>43937</v>
      </c>
      <c r="D12" s="2344" t="s">
        <v>2980</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2576</v>
      </c>
      <c r="B15" s="2344">
        <v>1120070085</v>
      </c>
      <c r="C15" s="3007">
        <v>43814</v>
      </c>
      <c r="D15" s="2344" t="s">
        <v>2576</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2055</v>
      </c>
      <c r="B24" s="2346" t="s">
        <v>2055</v>
      </c>
      <c r="C24" s="3007"/>
      <c r="D24" s="3009" t="s">
        <v>2055</v>
      </c>
      <c r="E24" s="2346" t="s">
        <v>2055</v>
      </c>
      <c r="F24" s="2347"/>
    </row>
    <row r="25" spans="1:7" ht="20.25" customHeight="1">
      <c r="A25" s="3227" t="s">
        <v>1929</v>
      </c>
      <c r="B25" s="3227"/>
      <c r="C25" s="3227"/>
      <c r="D25" s="3227"/>
      <c r="E25" s="3227"/>
      <c r="F25" s="3227"/>
      <c r="G25" s="3227"/>
    </row>
    <row r="26" spans="1:7" ht="20.25" customHeight="1">
      <c r="A26" s="3228" t="s">
        <v>1930</v>
      </c>
      <c r="B26" s="3228"/>
      <c r="C26" s="3228"/>
      <c r="D26" s="3228" t="s">
        <v>1931</v>
      </c>
      <c r="E26" s="3228"/>
      <c r="F26" s="322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2946</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3" sqref="B3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2547</v>
      </c>
      <c r="R1" s="2583"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2958</v>
      </c>
      <c r="C18" s="1555"/>
    </row>
    <row r="19" spans="1:3">
      <c r="A19" s="8" t="s">
        <v>120</v>
      </c>
      <c r="B19" s="3113" t="s">
        <v>2966</v>
      </c>
      <c r="C19" s="1555"/>
    </row>
    <row r="20" spans="1:3">
      <c r="A20" s="8" t="s">
        <v>121</v>
      </c>
      <c r="B20" s="8" t="s">
        <v>3031</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北曲后汇豪置业有限公司拟使用山东省青岛市城阳街道大北曲后社区青岛北曲后汇豪置业有限公司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29"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30日，在规划利用条件下、设定土地开发程度为红线外“六通”、宗地内场地，设定用途为，剩余土地使用年限为的出让国有建设用地使用权价格。</v>
      </c>
      <c r="D53" s="1768"/>
      <c r="E53" s="1768"/>
    </row>
    <row r="54" spans="1:5">
      <c r="A54" s="3229"/>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9"/>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9"/>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9"/>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不动产收益法 (地下车库)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2018-09-05T02:10:01Z</dcterms:modified>
</cp:coreProperties>
</file>