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9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产证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6" r:id="rId24"/>
    <sheet name="收益法（汇总）" sheetId="70" r:id="rId25"/>
    <sheet name="收益法-商业" sheetId="15" r:id="rId26"/>
    <sheet name="收益法 (元)" sheetId="67" state="hidden" r:id="rId27"/>
    <sheet name="收益法-酒店模型" sheetId="77" state="hidden" r:id="rId28"/>
    <sheet name="比较法-商业" sheetId="33" r:id="rId29"/>
    <sheet name="收益法-办公" sheetId="85" r:id="rId30"/>
    <sheet name="比较法-住宅" sheetId="21" state="hidden"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state="hidden" r:id="rId49"/>
    <sheet name="Sheet1" sheetId="82" state="hidden" r:id="rId50"/>
    <sheet name="Sheet2" sheetId="84" state="hidden" r:id="rId51"/>
    <sheet name="租金案例" sheetId="87"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9">'收益法-办公'!$A$1:$F$43,'收益法-办公'!$H$3:$M$29,'收益法-办公'!$A$46:$F$71,'收益法-办公'!$I$46:$N$65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D15" i="74" l="1"/>
  <c r="N14" i="1" l="1"/>
  <c r="L14" i="1"/>
  <c r="B14" i="74" l="1"/>
  <c r="U2" i="43"/>
  <c r="V25" i="1"/>
  <c r="W25" i="1" s="1"/>
  <c r="T26" i="1"/>
  <c r="W24" i="1"/>
  <c r="W22" i="1"/>
  <c r="U23" i="1"/>
  <c r="W23" i="1" s="1"/>
  <c r="U22" i="1"/>
  <c r="T25" i="1"/>
  <c r="T24" i="1"/>
  <c r="T23" i="1"/>
  <c r="T22" i="1"/>
  <c r="I47" i="33"/>
  <c r="G47" i="33"/>
  <c r="E47" i="33"/>
  <c r="F104" i="33"/>
  <c r="E104" i="33"/>
  <c r="D104" i="33"/>
  <c r="C10" i="33"/>
  <c r="I7" i="33"/>
  <c r="G7" i="33"/>
  <c r="E7" i="33"/>
  <c r="I5" i="33"/>
  <c r="G5" i="33"/>
  <c r="E5" i="33"/>
  <c r="U7" i="1"/>
  <c r="I48" i="34"/>
  <c r="G48" i="34"/>
  <c r="E48" i="34"/>
  <c r="C105" i="34"/>
  <c r="E105" i="34"/>
  <c r="I34" i="34"/>
  <c r="G34" i="34"/>
  <c r="E34" i="34"/>
  <c r="C34" i="34"/>
  <c r="I7" i="34"/>
  <c r="G7" i="34"/>
  <c r="E7" i="34"/>
  <c r="I5" i="34"/>
  <c r="G5" i="34"/>
  <c r="E5" i="34"/>
  <c r="W26" i="1" l="1"/>
  <c r="U26" i="1" s="1"/>
  <c r="U6" i="1" s="1"/>
  <c r="AL29" i="3"/>
  <c r="AL16" i="3"/>
  <c r="AL15" i="3"/>
  <c r="AL14" i="3"/>
  <c r="AL13" i="3"/>
  <c r="D14" i="9" l="1"/>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M96" i="86"/>
  <c r="N96" i="86" s="1"/>
  <c r="K96" i="86"/>
  <c r="J96" i="86"/>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M86" i="86"/>
  <c r="N86" i="86" s="1"/>
  <c r="K86" i="86"/>
  <c r="J86" i="86"/>
  <c r="D86" i="86"/>
  <c r="B86" i="86"/>
  <c r="N85" i="86"/>
  <c r="M85" i="86"/>
  <c r="K85" i="86"/>
  <c r="J85" i="86" s="1"/>
  <c r="D85" i="86"/>
  <c r="B85" i="86"/>
  <c r="M84" i="86"/>
  <c r="N84" i="86" s="1"/>
  <c r="K84" i="86"/>
  <c r="J84" i="86"/>
  <c r="D84" i="86"/>
  <c r="B84" i="86"/>
  <c r="N83" i="86"/>
  <c r="M83" i="86"/>
  <c r="K83" i="86"/>
  <c r="J83" i="86" s="1"/>
  <c r="F83" i="86"/>
  <c r="H89" i="86" s="1"/>
  <c r="E83" i="86"/>
  <c r="B81" i="86" s="1"/>
  <c r="D83" i="86"/>
  <c r="B83" i="86"/>
  <c r="N80" i="86"/>
  <c r="M80" i="86"/>
  <c r="K80" i="86"/>
  <c r="J80" i="86" s="1"/>
  <c r="D80" i="86"/>
  <c r="N79" i="86"/>
  <c r="M79" i="86"/>
  <c r="K79" i="86"/>
  <c r="J79" i="86" s="1"/>
  <c r="D79" i="86"/>
  <c r="B79" i="86"/>
  <c r="M78" i="86"/>
  <c r="N78" i="86" s="1"/>
  <c r="K78" i="86"/>
  <c r="J78" i="86"/>
  <c r="D78" i="86"/>
  <c r="M77" i="86"/>
  <c r="N77" i="86" s="1"/>
  <c r="K77" i="86"/>
  <c r="J77" i="86"/>
  <c r="D77" i="86"/>
  <c r="B77" i="86"/>
  <c r="N76" i="86"/>
  <c r="M76" i="86"/>
  <c r="K76" i="86"/>
  <c r="J76" i="86" s="1"/>
  <c r="D76" i="86"/>
  <c r="B76" i="86"/>
  <c r="M75" i="86"/>
  <c r="N75" i="86" s="1"/>
  <c r="K75" i="86"/>
  <c r="J75" i="86"/>
  <c r="D75" i="86"/>
  <c r="B75" i="86"/>
  <c r="N74" i="86"/>
  <c r="M74" i="86"/>
  <c r="K74" i="86"/>
  <c r="J74" i="86" s="1"/>
  <c r="D74" i="86"/>
  <c r="B74" i="86"/>
  <c r="M73" i="86"/>
  <c r="N73" i="86" s="1"/>
  <c r="K73" i="86"/>
  <c r="J73" i="86"/>
  <c r="D73" i="86"/>
  <c r="E72" i="86" s="1"/>
  <c r="B70" i="86" s="1"/>
  <c r="B73" i="86"/>
  <c r="N72" i="86"/>
  <c r="M72" i="86"/>
  <c r="K72" i="86"/>
  <c r="J72" i="86" s="1"/>
  <c r="F72" i="86"/>
  <c r="H78" i="86" s="1"/>
  <c r="D72" i="86"/>
  <c r="B72" i="86"/>
  <c r="M69" i="86"/>
  <c r="N69" i="86" s="1"/>
  <c r="K69" i="86"/>
  <c r="J69" i="86" s="1"/>
  <c r="D69" i="86"/>
  <c r="B69" i="86"/>
  <c r="M68" i="86"/>
  <c r="N68" i="86" s="1"/>
  <c r="K68" i="86"/>
  <c r="J68" i="86"/>
  <c r="D68" i="86" s="1"/>
  <c r="B68" i="86"/>
  <c r="M67" i="86"/>
  <c r="N67" i="86" s="1"/>
  <c r="K67" i="86"/>
  <c r="J67" i="86" s="1"/>
  <c r="D67" i="86"/>
  <c r="B67" i="86"/>
  <c r="N66" i="86"/>
  <c r="M66" i="86"/>
  <c r="K66" i="86"/>
  <c r="J66" i="86" s="1"/>
  <c r="M65" i="86"/>
  <c r="N65" i="86" s="1"/>
  <c r="K65" i="86"/>
  <c r="J65" i="86"/>
  <c r="D65" i="86"/>
  <c r="B65" i="86"/>
  <c r="N64" i="86"/>
  <c r="M64" i="86"/>
  <c r="K64" i="86"/>
  <c r="J64" i="86" s="1"/>
  <c r="D64" i="86"/>
  <c r="M63" i="86"/>
  <c r="N63" i="86" s="1"/>
  <c r="K63" i="86"/>
  <c r="J63" i="86" s="1"/>
  <c r="D63" i="86"/>
  <c r="B63" i="86"/>
  <c r="N62" i="86"/>
  <c r="M62" i="86"/>
  <c r="K62" i="86"/>
  <c r="J62" i="86" s="1"/>
  <c r="D62" i="86"/>
  <c r="B62" i="86"/>
  <c r="M61" i="86"/>
  <c r="N61" i="86" s="1"/>
  <c r="K61" i="86"/>
  <c r="J61" i="86" s="1"/>
  <c r="D61" i="86"/>
  <c r="B61" i="86"/>
  <c r="M58" i="86"/>
  <c r="N58" i="86" s="1"/>
  <c r="K58" i="86"/>
  <c r="J58" i="86"/>
  <c r="D58" i="86"/>
  <c r="B58" i="86"/>
  <c r="N57" i="86"/>
  <c r="M57" i="86"/>
  <c r="K57" i="86"/>
  <c r="J57" i="86" s="1"/>
  <c r="D57" i="86" s="1"/>
  <c r="B57" i="86"/>
  <c r="M56" i="86"/>
  <c r="N56" i="86" s="1"/>
  <c r="K56" i="86"/>
  <c r="J56" i="86"/>
  <c r="D56" i="86"/>
  <c r="B56" i="86"/>
  <c r="N55" i="86"/>
  <c r="M55" i="86"/>
  <c r="K55" i="86"/>
  <c r="J55" i="86" s="1"/>
  <c r="N54" i="86"/>
  <c r="M54" i="86"/>
  <c r="K54" i="86"/>
  <c r="J54" i="86" s="1"/>
  <c r="D54" i="86"/>
  <c r="B54" i="86"/>
  <c r="N53" i="86"/>
  <c r="M53" i="86"/>
  <c r="K53" i="86"/>
  <c r="J53" i="86" s="1"/>
  <c r="D53" i="86"/>
  <c r="M52" i="86"/>
  <c r="N52" i="86" s="1"/>
  <c r="K52" i="86"/>
  <c r="J52" i="86"/>
  <c r="D52" i="86"/>
  <c r="B52" i="86"/>
  <c r="N51" i="86"/>
  <c r="M51" i="86"/>
  <c r="K51" i="86"/>
  <c r="J51" i="86" s="1"/>
  <c r="D51" i="86"/>
  <c r="B51" i="86"/>
  <c r="M50" i="86"/>
  <c r="N50" i="86" s="1"/>
  <c r="K50" i="86"/>
  <c r="J50" i="86"/>
  <c r="D50" i="86"/>
  <c r="B50" i="86"/>
  <c r="H42" i="86"/>
  <c r="H41" i="86"/>
  <c r="H40" i="86"/>
  <c r="H39" i="86"/>
  <c r="H38" i="86"/>
  <c r="H37" i="86"/>
  <c r="J24" i="86"/>
  <c r="G24" i="86"/>
  <c r="E44" i="86" s="1"/>
  <c r="C44" i="86" s="1"/>
  <c r="E24" i="86"/>
  <c r="P32" i="86" s="1"/>
  <c r="M23" i="86"/>
  <c r="I23" i="86"/>
  <c r="G23" i="86"/>
  <c r="P29" i="86" s="1"/>
  <c r="C23" i="86"/>
  <c r="C22" i="86"/>
  <c r="I18" i="86"/>
  <c r="E17" i="86" s="1"/>
  <c r="G18" i="86"/>
  <c r="G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C7" i="86"/>
  <c r="G3" i="86"/>
  <c r="I2" i="86"/>
  <c r="G2" i="86"/>
  <c r="M1" i="86"/>
  <c r="U5" i="43"/>
  <c r="U4" i="43"/>
  <c r="U3" i="43"/>
  <c r="B59" i="1"/>
  <c r="B35" i="1"/>
  <c r="F17" i="85" s="1"/>
  <c r="B21" i="1"/>
  <c r="Q72" i="85"/>
  <c r="Q59" i="85"/>
  <c r="K59" i="85"/>
  <c r="P74" i="85" s="1"/>
  <c r="F59" i="85"/>
  <c r="Q58" i="85"/>
  <c r="J52" i="85"/>
  <c r="Q51" i="85" s="1"/>
  <c r="J50" i="85"/>
  <c r="J49" i="85"/>
  <c r="J51" i="85" s="1"/>
  <c r="M47" i="85"/>
  <c r="D46" i="85"/>
  <c r="F33" i="85"/>
  <c r="F61" i="85" s="1"/>
  <c r="F31" i="85"/>
  <c r="F23" i="85"/>
  <c r="D24" i="85" s="1"/>
  <c r="D22" i="85"/>
  <c r="F21" i="85"/>
  <c r="F20" i="85"/>
  <c r="M19" i="85"/>
  <c r="F18" i="85"/>
  <c r="M17" i="85"/>
  <c r="F15" i="85"/>
  <c r="G1" i="85"/>
  <c r="J52" i="15"/>
  <c r="J49" i="15"/>
  <c r="AM7" i="1"/>
  <c r="AL7" i="1"/>
  <c r="AK7" i="1"/>
  <c r="AI7" i="1"/>
  <c r="Y7" i="1"/>
  <c r="Y6" i="1"/>
  <c r="W7" i="1"/>
  <c r="N7" i="1"/>
  <c r="N6" i="1"/>
  <c r="N19" i="1"/>
  <c r="L7" i="1"/>
  <c r="J7" i="1"/>
  <c r="K31" i="3"/>
  <c r="K32" i="3"/>
  <c r="K33" i="3"/>
  <c r="K34" i="3"/>
  <c r="K35" i="3"/>
  <c r="K36" i="3"/>
  <c r="K37" i="3"/>
  <c r="K38" i="3"/>
  <c r="K39" i="3"/>
  <c r="K30" i="3"/>
  <c r="I17" i="3"/>
  <c r="I18" i="3"/>
  <c r="I19" i="3"/>
  <c r="I20" i="3"/>
  <c r="I21" i="3"/>
  <c r="I22" i="3"/>
  <c r="I23" i="3"/>
  <c r="I24" i="3"/>
  <c r="I25" i="3"/>
  <c r="I26" i="3"/>
  <c r="I27" i="3"/>
  <c r="I28" i="3"/>
  <c r="B14" i="3"/>
  <c r="B15" i="3"/>
  <c r="B16" i="3"/>
  <c r="B17" i="3"/>
  <c r="B18" i="3"/>
  <c r="B19" i="3"/>
  <c r="B20" i="3"/>
  <c r="B21" i="3"/>
  <c r="B22" i="3"/>
  <c r="B23" i="3"/>
  <c r="B24" i="3"/>
  <c r="B25" i="3"/>
  <c r="B26" i="3"/>
  <c r="B27" i="3"/>
  <c r="B28" i="3"/>
  <c r="B29" i="3"/>
  <c r="B30" i="3"/>
  <c r="B31" i="3"/>
  <c r="B32" i="3"/>
  <c r="B33" i="3"/>
  <c r="B34" i="3"/>
  <c r="B35" i="3"/>
  <c r="B36" i="3"/>
  <c r="B37" i="3"/>
  <c r="B38" i="3"/>
  <c r="B39" i="3"/>
  <c r="B13" i="3"/>
  <c r="C14" i="3"/>
  <c r="C15" i="3"/>
  <c r="C16" i="3"/>
  <c r="C17" i="3"/>
  <c r="C18" i="3"/>
  <c r="C19" i="3"/>
  <c r="C20" i="3"/>
  <c r="C21" i="3"/>
  <c r="C22" i="3"/>
  <c r="C23" i="3"/>
  <c r="C24" i="3"/>
  <c r="C25" i="3"/>
  <c r="C26" i="3"/>
  <c r="C27" i="3"/>
  <c r="C28" i="3"/>
  <c r="C29" i="3"/>
  <c r="C30" i="3"/>
  <c r="C31" i="3"/>
  <c r="C32" i="3"/>
  <c r="C33" i="3"/>
  <c r="C34" i="3"/>
  <c r="C35" i="3"/>
  <c r="C36" i="3"/>
  <c r="C37" i="3"/>
  <c r="C38" i="3"/>
  <c r="C39" i="3"/>
  <c r="C13" i="3"/>
  <c r="D3" i="4"/>
  <c r="F8" i="85"/>
  <c r="F9" i="85"/>
  <c r="C76" i="85"/>
  <c r="D66" i="86" l="1"/>
  <c r="E61" i="86" s="1"/>
  <c r="B59" i="86" s="1"/>
  <c r="H72" i="86"/>
  <c r="H76" i="86"/>
  <c r="H83" i="86"/>
  <c r="H87" i="86"/>
  <c r="H74" i="86"/>
  <c r="H85" i="86"/>
  <c r="M12" i="86"/>
  <c r="M11" i="86"/>
  <c r="M10" i="86"/>
  <c r="N9" i="86"/>
  <c r="N8" i="86"/>
  <c r="F61" i="86" s="1"/>
  <c r="M7" i="86"/>
  <c r="M6" i="86"/>
  <c r="N5" i="86"/>
  <c r="N12" i="86"/>
  <c r="N11" i="86"/>
  <c r="N10" i="86"/>
  <c r="M9" i="86"/>
  <c r="M8" i="86"/>
  <c r="N7" i="86"/>
  <c r="N6" i="86"/>
  <c r="M5" i="86"/>
  <c r="N2" i="86"/>
  <c r="N3" i="86"/>
  <c r="N4" i="86"/>
  <c r="E9" i="86"/>
  <c r="E8" i="86"/>
  <c r="E11" i="86"/>
  <c r="E10" i="86"/>
  <c r="N1" i="86"/>
  <c r="H116" i="86"/>
  <c r="C27" i="86"/>
  <c r="O21" i="86"/>
  <c r="M21" i="86"/>
  <c r="K21" i="86"/>
  <c r="I21" i="86"/>
  <c r="D21" i="86"/>
  <c r="X7" i="86"/>
  <c r="S6" i="86"/>
  <c r="F50" i="86"/>
  <c r="F42" i="86"/>
  <c r="F41" i="86"/>
  <c r="F40" i="86"/>
  <c r="F39" i="86"/>
  <c r="F38" i="86"/>
  <c r="F37" i="86"/>
  <c r="N21" i="86"/>
  <c r="L21" i="86"/>
  <c r="J21" i="86"/>
  <c r="H21" i="86"/>
  <c r="G21" i="86" s="1"/>
  <c r="E21" i="86"/>
  <c r="C21" i="86"/>
  <c r="C6" i="86"/>
  <c r="S5" i="86"/>
  <c r="M2" i="86"/>
  <c r="S2" i="86"/>
  <c r="M3" i="86"/>
  <c r="S3" i="86"/>
  <c r="M4" i="86"/>
  <c r="S4" i="86"/>
  <c r="B116" i="86"/>
  <c r="J26" i="86"/>
  <c r="G26" i="86"/>
  <c r="E26" i="86"/>
  <c r="H26" i="86"/>
  <c r="F26" i="86"/>
  <c r="Z7" i="86"/>
  <c r="P26" i="86"/>
  <c r="P27" i="86"/>
  <c r="P28" i="86"/>
  <c r="M32" i="86"/>
  <c r="O32" i="86"/>
  <c r="Q32" i="86"/>
  <c r="O23" i="86"/>
  <c r="M24" i="86"/>
  <c r="P25" i="86"/>
  <c r="N32" i="86"/>
  <c r="D55" i="86"/>
  <c r="E50" i="86" s="1"/>
  <c r="B48" i="86" s="1"/>
  <c r="H79" i="86"/>
  <c r="H80" i="86"/>
  <c r="H90" i="86"/>
  <c r="H94" i="86"/>
  <c r="H97" i="86"/>
  <c r="H98" i="86"/>
  <c r="H100" i="86"/>
  <c r="H73" i="86"/>
  <c r="H75" i="86"/>
  <c r="H77" i="86"/>
  <c r="H84" i="86"/>
  <c r="H86" i="86"/>
  <c r="H88" i="86"/>
  <c r="H93" i="86"/>
  <c r="H95" i="86"/>
  <c r="H96" i="86"/>
  <c r="H99" i="86"/>
  <c r="D23" i="85"/>
  <c r="Q71" i="85"/>
  <c r="F51" i="85"/>
  <c r="P61" i="85"/>
  <c r="B29" i="83"/>
  <c r="J34" i="82"/>
  <c r="F36" i="85"/>
  <c r="F6" i="85"/>
  <c r="F40" i="85"/>
  <c r="M26" i="85"/>
  <c r="M6" i="85"/>
  <c r="F42" i="85"/>
  <c r="F26" i="85"/>
  <c r="J15" i="85"/>
  <c r="M24" i="85"/>
  <c r="M22" i="85"/>
  <c r="F16" i="85"/>
  <c r="M28" i="85"/>
  <c r="F38" i="85"/>
  <c r="F13" i="85"/>
  <c r="M8" i="85"/>
  <c r="F37" i="85"/>
  <c r="M23" i="85"/>
  <c r="M9" i="85"/>
  <c r="M27" i="85"/>
  <c r="C28" i="86" l="1"/>
  <c r="D26" i="86"/>
  <c r="C25" i="86" s="1"/>
  <c r="H68" i="86"/>
  <c r="H61" i="86"/>
  <c r="H65" i="86"/>
  <c r="H69" i="86"/>
  <c r="H63" i="86"/>
  <c r="H67" i="86"/>
  <c r="H64" i="86"/>
  <c r="H62" i="86"/>
  <c r="H66" i="86"/>
  <c r="I122" i="86"/>
  <c r="J122" i="86" s="1"/>
  <c r="K122" i="86" s="1"/>
  <c r="L122" i="86" s="1"/>
  <c r="M122" i="86" s="1"/>
  <c r="I121" i="86"/>
  <c r="J121" i="86" s="1"/>
  <c r="K121" i="86" s="1"/>
  <c r="L121" i="86" s="1"/>
  <c r="M121" i="86" s="1"/>
  <c r="G121" i="86"/>
  <c r="H121" i="86" s="1"/>
  <c r="I120" i="86"/>
  <c r="J120" i="86" s="1"/>
  <c r="K120" i="86" s="1"/>
  <c r="L120" i="86" s="1"/>
  <c r="M120" i="86" s="1"/>
  <c r="I119" i="86"/>
  <c r="J119" i="86" s="1"/>
  <c r="K119" i="86" s="1"/>
  <c r="L119" i="86" s="1"/>
  <c r="M119" i="86" s="1"/>
  <c r="I118" i="86"/>
  <c r="J118" i="86" s="1"/>
  <c r="K118" i="86" s="1"/>
  <c r="L118" i="86" s="1"/>
  <c r="M118" i="86" s="1"/>
  <c r="D122" i="86"/>
  <c r="E122" i="86" s="1"/>
  <c r="F122" i="86" s="1"/>
  <c r="G122" i="86" s="1"/>
  <c r="H122" i="86" s="1"/>
  <c r="B122" i="86"/>
  <c r="C122" i="86" s="1"/>
  <c r="D121" i="86"/>
  <c r="E121" i="86" s="1"/>
  <c r="F121" i="86" s="1"/>
  <c r="B121" i="86"/>
  <c r="C121" i="86" s="1"/>
  <c r="D120" i="86"/>
  <c r="E120" i="86" s="1"/>
  <c r="F120" i="86" s="1"/>
  <c r="G120" i="86" s="1"/>
  <c r="H120" i="86" s="1"/>
  <c r="B120" i="86"/>
  <c r="C120" i="86" s="1"/>
  <c r="D119" i="86"/>
  <c r="E119" i="86" s="1"/>
  <c r="F119" i="86" s="1"/>
  <c r="G119" i="86" s="1"/>
  <c r="H119" i="86" s="1"/>
  <c r="B119" i="86"/>
  <c r="C119" i="86" s="1"/>
  <c r="D118" i="86"/>
  <c r="E118" i="86" s="1"/>
  <c r="F118" i="86" s="1"/>
  <c r="G118" i="86" s="1"/>
  <c r="H118" i="86" s="1"/>
  <c r="B118" i="86"/>
  <c r="C20" i="86"/>
  <c r="C5" i="86" s="1"/>
  <c r="H58" i="86"/>
  <c r="H56" i="86"/>
  <c r="H53" i="86"/>
  <c r="H52" i="86"/>
  <c r="H50" i="86"/>
  <c r="H57" i="86"/>
  <c r="H55" i="86"/>
  <c r="H54" i="86"/>
  <c r="H51" i="86"/>
  <c r="D5" i="86"/>
  <c r="F66" i="85"/>
  <c r="F64" i="85"/>
  <c r="C27" i="85"/>
  <c r="F68" i="85"/>
  <c r="F65" i="85"/>
  <c r="I29" i="79"/>
  <c r="I28" i="79"/>
  <c r="N28" i="79"/>
  <c r="M28" i="79"/>
  <c r="P28" i="79" s="1"/>
  <c r="L28" i="79"/>
  <c r="N29" i="79"/>
  <c r="M29" i="79"/>
  <c r="L29" i="79"/>
  <c r="P6" i="79"/>
  <c r="O6" i="79"/>
  <c r="N6" i="79"/>
  <c r="M6" i="79"/>
  <c r="L6" i="79"/>
  <c r="K6" i="79"/>
  <c r="O7" i="79"/>
  <c r="N7" i="79"/>
  <c r="M7" i="79"/>
  <c r="P7" i="79" s="1"/>
  <c r="L7" i="79"/>
  <c r="K7" i="79"/>
  <c r="C42" i="86" l="1"/>
  <c r="C41" i="86"/>
  <c r="C118" i="86"/>
  <c r="D116" i="86" s="1"/>
  <c r="P29" i="79"/>
  <c r="G42" i="86" l="1"/>
  <c r="I42" i="86" s="1"/>
  <c r="E42" i="86"/>
  <c r="G41" i="86"/>
  <c r="I41" i="86" s="1"/>
  <c r="E41" i="86"/>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5"/>
  <c r="L59" i="85" l="1"/>
  <c r="N59" i="85"/>
  <c r="I2" i="43"/>
  <c r="M1" i="43" s="1"/>
  <c r="Q74" i="85" l="1"/>
  <c r="Q61" i="8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H12" i="34"/>
  <c r="Q11" i="34"/>
  <c r="Z11" i="34" s="1"/>
  <c r="Q10" i="34"/>
  <c r="Z10" i="34" s="1"/>
  <c r="F10" i="34"/>
  <c r="AA10" i="34" s="1"/>
  <c r="Q9" i="34"/>
  <c r="Z9" i="34"/>
  <c r="H9" i="34"/>
  <c r="U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D69" i="33"/>
  <c r="E69" i="33" s="1"/>
  <c r="F69" i="33"/>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F20" i="6" s="1"/>
  <c r="D33" i="86" s="1"/>
  <c r="D1" i="8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U31" i="35"/>
  <c r="W22" i="35"/>
  <c r="S31" i="35"/>
  <c r="F36" i="34"/>
  <c r="J35" i="34"/>
  <c r="H39" i="33"/>
  <c r="AB39" i="33"/>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8" i="34"/>
  <c r="W28" i="34" s="1"/>
  <c r="F41" i="33"/>
  <c r="AA41" i="33" s="1"/>
  <c r="S38" i="33"/>
  <c r="E113" i="33"/>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J38" i="34" s="1"/>
  <c r="H38" i="34"/>
  <c r="AB38" i="34" s="1"/>
  <c r="J36" i="34"/>
  <c r="W36" i="34"/>
  <c r="H37" i="34"/>
  <c r="U37" i="34" s="1"/>
  <c r="H25" i="34"/>
  <c r="AB25" i="34" s="1"/>
  <c r="J25" i="34"/>
  <c r="AC25" i="34" s="1"/>
  <c r="S41" i="33"/>
  <c r="F113" i="33"/>
  <c r="G113" i="33"/>
  <c r="H113" i="33" s="1"/>
  <c r="I113" i="33" s="1"/>
  <c r="J113" i="33" s="1"/>
  <c r="K113" i="33" s="1"/>
  <c r="L113" i="33" s="1"/>
  <c r="M113" i="33" s="1"/>
  <c r="H37" i="33"/>
  <c r="AB37"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AC13" i="36"/>
  <c r="W13" i="36"/>
  <c r="S11" i="36"/>
  <c r="AB46" i="34"/>
  <c r="AC30"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AA36" i="39"/>
  <c r="F39" i="33"/>
  <c r="AA39" i="33" s="1"/>
  <c r="E123" i="33"/>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S25" i="33" s="1"/>
  <c r="J23" i="33"/>
  <c r="AC23" i="33" s="1"/>
  <c r="F85" i="33"/>
  <c r="H23" i="33"/>
  <c r="U23"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AC40" i="34"/>
  <c r="W40" i="34"/>
  <c r="AA36" i="34"/>
  <c r="S36" i="34"/>
  <c r="S8" i="34"/>
  <c r="AB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AC32" i="33"/>
  <c r="W32" i="33"/>
  <c r="J25" i="33"/>
  <c r="AC25" i="33" s="1"/>
  <c r="F23" i="33"/>
  <c r="S23" i="33" s="1"/>
  <c r="G85" i="33"/>
  <c r="H19" i="33"/>
  <c r="AB19" i="33" s="1"/>
  <c r="G81" i="33"/>
  <c r="H17" i="33"/>
  <c r="U17" i="33" s="1"/>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M49" i="9" s="1"/>
  <c r="H112" i="9"/>
  <c r="D21" i="53" s="1"/>
  <c r="B39" i="72" s="1"/>
  <c r="H111" i="9"/>
  <c r="D126" i="9" s="1"/>
  <c r="AD3" i="71"/>
  <c r="J1" i="7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8" i="76"/>
  <c r="E2" i="69"/>
  <c r="E10" i="76"/>
  <c r="M24" i="67"/>
  <c r="M8" i="15"/>
  <c r="M23" i="15"/>
  <c r="B10" i="76"/>
  <c r="F43" i="67"/>
  <c r="C76" i="15"/>
  <c r="F40" i="67"/>
  <c r="AO13" i="1"/>
  <c r="D6" i="73"/>
  <c r="L47" i="15"/>
  <c r="M9" i="15"/>
  <c r="F9" i="15"/>
  <c r="D3" i="73"/>
  <c r="L48" i="67"/>
  <c r="B8" i="76"/>
  <c r="D34" i="9"/>
  <c r="M8" i="67"/>
  <c r="F3" i="73"/>
  <c r="M26" i="15"/>
  <c r="B7" i="76"/>
  <c r="C76" i="67"/>
  <c r="L48" i="85"/>
  <c r="J15" i="15"/>
  <c r="B13" i="76"/>
  <c r="F16" i="67"/>
  <c r="F26" i="67"/>
  <c r="F36" i="67"/>
  <c r="E12" i="76"/>
  <c r="M22" i="67"/>
  <c r="F26" i="15"/>
  <c r="F36" i="15"/>
  <c r="F8" i="15"/>
  <c r="F42" i="67"/>
  <c r="F38" i="15"/>
  <c r="F13" i="15"/>
  <c r="M26" i="67"/>
  <c r="F42" i="15"/>
  <c r="F38" i="67"/>
  <c r="F37" i="15"/>
  <c r="F6" i="67"/>
  <c r="F4" i="73"/>
  <c r="M9" i="67"/>
  <c r="F7" i="73"/>
  <c r="E9" i="76"/>
  <c r="D4" i="73"/>
  <c r="F20" i="31"/>
  <c r="F6" i="15"/>
  <c r="B11" i="76"/>
  <c r="M23" i="67"/>
  <c r="E11" i="76"/>
  <c r="F8" i="67"/>
  <c r="L47" i="67"/>
  <c r="F13" i="67"/>
  <c r="B9" i="76"/>
  <c r="F16" i="15"/>
  <c r="L48" i="15"/>
  <c r="F7" i="67"/>
  <c r="E13" i="76"/>
  <c r="M28" i="15"/>
  <c r="M28" i="67"/>
  <c r="M24" i="15"/>
  <c r="F37" i="67"/>
  <c r="M22" i="15"/>
  <c r="J15" i="67"/>
  <c r="D35" i="9"/>
  <c r="F6" i="73"/>
  <c r="M29" i="67"/>
  <c r="F5" i="73"/>
  <c r="E2" i="68"/>
  <c r="E7" i="76"/>
  <c r="F40" i="15"/>
  <c r="D5" i="73"/>
  <c r="M6" i="15"/>
  <c r="M6" i="67"/>
  <c r="B12" i="76"/>
  <c r="F9" i="67"/>
  <c r="D7" i="73"/>
  <c r="AB36" i="33" l="1"/>
  <c r="S36" i="33"/>
  <c r="F27" i="33"/>
  <c r="AA27" i="33" s="1"/>
  <c r="H27" i="33"/>
  <c r="AB27" i="33" s="1"/>
  <c r="J27" i="33"/>
  <c r="W27" i="33" s="1"/>
  <c r="F91" i="33"/>
  <c r="G91" i="33" s="1"/>
  <c r="H91" i="33" s="1"/>
  <c r="I91" i="33" s="1"/>
  <c r="J91" i="33" s="1"/>
  <c r="K91" i="33" s="1"/>
  <c r="L91" i="33" s="1"/>
  <c r="M91" i="33" s="1"/>
  <c r="W26" i="33"/>
  <c r="AA25" i="33"/>
  <c r="U32" i="33"/>
  <c r="U27" i="33"/>
  <c r="S27" i="33"/>
  <c r="S26" i="33"/>
  <c r="AB26" i="33"/>
  <c r="W25" i="33"/>
  <c r="U25" i="33"/>
  <c r="AB23" i="33"/>
  <c r="G77" i="33"/>
  <c r="J15" i="33"/>
  <c r="H15" i="33"/>
  <c r="AB15" i="33" s="1"/>
  <c r="F15" i="33"/>
  <c r="AA15" i="33" s="1"/>
  <c r="AA23" i="33"/>
  <c r="AB17" i="33"/>
  <c r="U15" i="33"/>
  <c r="S15" i="33"/>
  <c r="W23" i="33"/>
  <c r="U19" i="33"/>
  <c r="AA19" i="33"/>
  <c r="W19" i="33"/>
  <c r="AA17" i="33"/>
  <c r="W9" i="33"/>
  <c r="G114" i="34"/>
  <c r="H114" i="34" s="1"/>
  <c r="I114" i="34" s="1"/>
  <c r="J114" i="34" s="1"/>
  <c r="K114" i="34" s="1"/>
  <c r="L114" i="34" s="1"/>
  <c r="M114" i="34" s="1"/>
  <c r="F38" i="34"/>
  <c r="W38" i="34"/>
  <c r="AC38" i="34"/>
  <c r="U38" i="34"/>
  <c r="U34" i="34"/>
  <c r="W31" i="34"/>
  <c r="F23" i="34"/>
  <c r="J23" i="34"/>
  <c r="F82" i="34"/>
  <c r="G82" i="34" s="1"/>
  <c r="F19" i="34"/>
  <c r="H19" i="34"/>
  <c r="J19" i="34"/>
  <c r="AC19" i="34" s="1"/>
  <c r="F80" i="34"/>
  <c r="G80" i="34" s="1"/>
  <c r="H17" i="34"/>
  <c r="F17" i="34"/>
  <c r="J17" i="34"/>
  <c r="W17" i="34" s="1"/>
  <c r="J15" i="34"/>
  <c r="G78" i="34"/>
  <c r="F15" i="34"/>
  <c r="H15" i="34"/>
  <c r="U21" i="34"/>
  <c r="AB23" i="34"/>
  <c r="S21" i="34"/>
  <c r="AC21" i="34"/>
  <c r="AA14" i="34"/>
  <c r="W8" i="34"/>
  <c r="E20" i="6"/>
  <c r="K7" i="1" s="1"/>
  <c r="BA29" i="3"/>
  <c r="AZ29" i="3" s="1"/>
  <c r="G14" i="3"/>
  <c r="E19" i="6"/>
  <c r="K6" i="1" s="1"/>
  <c r="M7" i="1"/>
  <c r="L56" i="85"/>
  <c r="I54" i="85"/>
  <c r="J53" i="85"/>
  <c r="L57" i="85"/>
  <c r="J57" i="85"/>
  <c r="J55" i="85" s="1"/>
  <c r="J58" i="85" s="1"/>
  <c r="Q50" i="85" s="1"/>
  <c r="L60" i="85"/>
  <c r="L58" i="85"/>
  <c r="G6" i="1"/>
  <c r="I24" i="43"/>
  <c r="G7" i="1"/>
  <c r="I24" i="86"/>
  <c r="C24" i="86" s="1"/>
  <c r="D52" i="43"/>
  <c r="E50" i="43" s="1"/>
  <c r="B48" i="43" s="1"/>
  <c r="M20" i="15"/>
  <c r="F34" i="85"/>
  <c r="F62" i="85" s="1"/>
  <c r="M20" i="85"/>
  <c r="F48" i="9"/>
  <c r="O52" i="9" s="1"/>
  <c r="F32" i="85"/>
  <c r="F28" i="85"/>
  <c r="C28" i="85" s="1"/>
  <c r="M18" i="85"/>
  <c r="C21" i="68"/>
  <c r="F34" i="68"/>
  <c r="C36" i="68" s="1"/>
  <c r="M59" i="85"/>
  <c r="BA35" i="3"/>
  <c r="AZ35" i="3" s="1"/>
  <c r="BA36" i="3"/>
  <c r="AZ36" i="3" s="1"/>
  <c r="BA37" i="3"/>
  <c r="AZ37" i="3" s="1"/>
  <c r="BL19" i="3"/>
  <c r="AZ19" i="3" s="1"/>
  <c r="BL21" i="3"/>
  <c r="AZ21" i="3" s="1"/>
  <c r="BA22" i="3"/>
  <c r="AZ22" i="3" s="1"/>
  <c r="BL24" i="3"/>
  <c r="AZ24" i="3" s="1"/>
  <c r="BA25" i="3"/>
  <c r="AZ25" i="3" s="1"/>
  <c r="BA26" i="3"/>
  <c r="AZ26" i="3" s="1"/>
  <c r="BL28" i="3"/>
  <c r="AZ28" i="3" s="1"/>
  <c r="BL34" i="3"/>
  <c r="BL38" i="3"/>
  <c r="AZ16" i="3"/>
  <c r="BL16" i="3"/>
  <c r="AZ14" i="3"/>
  <c r="F29" i="6"/>
  <c r="H69" i="43"/>
  <c r="E19" i="71"/>
  <c r="E18" i="71" s="1"/>
  <c r="E17" i="71" s="1"/>
  <c r="E16" i="71" s="1"/>
  <c r="V20" i="71"/>
  <c r="AZ521" i="3"/>
  <c r="G5" i="3"/>
  <c r="B3" i="3" s="1"/>
  <c r="E156" i="3" s="1"/>
  <c r="AC11" i="35"/>
  <c r="B94" i="43"/>
  <c r="B73" i="43"/>
  <c r="B99" i="43"/>
  <c r="B76" i="43"/>
  <c r="J9" i="34"/>
  <c r="F9" i="34"/>
  <c r="AA9" i="34" s="1"/>
  <c r="AC28" i="35"/>
  <c r="W28" i="35"/>
  <c r="J12" i="34"/>
  <c r="F12" i="34"/>
  <c r="J34" i="35"/>
  <c r="H34" i="35"/>
  <c r="F34" i="35"/>
  <c r="D17" i="71"/>
  <c r="C16" i="71"/>
  <c r="D19" i="53"/>
  <c r="B38" i="72" s="1"/>
  <c r="D16" i="53"/>
  <c r="B34" i="72" s="1"/>
  <c r="G28" i="6"/>
  <c r="E28" i="6" s="1"/>
  <c r="K14" i="1" s="1"/>
  <c r="F12" i="21"/>
  <c r="J12" i="21"/>
  <c r="B101" i="43"/>
  <c r="B79" i="43"/>
  <c r="B97" i="43"/>
  <c r="B75" i="43"/>
  <c r="H36" i="35"/>
  <c r="J36" i="35"/>
  <c r="F23" i="36"/>
  <c r="H23" i="36"/>
  <c r="H25" i="37"/>
  <c r="J25" i="37"/>
  <c r="F38" i="40"/>
  <c r="J38" i="40"/>
  <c r="H38" i="40"/>
  <c r="BL550" i="3"/>
  <c r="AZ550" i="3" s="1"/>
  <c r="AZ400" i="3"/>
  <c r="AZ413" i="3"/>
  <c r="AZ424" i="3"/>
  <c r="AZ429" i="3"/>
  <c r="AZ439" i="3"/>
  <c r="AZ444" i="3"/>
  <c r="AZ456" i="3"/>
  <c r="AZ466" i="3"/>
  <c r="AZ472" i="3"/>
  <c r="AZ475" i="3"/>
  <c r="AZ483" i="3"/>
  <c r="AZ489" i="3"/>
  <c r="AZ316" i="3"/>
  <c r="AZ332" i="3"/>
  <c r="AZ395" i="3"/>
  <c r="AZ208" i="3"/>
  <c r="AZ211" i="3"/>
  <c r="AZ219" i="3"/>
  <c r="AZ236" i="3"/>
  <c r="AZ252" i="3"/>
  <c r="AZ272" i="3"/>
  <c r="AZ276" i="3"/>
  <c r="AZ289" i="3"/>
  <c r="AZ294" i="3"/>
  <c r="AZ300" i="3"/>
  <c r="J26" i="37"/>
  <c r="H26" i="37"/>
  <c r="F26" i="37"/>
  <c r="H44" i="39"/>
  <c r="F44" i="39"/>
  <c r="J39" i="40"/>
  <c r="H39" i="40"/>
  <c r="BA551" i="3"/>
  <c r="AZ551" i="3" s="1"/>
  <c r="A15" i="62"/>
  <c r="B61" i="72" s="1"/>
  <c r="AZ118" i="3"/>
  <c r="AZ121" i="3"/>
  <c r="AZ134" i="3"/>
  <c r="AZ137" i="3"/>
  <c r="AZ145" i="3"/>
  <c r="AZ161" i="3"/>
  <c r="AZ177" i="3"/>
  <c r="AZ193" i="3"/>
  <c r="AZ34" i="3"/>
  <c r="AZ38" i="3"/>
  <c r="AZ56" i="3"/>
  <c r="AZ68" i="3"/>
  <c r="AZ73" i="3"/>
  <c r="AZ48" i="3"/>
  <c r="AZ108" i="3"/>
  <c r="AZ87" i="3"/>
  <c r="AZ91" i="3"/>
  <c r="AZ95" i="3"/>
  <c r="C43" i="71"/>
  <c r="D42" i="71"/>
  <c r="C47" i="71"/>
  <c r="D47" i="71" s="1"/>
  <c r="D46" i="71"/>
  <c r="S21" i="21"/>
  <c r="U18" i="36"/>
  <c r="Y9" i="71"/>
  <c r="Z9" i="71" s="1"/>
  <c r="Y10" i="71"/>
  <c r="Z10" i="71" s="1"/>
  <c r="AA9" i="71"/>
  <c r="AA10" i="71"/>
  <c r="AB24" i="71"/>
  <c r="AA23" i="71"/>
  <c r="AA22" i="71"/>
  <c r="X21" i="71"/>
  <c r="Y18" i="71"/>
  <c r="Z18" i="71" s="1"/>
  <c r="X17" i="71"/>
  <c r="Y17" i="71"/>
  <c r="Z17" i="71" s="1"/>
  <c r="AA17" i="71"/>
  <c r="AB18" i="71"/>
  <c r="Y14" i="71"/>
  <c r="Z14" i="71" s="1"/>
  <c r="X9" i="71"/>
  <c r="X10" i="71"/>
  <c r="Y39" i="71"/>
  <c r="Z39" i="71" s="1"/>
  <c r="AA39" i="71"/>
  <c r="AB9" i="71"/>
  <c r="AB10" i="71"/>
  <c r="X22" i="71"/>
  <c r="AA24" i="71"/>
  <c r="Y21" i="71"/>
  <c r="Z21" i="71" s="1"/>
  <c r="AB23" i="71"/>
  <c r="AB21" i="71"/>
  <c r="AA21" i="71"/>
  <c r="X18" i="71"/>
  <c r="AA18" i="71"/>
  <c r="X14" i="71"/>
  <c r="AA13" i="71"/>
  <c r="F67" i="71"/>
  <c r="X24" i="71"/>
  <c r="Y24" i="71"/>
  <c r="Z24" i="71" s="1"/>
  <c r="AB15" i="71"/>
  <c r="AB17" i="71"/>
  <c r="AB12" i="71"/>
  <c r="AB14" i="71"/>
  <c r="X11" i="71"/>
  <c r="Y12" i="71"/>
  <c r="Z12" i="71" s="1"/>
  <c r="Y13" i="71"/>
  <c r="Z13" i="71" s="1"/>
  <c r="Y23" i="71"/>
  <c r="Z23" i="71" s="1"/>
  <c r="Y22" i="71"/>
  <c r="Z22" i="71" s="1"/>
  <c r="X15" i="71"/>
  <c r="AA15" i="71"/>
  <c r="AB11" i="71"/>
  <c r="AB13" i="71"/>
  <c r="AA12" i="71"/>
  <c r="AA11"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D9" i="68"/>
  <c r="G1" i="73"/>
  <c r="C16" i="85"/>
  <c r="F43" i="15"/>
  <c r="F7" i="85"/>
  <c r="C16" i="67"/>
  <c r="C16" i="15"/>
  <c r="F43" i="85"/>
  <c r="F7" i="15"/>
  <c r="M29" i="15"/>
  <c r="M29" i="85"/>
  <c r="AC27" i="33" l="1"/>
  <c r="AC15" i="33"/>
  <c r="W15" i="33"/>
  <c r="S38" i="34"/>
  <c r="AA38" i="34"/>
  <c r="AC17" i="34"/>
  <c r="W23" i="34"/>
  <c r="AC23" i="34"/>
  <c r="AA23" i="34"/>
  <c r="S23" i="34"/>
  <c r="S19" i="34"/>
  <c r="AA19" i="34"/>
  <c r="W19" i="34"/>
  <c r="AB19" i="34"/>
  <c r="U19" i="34"/>
  <c r="U17" i="34"/>
  <c r="AB17" i="34"/>
  <c r="AA17" i="34"/>
  <c r="S17" i="34"/>
  <c r="AB15" i="34"/>
  <c r="U15" i="34"/>
  <c r="AA15" i="34"/>
  <c r="S15" i="34"/>
  <c r="W15" i="34"/>
  <c r="AC15" i="34"/>
  <c r="F71" i="85"/>
  <c r="M7" i="85"/>
  <c r="J6" i="85" s="1"/>
  <c r="J19" i="85" s="1"/>
  <c r="C6" i="85"/>
  <c r="C33" i="85" s="1"/>
  <c r="F50" i="85"/>
  <c r="C49" i="85" s="1"/>
  <c r="C61" i="85" s="1"/>
  <c r="P6" i="3"/>
  <c r="F50" i="15"/>
  <c r="C49" i="15" s="1"/>
  <c r="M7" i="15"/>
  <c r="J6" i="15" s="1"/>
  <c r="J18" i="15" s="1"/>
  <c r="C6" i="15"/>
  <c r="C32" i="15" s="1"/>
  <c r="F71" i="15"/>
  <c r="AP6" i="1"/>
  <c r="C36" i="69" s="1"/>
  <c r="E166" i="3"/>
  <c r="E32"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30" i="3"/>
  <c r="E444" i="3"/>
  <c r="E164" i="3"/>
  <c r="E577" i="3"/>
  <c r="E316" i="3"/>
  <c r="E88" i="3"/>
  <c r="E558" i="3"/>
  <c r="AG6" i="3"/>
  <c r="E236" i="3"/>
  <c r="E214" i="3"/>
  <c r="E277" i="3"/>
  <c r="E480" i="3"/>
  <c r="E334" i="3"/>
  <c r="E295" i="3"/>
  <c r="E121" i="3"/>
  <c r="E404" i="3"/>
  <c r="E581" i="3"/>
  <c r="E443" i="3"/>
  <c r="E448" i="3"/>
  <c r="E576" i="3"/>
  <c r="E252" i="3"/>
  <c r="I6" i="3"/>
  <c r="E362" i="3"/>
  <c r="E146" i="3"/>
  <c r="E472" i="3"/>
  <c r="E181" i="3"/>
  <c r="E109" i="3"/>
  <c r="E572" i="3"/>
  <c r="E377" i="3"/>
  <c r="E273" i="3"/>
  <c r="E211" i="3"/>
  <c r="E182" i="3"/>
  <c r="E70" i="3"/>
  <c r="E28" i="3"/>
  <c r="E489" i="3"/>
  <c r="E531" i="3"/>
  <c r="E557" i="3"/>
  <c r="E345" i="3"/>
  <c r="E400" i="3"/>
  <c r="E485" i="3"/>
  <c r="AO6" i="3"/>
  <c r="Z6" i="3"/>
  <c r="E327" i="3"/>
  <c r="E204" i="3"/>
  <c r="E89" i="3"/>
  <c r="E368" i="3"/>
  <c r="E227" i="3"/>
  <c r="E74" i="3"/>
  <c r="E315" i="3"/>
  <c r="E171" i="3"/>
  <c r="E454" i="3"/>
  <c r="E465" i="3"/>
  <c r="K6" i="3"/>
  <c r="AK6" i="3"/>
  <c r="E77" i="3"/>
  <c r="O7" i="1"/>
  <c r="P7" i="1" s="1"/>
  <c r="Q57" i="85"/>
  <c r="Q66" i="85"/>
  <c r="C38" i="86"/>
  <c r="T12" i="86"/>
  <c r="V12" i="86" s="1"/>
  <c r="T10" i="86"/>
  <c r="V10" i="86" s="1"/>
  <c r="T5" i="86"/>
  <c r="V5" i="86" s="1"/>
  <c r="T15" i="86"/>
  <c r="V15" i="86" s="1"/>
  <c r="T13" i="86"/>
  <c r="V13" i="86" s="1"/>
  <c r="T8" i="86"/>
  <c r="V8" i="86" s="1"/>
  <c r="T4" i="86"/>
  <c r="V4" i="86" s="1"/>
  <c r="T2" i="86"/>
  <c r="V2" i="86" s="1"/>
  <c r="C39" i="86"/>
  <c r="C37" i="86"/>
  <c r="C33" i="86"/>
  <c r="T11" i="86"/>
  <c r="V11" i="86" s="1"/>
  <c r="T7" i="86"/>
  <c r="V7" i="86" s="1"/>
  <c r="T16" i="86"/>
  <c r="V16" i="86" s="1"/>
  <c r="T14" i="86"/>
  <c r="V14" i="86" s="1"/>
  <c r="T9" i="86"/>
  <c r="V9" i="86" s="1"/>
  <c r="T6" i="86"/>
  <c r="V6" i="86" s="1"/>
  <c r="T3" i="86"/>
  <c r="V3" i="86" s="1"/>
  <c r="C40" i="86"/>
  <c r="Q73" i="85"/>
  <c r="Q60" i="85"/>
  <c r="F1" i="85"/>
  <c r="Q52" i="85"/>
  <c r="F60" i="85"/>
  <c r="F11" i="85"/>
  <c r="M11" i="85"/>
  <c r="J10" i="85" s="1"/>
  <c r="E106" i="3"/>
  <c r="E468" i="3"/>
  <c r="E587" i="3"/>
  <c r="E406" i="3"/>
  <c r="E560" i="3"/>
  <c r="E133" i="3"/>
  <c r="E228" i="3"/>
  <c r="E545" i="3"/>
  <c r="E568" i="3"/>
  <c r="E580" i="3"/>
  <c r="E394" i="3"/>
  <c r="E274" i="3"/>
  <c r="E256" i="3"/>
  <c r="E203" i="3"/>
  <c r="E73" i="3"/>
  <c r="E55" i="3"/>
  <c r="E496" i="3"/>
  <c r="E429" i="3"/>
  <c r="AE6" i="3"/>
  <c r="E344" i="3"/>
  <c r="E424" i="3"/>
  <c r="E481" i="3"/>
  <c r="E437" i="3"/>
  <c r="Q6" i="3"/>
  <c r="E330" i="3"/>
  <c r="E177" i="3"/>
  <c r="E120" i="3"/>
  <c r="E262" i="3"/>
  <c r="E128" i="3"/>
  <c r="E434" i="3"/>
  <c r="E238" i="3"/>
  <c r="K16" i="1"/>
  <c r="U39" i="40"/>
  <c r="AB39" i="40"/>
  <c r="AA44" i="39"/>
  <c r="S44" i="39"/>
  <c r="AA26" i="37"/>
  <c r="S26" i="37"/>
  <c r="AC26" i="37"/>
  <c r="W26" i="37"/>
  <c r="AC38" i="40"/>
  <c r="W38" i="40"/>
  <c r="AC25" i="37"/>
  <c r="W25" i="37"/>
  <c r="AB23" i="36"/>
  <c r="U23" i="36"/>
  <c r="W36" i="35"/>
  <c r="AC36" i="35"/>
  <c r="AC12" i="21"/>
  <c r="W12" i="21"/>
  <c r="C15" i="71"/>
  <c r="T16" i="7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B15" i="71"/>
  <c r="B14" i="71" s="1"/>
  <c r="B13" i="71" s="1"/>
  <c r="B12" i="71" s="1"/>
  <c r="S16" i="71"/>
  <c r="F7" i="36"/>
  <c r="J7" i="37"/>
  <c r="H7" i="36"/>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F66" i="71"/>
  <c r="Q67" i="71"/>
  <c r="D43" i="71"/>
  <c r="C44" i="71"/>
  <c r="AC39" i="40"/>
  <c r="W39" i="40"/>
  <c r="U44" i="39"/>
  <c r="AB44" i="39"/>
  <c r="AB26" i="37"/>
  <c r="U26" i="37"/>
  <c r="AB38" i="40"/>
  <c r="U38" i="40"/>
  <c r="AA38" i="40"/>
  <c r="S38" i="40"/>
  <c r="U25" i="37"/>
  <c r="AB25" i="37"/>
  <c r="AA23" i="36"/>
  <c r="S23" i="36"/>
  <c r="AB36" i="35"/>
  <c r="U36" i="35"/>
  <c r="S12" i="21"/>
  <c r="AA12" i="21"/>
  <c r="BA5" i="3"/>
  <c r="AB34" i="35"/>
  <c r="U34" i="35"/>
  <c r="S12" i="34"/>
  <c r="AA12" i="34"/>
  <c r="BL5"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AE6" i="1"/>
  <c r="F41" i="67"/>
  <c r="AE7" i="1"/>
  <c r="F41" i="85" s="1"/>
  <c r="J5" i="15" l="1"/>
  <c r="J24" i="15" s="1"/>
  <c r="C32" i="85"/>
  <c r="J5" i="85"/>
  <c r="J24" i="85" s="1"/>
  <c r="J18" i="85"/>
  <c r="AC6" i="3"/>
  <c r="E6" i="3" s="1"/>
  <c r="E40" i="86"/>
  <c r="G40" i="86"/>
  <c r="I40" i="86" s="1"/>
  <c r="E33" i="86"/>
  <c r="C34" i="86"/>
  <c r="E34" i="86" s="1"/>
  <c r="E39" i="86"/>
  <c r="G39" i="86"/>
  <c r="I39" i="86" s="1"/>
  <c r="E37" i="86"/>
  <c r="G37" i="86"/>
  <c r="I37" i="86" s="1"/>
  <c r="E38" i="86"/>
  <c r="G38" i="86"/>
  <c r="I38" i="86" s="1"/>
  <c r="Q36" i="86"/>
  <c r="O36" i="86"/>
  <c r="M36" i="86"/>
  <c r="L37" i="86"/>
  <c r="P36" i="86"/>
  <c r="N36" i="86"/>
  <c r="F69" i="85"/>
  <c r="J26" i="85"/>
  <c r="J29" i="85" s="1"/>
  <c r="L36" i="43"/>
  <c r="L37" i="43" s="1"/>
  <c r="F24" i="85"/>
  <c r="C53" i="85"/>
  <c r="C48" i="85" s="1"/>
  <c r="C10" i="85"/>
  <c r="C5" i="85" s="1"/>
  <c r="E65" i="39"/>
  <c r="T44" i="71"/>
  <c r="D44" i="71"/>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49" i="34" s="1"/>
  <c r="G54" i="34"/>
  <c r="H54" i="34" s="1"/>
  <c r="C31" i="86"/>
  <c r="C30" i="86"/>
  <c r="B2" i="86" s="1"/>
  <c r="B3" i="86" s="1"/>
  <c r="Q37" i="86"/>
  <c r="O37" i="86"/>
  <c r="M37" i="86"/>
  <c r="P37" i="86"/>
  <c r="N37" i="86"/>
  <c r="Q36" i="43"/>
  <c r="M36" i="43"/>
  <c r="P36" i="43"/>
  <c r="O36" i="43"/>
  <c r="N36" i="43"/>
  <c r="C38" i="85"/>
  <c r="C24" i="85"/>
  <c r="C66" i="85"/>
  <c r="C60" i="85"/>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7" i="85"/>
  <c r="C50" i="34" l="1"/>
  <c r="E7" i="70"/>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C14" i="85"/>
  <c r="E6" i="76"/>
  <c r="E2" i="70" l="1"/>
  <c r="C15" i="85"/>
  <c r="C18" i="85"/>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E2" i="76"/>
  <c r="B2" i="76"/>
  <c r="I69" i="39"/>
  <c r="J67" i="39"/>
  <c r="I63" i="40"/>
  <c r="H65" i="40"/>
  <c r="I58" i="21"/>
  <c r="J58" i="21" s="1"/>
  <c r="K58" i="21" s="1"/>
  <c r="L58" i="21" s="1"/>
  <c r="M58" i="21" s="1"/>
  <c r="N58" i="21" s="1"/>
  <c r="O58" i="21" s="1"/>
  <c r="H7" i="21" s="1"/>
  <c r="J48" i="35"/>
  <c r="C19" i="85" l="1"/>
  <c r="C20" i="85" s="1"/>
  <c r="C26" i="85" s="1"/>
  <c r="F26" i="43"/>
  <c r="J26" i="43"/>
  <c r="N94" i="46"/>
  <c r="H26" i="43"/>
  <c r="E26" i="43"/>
  <c r="N370" i="46"/>
  <c r="G26" i="43"/>
  <c r="Z7" i="43"/>
  <c r="B116" i="43"/>
  <c r="C5" i="68"/>
  <c r="C23" i="68" s="1"/>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3" i="85"/>
  <c r="C29" i="85"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C33" i="43" s="1"/>
  <c r="E33" i="43" s="1"/>
  <c r="C9" i="71"/>
  <c r="D10" i="7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67"/>
  <c r="M21" i="85"/>
  <c r="F35" i="85"/>
  <c r="F35" i="15"/>
  <c r="C118" i="43" l="1"/>
  <c r="D116" i="43"/>
  <c r="Q49" i="85"/>
  <c r="J14" i="85"/>
  <c r="J59" i="85"/>
  <c r="J60" i="85" s="1"/>
  <c r="C57" i="85"/>
  <c r="C64" i="85" s="1"/>
  <c r="C36" i="85"/>
  <c r="C13" i="85"/>
  <c r="F63" i="85"/>
  <c r="C62" i="85" s="1"/>
  <c r="C59" i="85" s="1"/>
  <c r="C34" i="85"/>
  <c r="C31" i="85" s="1"/>
  <c r="J20" i="85"/>
  <c r="J17" i="8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Q70" i="85" l="1"/>
  <c r="C56" i="85"/>
  <c r="C65" i="85" s="1"/>
  <c r="C58" i="85" s="1"/>
  <c r="C67" i="85" s="1"/>
  <c r="C68" i="85" s="1"/>
  <c r="C71" i="85" s="1"/>
  <c r="C75" i="85"/>
  <c r="C37" i="85"/>
  <c r="C30" i="85" s="1"/>
  <c r="C39" i="85" s="1"/>
  <c r="J22" i="85"/>
  <c r="J13" i="85"/>
  <c r="J23" i="85" s="1"/>
  <c r="L46" i="85"/>
  <c r="Q48" i="85"/>
  <c r="C102" i="9"/>
  <c r="C21" i="9"/>
  <c r="B3" i="68"/>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L51" i="85"/>
  <c r="J16" i="85" l="1"/>
  <c r="J25" i="85" s="1"/>
  <c r="C40" i="85"/>
  <c r="Q47" i="85" s="1"/>
  <c r="Q53" i="85" s="1"/>
  <c r="Q69" i="85"/>
  <c r="Q68" i="85" s="1"/>
  <c r="C80" i="85"/>
  <c r="C79" i="85" s="1"/>
  <c r="C103" i="9"/>
  <c r="Q67" i="85"/>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3" i="85" l="1"/>
  <c r="C83" i="85"/>
  <c r="C82" i="85" s="1"/>
  <c r="Q65" i="85"/>
  <c r="Q75" i="85" s="1"/>
  <c r="C46" i="85"/>
  <c r="B2" i="85"/>
  <c r="B3" i="85" s="1"/>
  <c r="Q56" i="85"/>
  <c r="Q62" i="85"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10" i="1"/>
  <c r="AO8"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H118" i="9"/>
  <c r="C104" i="9" s="1"/>
  <c r="F118" i="9"/>
  <c r="F119" i="9" s="1"/>
  <c r="F5" i="52" s="1"/>
  <c r="B53" i="72" s="1"/>
  <c r="D119" i="9" l="1"/>
  <c r="D5" i="52" s="1"/>
  <c r="B49" i="72" s="1"/>
  <c r="F4" i="52"/>
  <c r="B51" i="72" s="1"/>
  <c r="H119" i="9"/>
  <c r="H5" i="52" s="1"/>
  <c r="G118" i="9"/>
  <c r="G4" i="52" s="1"/>
  <c r="B52" i="72" s="1"/>
  <c r="H101" i="9"/>
  <c r="D14" i="74" s="1"/>
  <c r="B6" i="74" s="1"/>
  <c r="D6" i="74" s="1"/>
  <c r="I118" i="9"/>
  <c r="H4" i="52"/>
  <c r="F14" i="74" l="1"/>
  <c r="E14" i="74"/>
  <c r="B5" i="74"/>
  <c r="D5" i="74" s="1"/>
  <c r="D45" i="9"/>
  <c r="M48" i="9"/>
  <c r="D5" i="53"/>
  <c r="H107" i="9"/>
  <c r="I4" i="52"/>
  <c r="C105" i="9"/>
  <c r="H102" i="9"/>
  <c r="E118" i="9"/>
  <c r="E4" i="52" s="1"/>
  <c r="B48" i="72" s="1"/>
  <c r="C5" i="74" l="1"/>
  <c r="D7" i="53"/>
  <c r="B21" i="72" s="1"/>
  <c r="B20" i="72"/>
  <c r="D6" i="53"/>
  <c r="B22" i="72" s="1"/>
  <c r="D53" i="9"/>
  <c r="C78" i="9"/>
  <c r="C73" i="9" s="1"/>
  <c r="D52" i="9"/>
  <c r="D55" i="9"/>
  <c r="M53" i="9" s="1"/>
  <c r="C72" i="9"/>
  <c r="C64" i="9"/>
  <c r="C63" i="9" s="1"/>
  <c r="C67" i="9" s="1"/>
  <c r="C93" i="9"/>
  <c r="C86" i="9" s="1"/>
  <c r="C85" i="9"/>
  <c r="D13" i="53"/>
  <c r="H108" i="9"/>
  <c r="D122" i="9"/>
  <c r="C95" i="9" l="1"/>
  <c r="C96" i="9" s="1"/>
  <c r="E96" i="9" s="1"/>
  <c r="E97" i="9" s="1"/>
  <c r="C6" i="74"/>
  <c r="D15" i="53"/>
  <c r="B31" i="72" s="1"/>
  <c r="D59" i="9"/>
  <c r="M55" i="9" s="1"/>
  <c r="C68" i="9"/>
  <c r="D54" i="9" s="1"/>
  <c r="D123" i="9"/>
  <c r="D9" i="52" s="1"/>
  <c r="D8" i="52"/>
  <c r="B30" i="72"/>
  <c r="D14" i="53"/>
  <c r="B32" i="72" s="1"/>
  <c r="C79" i="9"/>
  <c r="C80" i="9" l="1"/>
  <c r="E80" i="9" s="1"/>
  <c r="E81" i="9" s="1"/>
  <c r="C97" i="9"/>
  <c r="D58" i="9" s="1"/>
  <c r="D56" i="9" s="1"/>
  <c r="M54" i="9" s="1"/>
  <c r="N57" i="9" s="1"/>
  <c r="C81" i="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<sst xmlns="http://schemas.openxmlformats.org/spreadsheetml/2006/main" count="8968" uniqueCount="3610">
  <si>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</si>
  <si>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</si>
  <si>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</si>
  <si>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</si>
  <si>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</si>
  <si>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</si>
  <si>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</si>
  <si>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</si>
  <si>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</si>
  <si>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</si>
  <si>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</si>
  <si>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</si>
  <si>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</si>
  <si>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</si>
  <si>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</si>
  <si>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</si>
  <si>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</si>
  <si>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</si>
  <si>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</si>
  <si>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</si>
  <si>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</si>
  <si>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</si>
  <si>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</si>
  <si>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</si>
  <si>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</si>
  <si>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</si>
  <si>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</si>
  <si>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</si>
  <si>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</si>
  <si>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</si>
  <si>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</si>
  <si>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</si>
  <si>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</si>
  <si>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</si>
  <si>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</si>
  <si>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</si>
  <si>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</si>
  <si>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</si>
  <si>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</si>
  <si>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</si>
  <si>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</si>
  <si>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</si>
  <si>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</si>
  <si>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</si>
  <si>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</si>
  <si>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</si>
  <si>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</si>
  <si>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</si>
  <si>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</si>
  <si>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</si>
  <si>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</si>
  <si>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</si>
  <si>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</si>
  <si>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</si>
  <si>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</si>
  <si>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</si>
  <si>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</si>
  <si>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</si>
  <si>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</si>
  <si>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</si>
  <si>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</si>
  <si>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</si>
  <si>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</si>
  <si>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</si>
  <si>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</si>
  <si>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</si>
  <si>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</si>
  <si>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</si>
  <si>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</si>
  <si>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</si>
  <si>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</si>
  <si>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</si>
  <si>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</si>
  <si>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</si>
  <si>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</si>
  <si>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</si>
  <si>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</si>
  <si>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</si>
  <si>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</si>
  <si>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</si>
  <si>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</si>
  <si>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</si>
  <si>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</si>
  <si>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</si>
  <si>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</si>
  <si>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</si>
  <si>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</si>
  <si>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</si>
  <si>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</si>
  <si>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</si>
  <si>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</si>
  <si>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</si>
  <si>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</si>
  <si>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</si>
  <si>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</si>
  <si>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</si>
  <si>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</si>
  <si>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</si>
  <si>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</si>
  <si>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</si>
  <si>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</si>
  <si>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</si>
  <si>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</si>
  <si>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</si>
  <si>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</si>
  <si>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</si>
  <si>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</si>
  <si>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</si>
  <si>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</si>
  <si>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</si>
  <si>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</si>
  <si>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</si>
  <si>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</si>
  <si>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</si>
  <si>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</si>
  <si>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</si>
  <si>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</si>
  <si>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</si>
  <si>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</si>
  <si>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</si>
  <si>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</si>
  <si>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</si>
  <si>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</si>
  <si>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</si>
  <si>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</si>
  <si>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</si>
  <si>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</si>
  <si>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</si>
  <si>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</si>
  <si>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</si>
  <si>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</si>
  <si>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</si>
  <si>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</si>
  <si>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</si>
  <si>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</si>
  <si>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</si>
  <si>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</si>
  <si>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</si>
  <si>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</si>
  <si>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</si>
  <si>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</si>
  <si>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</si>
  <si>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</si>
  <si>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</si>
  <si>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</si>
  <si>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</si>
  <si>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</si>
  <si>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</si>
  <si>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</si>
  <si>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</si>
  <si>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</si>
  <si>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</si>
  <si>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</si>
  <si>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</si>
  <si>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</si>
  <si>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</si>
  <si>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</si>
  <si>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</si>
  <si>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</si>
  <si>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</si>
  <si>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</si>
  <si>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</si>
  <si>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</si>
  <si>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</si>
  <si>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</si>
  <si>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</si>
  <si>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</si>
  <si>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</si>
  <si>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</si>
  <si>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</si>
  <si>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</si>
  <si>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</si>
  <si>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</si>
  <si>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</si>
  <si>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</si>
  <si>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</si>
  <si>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</si>
  <si>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</si>
  <si>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</si>
  <si>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</si>
  <si>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</si>
  <si>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</si>
  <si>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</si>
  <si>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</si>
  <si>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</si>
  <si>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</si>
  <si>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</si>
  <si>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</si>
  <si>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</si>
  <si>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</si>
  <si>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</si>
  <si>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</si>
  <si>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</si>
  <si>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</si>
  <si>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</si>
  <si>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</si>
  <si>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</si>
  <si>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</si>
  <si>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</si>
  <si>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</si>
  <si>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</si>
  <si>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</si>
  <si>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</si>
  <si>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</si>
  <si>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</si>
  <si>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</si>
  <si>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</si>
  <si>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</si>
  <si>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</si>
  <si>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</si>
  <si>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</si>
  <si>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</si>
  <si>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</si>
  <si>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</si>
  <si>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</si>
  <si>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</si>
  <si>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</si>
  <si>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</si>
  <si>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</si>
  <si>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</si>
  <si>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</si>
  <si>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</si>
  <si>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</si>
  <si>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</si>
  <si>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</si>
  <si>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</si>
  <si>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</si>
  <si>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</si>
  <si>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</si>
  <si>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</si>
  <si>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</si>
  <si>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</si>
  <si>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</si>
  <si>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</si>
  <si>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</si>
  <si>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</si>
  <si>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</si>
  <si>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</si>
  <si>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</si>
  <si>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</si>
  <si>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</si>
  <si>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</si>
  <si>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</si>
  <si>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</si>
  <si>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</si>
  <si>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</si>
  <si>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</si>
  <si>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</si>
  <si>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</si>
  <si>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</si>
  <si>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</si>
  <si>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</si>
  <si>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</si>
  <si>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</si>
  <si>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</si>
  <si>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</si>
  <si>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</si>
  <si>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</si>
  <si>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</si>
  <si>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</si>
  <si>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</si>
  <si>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</si>
  <si>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</si>
  <si>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</si>
  <si>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</si>
  <si>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</si>
  <si>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</si>
  <si>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</si>
  <si>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</si>
  <si>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</si>
  <si>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</si>
  <si>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</si>
  <si>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</si>
  <si>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</si>
  <si>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</si>
  <si>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</si>
  <si>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</si>
  <si>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</si>
  <si>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</si>
  <si>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</si>
  <si>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</si>
  <si>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</si>
  <si>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</si>
  <si>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</si>
  <si>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</si>
  <si>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</si>
  <si>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</si>
  <si>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</si>
  <si>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</si>
  <si>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</si>
  <si>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</si>
  <si>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</si>
  <si>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</si>
  <si>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</si>
  <si>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</si>
  <si>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</si>
  <si>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</si>
  <si>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</si>
  <si>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</si>
  <si>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</si>
  <si>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</si>
  <si>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</si>
  <si>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</si>
  <si>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</si>
  <si>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</si>
  <si>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</si>
  <si>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</si>
  <si>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</si>
  <si>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</si>
  <si>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</si>
  <si>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</si>
  <si>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</si>
  <si>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</si>
  <si>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</si>
  <si>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</si>
  <si>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</si>
  <si>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</si>
  <si>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</si>
  <si>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</si>
  <si>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</si>
  <si>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</si>
  <si>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</si>
  <si>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</si>
  <si>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</si>
  <si>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</si>
  <si>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</si>
  <si>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</si>
  <si>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</si>
  <si>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</si>
  <si>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</si>
  <si>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</si>
  <si>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</si>
  <si>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</si>
  <si>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</si>
  <si>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</si>
  <si>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</si>
  <si>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</si>
  <si>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</si>
  <si>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</si>
  <si>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</si>
  <si>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</si>
  <si>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</si>
  <si>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</si>
  <si>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</si>
  <si>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</si>
  <si>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</si>
  <si>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</si>
  <si>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</si>
  <si>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</si>
  <si>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</si>
  <si>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</si>
  <si>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</si>
  <si>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</si>
  <si>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</si>
  <si>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</si>
  <si>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</si>
  <si>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</si>
  <si>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</si>
  <si>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</si>
  <si>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</si>
  <si>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</si>
  <si>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</si>
  <si>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</si>
  <si>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</si>
  <si>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</si>
  <si>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</si>
  <si>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</si>
  <si>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</si>
  <si>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</si>
  <si>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</si>
  <si>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</si>
  <si>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</si>
  <si>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</si>
  <si>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</si>
  <si>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</si>
  <si>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</si>
  <si>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</si>
  <si>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</si>
  <si>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</si>
  <si>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</si>
  <si>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</si>
  <si>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</si>
  <si>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</si>
  <si>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</si>
  <si>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</si>
  <si>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</si>
  <si>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</si>
  <si>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</si>
  <si>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</si>
  <si>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</si>
  <si>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</si>
  <si>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</si>
  <si>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</si>
  <si>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</si>
  <si>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</si>
  <si>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</si>
  <si>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</si>
  <si>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</si>
  <si>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</si>
  <si>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</si>
  <si>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</si>
  <si>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</si>
  <si>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</si>
  <si>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</si>
  <si>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</si>
  <si>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</si>
  <si>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</si>
  <si>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</si>
  <si>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</si>
  <si>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</si>
  <si>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</si>
  <si>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</si>
  <si>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</si>
  <si>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</si>
  <si>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</si>
  <si>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</si>
  <si>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</si>
  <si>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</si>
  <si>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</si>
  <si>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</si>
  <si>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</si>
  <si>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</si>
  <si>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</si>
  <si>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</si>
  <si>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</si>
  <si>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</si>
  <si>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</si>
  <si>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</si>
  <si>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</si>
  <si>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</si>
  <si>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</si>
  <si>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</si>
  <si>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</si>
  <si>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</si>
  <si>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</si>
  <si>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</si>
  <si>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</si>
  <si>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</si>
  <si>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</si>
  <si>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</si>
  <si>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</si>
  <si>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</si>
  <si>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</si>
  <si>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</si>
  <si>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</si>
  <si>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</si>
  <si>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</si>
  <si>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</si>
  <si>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</si>
  <si>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</si>
  <si>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</si>
  <si>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</si>
  <si>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</si>
  <si>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</si>
  <si>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</si>
  <si>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</si>
  <si>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</si>
  <si>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</si>
  <si>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</si>
  <si>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</si>
  <si>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</si>
  <si>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</si>
  <si>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</si>
  <si>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</si>
  <si>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</si>
  <si>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</si>
  <si>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</si>
  <si>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</si>
  <si>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</si>
  <si>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</si>
  <si>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</si>
  <si>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</si>
  <si>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</si>
  <si>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</si>
  <si>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</si>
  <si>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</si>
  <si>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</si>
  <si>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</si>
  <si>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</si>
  <si>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</si>
  <si>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</si>
  <si>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</si>
  <si>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</si>
  <si>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</si>
  <si>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</si>
  <si>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</si>
  <si>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</si>
  <si>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</si>
  <si>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</si>
  <si>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</si>
  <si>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</si>
  <si>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</si>
  <si>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</si>
  <si>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</si>
  <si>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</si>
  <si>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</si>
  <si>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</si>
  <si>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</si>
  <si>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</si>
  <si>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</si>
  <si>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</si>
  <si>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</si>
  <si>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</si>
  <si>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</si>
  <si>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</si>
  <si>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</si>
  <si>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</si>
  <si>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</si>
  <si>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</si>
  <si>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</si>
  <si>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</si>
  <si>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</si>
  <si>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</si>
  <si>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</si>
  <si>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</si>
  <si>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</si>
  <si>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</si>
  <si>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</si>
  <si>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</si>
  <si>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</si>
  <si>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</si>
  <si>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</si>
  <si>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</si>
  <si>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</si>
  <si>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</si>
  <si>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</si>
  <si>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</si>
  <si>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</si>
  <si>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</si>
  <si>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</si>
  <si>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</si>
  <si>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</si>
  <si>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</si>
  <si>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</si>
  <si>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</si>
  <si>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</si>
  <si>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</si>
  <si>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</si>
  <si>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</si>
  <si>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</si>
  <si>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</si>
  <si>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</si>
  <si>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</si>
  <si>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</si>
  <si>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</si>
  <si>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</si>
  <si>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</si>
  <si>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</si>
  <si>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</si>
  <si>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</si>
  <si>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</si>
  <si>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</si>
  <si>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</si>
  <si>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</si>
  <si>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</si>
  <si>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</si>
  <si>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</si>
  <si>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</si>
  <si>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</si>
  <si>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</si>
  <si>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</si>
  <si>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</si>
  <si>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</si>
  <si>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</si>
  <si>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</si>
  <si>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</si>
  <si>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</si>
  <si>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</si>
  <si>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</si>
  <si>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</si>
  <si>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</si>
  <si>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</si>
  <si>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</si>
  <si>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</si>
  <si>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</si>
  <si>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</si>
  <si>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</si>
  <si>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</si>
  <si>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</si>
  <si>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</si>
  <si>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</si>
  <si>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</si>
  <si>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</si>
  <si>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</si>
  <si>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</si>
  <si>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</si>
  <si>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</si>
  <si>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</si>
  <si>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</si>
  <si>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</si>
  <si>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</si>
  <si>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</si>
  <si>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</si>
  <si>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</si>
  <si>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</si>
  <si>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</si>
  <si>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</si>
  <si>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</si>
  <si>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</si>
  <si>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</si>
  <si>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</si>
  <si>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</si>
  <si>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</si>
  <si>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</si>
  <si>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</si>
  <si>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</si>
  <si>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</si>
  <si>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</si>
  <si>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</si>
  <si>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</si>
  <si>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</si>
  <si>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</si>
  <si>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</si>
  <si>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</si>
  <si>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</si>
  <si>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</si>
  <si>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</si>
  <si>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</si>
  <si>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</si>
  <si>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</si>
  <si>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</si>
  <si>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</si>
  <si>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</si>
  <si>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</si>
  <si>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</si>
  <si>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</si>
  <si>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</si>
  <si>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</si>
  <si>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</si>
  <si>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</si>
  <si>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</si>
  <si>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</si>
  <si>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</si>
  <si>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</si>
  <si>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</si>
  <si>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</si>
  <si>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</si>
  <si>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</si>
  <si>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</si>
  <si>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</si>
  <si>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</si>
  <si>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</si>
  <si>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</si>
  <si>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</si>
  <si>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</si>
  <si>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</si>
  <si>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</si>
  <si>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</si>
  <si>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</si>
  <si>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</si>
  <si>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</si>
  <si>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</si>
  <si>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</si>
  <si>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</si>
  <si>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</si>
  <si>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</si>
  <si>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</si>
  <si>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</si>
  <si>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</si>
  <si>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</si>
  <si>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</si>
  <si>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</si>
  <si>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</si>
  <si>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</si>
  <si>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</si>
  <si>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</si>
  <si>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</si>
  <si>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</si>
  <si>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</si>
  <si>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</si>
  <si>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</si>
  <si>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</si>
  <si>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</si>
  <si>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</si>
  <si>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</si>
  <si>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</si>
  <si>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</si>
  <si>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</si>
  <si>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</si>
  <si>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</si>
  <si>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</si>
  <si>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</si>
  <si>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</si>
  <si>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</si>
  <si>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</si>
  <si>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</si>
  <si>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</si>
  <si>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</si>
  <si>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</si>
  <si>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</si>
  <si>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</si>
  <si>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</si>
  <si>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</si>
  <si>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</si>
  <si>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</si>
  <si>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</si>
  <si>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</si>
  <si>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</si>
  <si>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</si>
  <si>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</si>
  <si>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</si>
  <si>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</si>
  <si>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</si>
  <si>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</si>
  <si>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</si>
  <si>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</si>
  <si>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</si>
  <si>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</si>
  <si>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</si>
  <si>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</si>
  <si>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</si>
  <si>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</si>
  <si>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</si>
  <si>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</si>
  <si>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</si>
  <si>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</si>
  <si>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</si>
  <si>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</si>
  <si>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</si>
  <si>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</si>
  <si>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</si>
  <si>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</si>
  <si>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</si>
  <si>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</si>
  <si>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</si>
  <si>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</si>
  <si>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</si>
  <si>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</si>
  <si>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</si>
  <si>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</si>
  <si>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</si>
  <si>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</si>
  <si>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</si>
  <si>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</si>
  <si>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</si>
  <si>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</si>
  <si>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</si>
  <si>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</si>
  <si>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</si>
  <si>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</si>
  <si>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</si>
  <si>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</si>
  <si>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</si>
  <si>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</si>
  <si>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</si>
  <si>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</si>
  <si>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</si>
  <si>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</si>
  <si>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</si>
  <si>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</si>
  <si>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</si>
  <si>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</si>
  <si>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</si>
  <si>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</si>
  <si>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</si>
  <si>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</si>
  <si>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</si>
  <si>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</si>
  <si>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</si>
  <si>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</si>
  <si>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</si>
  <si>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</si>
  <si>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</si>
  <si>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</si>
  <si>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</si>
  <si>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</si>
  <si>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</si>
  <si>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</si>
  <si>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</si>
  <si>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</si>
  <si>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</si>
  <si>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</si>
  <si>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</si>
  <si>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</si>
  <si>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</si>
  <si>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</si>
  <si>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</si>
  <si>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</si>
  <si>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</si>
  <si>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</si>
  <si>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</si>
  <si>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</si>
  <si>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</si>
  <si>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</si>
  <si>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</si>
  <si>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</si>
  <si>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</si>
  <si>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</si>
  <si>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</si>
  <si>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</si>
  <si>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</si>
  <si>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</si>
  <si>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</si>
  <si>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</si>
  <si>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</si>
  <si>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</si>
  <si>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</si>
  <si>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</si>
  <si>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</si>
  <si>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</si>
  <si>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</si>
  <si>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</si>
  <si>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</si>
  <si>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</si>
  <si>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</si>
  <si>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</si>
  <si>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</si>
  <si>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</si>
  <si>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</si>
  <si>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</si>
  <si>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</si>
  <si>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</si>
  <si>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</si>
  <si>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</si>
  <si>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</si>
  <si>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</si>
  <si>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</si>
  <si>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</si>
  <si>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</si>
  <si>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</si>
  <si>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</si>
  <si>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</si>
  <si>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</si>
  <si>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</si>
  <si>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</si>
  <si>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</si>
  <si>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</si>
  <si>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</si>
  <si>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</si>
  <si>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</si>
  <si>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</si>
  <si>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</si>
  <si>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</si>
  <si>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</si>
  <si>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</si>
  <si>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</si>
  <si>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</si>
  <si>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</si>
  <si>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</si>
  <si>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</si>
  <si>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</si>
  <si>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</si>
  <si>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</si>
  <si>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</si>
  <si>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</si>
  <si>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</si>
  <si>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</si>
  <si>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</si>
  <si>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</si>
  <si>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</si>
  <si>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</si>
  <si>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</si>
  <si>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</si>
  <si>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</si>
  <si>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</si>
  <si>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</si>
  <si>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</si>
  <si>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</si>
  <si>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</si>
  <si>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</si>
  <si>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</si>
  <si>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</si>
  <si>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</si>
  <si>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</si>
  <si>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</si>
  <si>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</si>
  <si>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</si>
  <si>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</si>
  <si>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</si>
  <si>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</si>
  <si>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</si>
  <si>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</si>
  <si>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</si>
  <si>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</si>
  <si>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</si>
  <si>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</si>
  <si>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</si>
  <si>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</si>
  <si>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</si>
  <si>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</si>
  <si>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</si>
  <si>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</si>
  <si>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</si>
  <si>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</si>
  <si>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</si>
  <si>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</si>
  <si>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</si>
  <si>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</si>
  <si>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</si>
  <si>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</si>
  <si>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</si>
  <si>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</si>
  <si>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</si>
  <si>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</si>
  <si>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</si>
  <si>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</si>
  <si>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</si>
  <si>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</si>
  <si>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</si>
  <si>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</si>
  <si>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</si>
  <si>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</si>
  <si>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</si>
  <si>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</si>
  <si>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</si>
  <si>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</si>
  <si>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</si>
  <si>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</si>
  <si>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</si>
  <si>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</si>
  <si>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</si>
  <si>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</si>
  <si>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</si>
  <si>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</si>
  <si>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</si>
  <si>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</si>
  <si>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</si>
  <si>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</si>
  <si>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</si>
  <si>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</si>
  <si>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</si>
  <si>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</si>
  <si>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</si>
  <si>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</si>
  <si>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</si>
  <si>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</si>
  <si>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</si>
  <si>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</si>
  <si>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</si>
  <si>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</si>
  <si>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</si>
  <si>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</si>
  <si>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</si>
  <si>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</si>
  <si>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</si>
  <si>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</si>
  <si>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</si>
  <si>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</si>
  <si>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</si>
  <si>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</si>
  <si>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</si>
  <si>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</si>
  <si>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</si>
  <si>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</si>
  <si>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</si>
  <si>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</si>
  <si>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</si>
  <si>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</si>
  <si>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</si>
  <si>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</si>
  <si>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</si>
  <si>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</si>
  <si>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</si>
  <si>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</si>
  <si>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</si>
  <si>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</si>
  <si>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</si>
  <si>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</si>
  <si>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</si>
  <si>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</si>
  <si>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</si>
  <si>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</si>
  <si>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</si>
  <si>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</si>
  <si>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</si>
  <si>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</si>
  <si>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</si>
  <si>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</si>
  <si>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</si>
  <si>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</si>
  <si>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</si>
  <si>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</si>
  <si>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</si>
  <si>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</si>
  <si>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</si>
  <si>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</si>
  <si>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</si>
  <si>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</si>
  <si>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</si>
  <si>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</si>
  <si>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</si>
  <si>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</si>
  <si>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</si>
  <si>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</si>
  <si>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</si>
  <si>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</si>
  <si>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</si>
  <si>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</si>
  <si>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</si>
  <si>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</si>
  <si>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</si>
  <si>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</si>
  <si>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</si>
  <si>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</si>
  <si>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</si>
  <si>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</si>
  <si>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</si>
  <si>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</si>
  <si>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</si>
  <si>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</si>
  <si>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</si>
  <si>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</si>
  <si>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</si>
  <si>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</si>
  <si>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</si>
  <si>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</si>
  <si>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</si>
  <si>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</si>
  <si>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</si>
  <si>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</si>
  <si>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</si>
  <si>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</si>
  <si>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</si>
  <si>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</si>
  <si>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</si>
  <si>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</si>
  <si>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</si>
  <si>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</si>
  <si>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</si>
  <si>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</si>
  <si>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</si>
  <si>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</si>
  <si>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</si>
  <si>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</si>
  <si>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</si>
  <si>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</si>
  <si>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</si>
  <si>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</si>
  <si>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</si>
  <si>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</si>
  <si>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</si>
  <si>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</si>
  <si>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</si>
  <si>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</si>
  <si>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</si>
  <si>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</si>
  <si>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</si>
  <si>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</si>
  <si>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</si>
  <si>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</si>
  <si>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</si>
  <si>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</si>
  <si>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</si>
  <si>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</si>
  <si>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</si>
  <si>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</si>
  <si>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</si>
  <si>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</si>
  <si>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</si>
  <si>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</si>
  <si>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</si>
  <si>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</si>
  <si>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</si>
  <si>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</si>
  <si>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</si>
  <si>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</si>
  <si>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</si>
  <si>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</si>
  <si>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</si>
  <si>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</si>
  <si>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</si>
  <si>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</si>
  <si>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</si>
  <si>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</si>
  <si>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</si>
  <si>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</si>
  <si>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</si>
  <si>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</si>
  <si>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</si>
  <si>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</si>
  <si>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</si>
  <si>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</si>
  <si>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</si>
  <si>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</si>
  <si>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</si>
  <si>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</si>
  <si>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</si>
  <si>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</si>
  <si>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</si>
  <si>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</si>
  <si>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</si>
  <si>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</si>
  <si>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</si>
  <si>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</si>
  <si>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</si>
  <si>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</si>
  <si>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</si>
  <si>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</si>
  <si>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</si>
  <si>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</si>
  <si>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</si>
  <si>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</si>
  <si>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</si>
  <si>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</si>
  <si>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</si>
  <si>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</si>
  <si>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</si>
  <si>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</si>
  <si>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</si>
  <si>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</si>
  <si>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</si>
  <si>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</si>
  <si>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</si>
  <si>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</si>
  <si>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</si>
  <si>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</si>
  <si>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</si>
  <si>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</si>
  <si>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</si>
  <si>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</si>
  <si>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</si>
  <si>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</si>
  <si>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</si>
  <si>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</si>
  <si>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</si>
  <si>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</si>
  <si>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</si>
  <si>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</si>
  <si>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</si>
  <si>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</si>
  <si>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</si>
  <si>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</si>
  <si>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</si>
  <si>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</si>
  <si>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</si>
  <si>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</si>
  <si>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</si>
  <si>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</si>
  <si>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</si>
  <si>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</si>
  <si>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</si>
  <si>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</si>
  <si>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</si>
  <si>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</si>
  <si>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</si>
  <si>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</si>
  <si>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</si>
  <si>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</si>
  <si>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</si>
  <si>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</si>
  <si>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</si>
  <si>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</si>
  <si>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</si>
  <si>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</si>
  <si>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</si>
  <si>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</si>
  <si>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</si>
  <si>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</si>
  <si>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</si>
  <si>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</si>
  <si>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</si>
  <si>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</si>
  <si>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</si>
  <si>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</si>
  <si>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</si>
  <si>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</si>
  <si>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</si>
  <si>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</si>
  <si>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</si>
  <si>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</si>
  <si>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</si>
  <si>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</si>
  <si>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</si>
  <si>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</si>
  <si>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</si>
  <si>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</si>
  <si>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</si>
  <si>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</si>
  <si>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</si>
  <si>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</si>
  <si>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</si>
  <si>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</si>
  <si>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</si>
  <si>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</si>
  <si>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</si>
  <si>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</si>
  <si>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</si>
  <si>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</si>
  <si>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</si>
  <si>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</si>
  <si>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</si>
  <si>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</si>
  <si>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</si>
  <si>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</si>
  <si>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</si>
  <si>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</si>
  <si>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</si>
  <si>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</si>
  <si>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</si>
  <si>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</si>
  <si>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</si>
  <si>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</si>
  <si>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</si>
  <si>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</si>
  <si>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</si>
  <si>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</si>
  <si>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</si>
  <si>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</si>
  <si>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</si>
  <si>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</si>
  <si>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</si>
  <si>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</si>
  <si>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</si>
  <si>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</si>
  <si>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</si>
  <si>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</si>
  <si>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</si>
  <si>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</si>
  <si>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</si>
  <si>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</si>
  <si>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</si>
  <si>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</si>
  <si>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</si>
  <si>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</si>
  <si>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</si>
  <si>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</si>
  <si>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</si>
  <si>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</si>
  <si>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</si>
  <si>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</si>
  <si>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</si>
  <si>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</si>
  <si>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</si>
  <si>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</si>
  <si>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</si>
  <si>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</si>
  <si>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</si>
  <si>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</si>
  <si>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</si>
  <si>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</si>
  <si>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</si>
  <si>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</si>
  <si>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</si>
  <si>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</si>
  <si>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</si>
  <si>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</si>
  <si>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</si>
  <si>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</si>
  <si>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</si>
  <si>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</si>
  <si>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</si>
  <si>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</si>
  <si>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</si>
  <si>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</si>
  <si>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</si>
  <si>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</si>
  <si>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</si>
  <si>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</si>
  <si>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</si>
  <si>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</si>
  <si>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</si>
  <si>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</si>
  <si>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</si>
  <si>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</si>
  <si>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</si>
  <si>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</si>
  <si>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</si>
  <si>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</si>
  <si>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</si>
  <si>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</si>
  <si>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</si>
  <si>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</si>
  <si>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</si>
  <si>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</si>
  <si>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</si>
  <si>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</si>
  <si>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</si>
  <si>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</si>
  <si>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</si>
  <si>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</si>
  <si>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</si>
  <si>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</si>
  <si>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</si>
  <si>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</si>
  <si>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</si>
  <si>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</si>
  <si>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</si>
  <si>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</si>
  <si>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</si>
  <si>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</si>
  <si>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</si>
  <si>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</si>
  <si>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</si>
  <si>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</si>
  <si>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</si>
  <si>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</si>
  <si>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</si>
  <si>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</si>
  <si>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</si>
  <si>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</si>
  <si>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</si>
  <si>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</si>
  <si>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</si>
  <si>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</si>
  <si>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</si>
  <si>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</si>
  <si>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</si>
  <si>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</si>
  <si>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</si>
  <si>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</si>
  <si>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</si>
  <si>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</si>
  <si>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</si>
  <si>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</si>
  <si>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</si>
  <si>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</si>
  <si>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</si>
  <si>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</si>
  <si>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</si>
  <si>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</si>
  <si>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</si>
  <si>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</si>
  <si>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</si>
  <si>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</si>
  <si>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</si>
  <si>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</si>
  <si>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</si>
  <si>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</si>
  <si>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</si>
  <si>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</si>
  <si>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</si>
  <si>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</si>
  <si>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</si>
  <si>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</si>
  <si>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</si>
  <si>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</si>
  <si>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</si>
  <si>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</si>
  <si>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</si>
  <si>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</si>
  <si>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</si>
  <si>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</si>
  <si>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</si>
  <si>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</si>
  <si>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</si>
  <si>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</si>
  <si>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</si>
  <si>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</si>
  <si>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</si>
  <si>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</si>
  <si>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</si>
  <si>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</si>
  <si>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</si>
  <si>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</si>
  <si>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</si>
  <si>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</si>
  <si>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</si>
  <si>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</si>
  <si>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</si>
  <si>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</si>
  <si>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</si>
  <si>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</si>
  <si>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</si>
  <si>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</si>
  <si>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</si>
  <si>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</si>
  <si>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</si>
  <si>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</si>
  <si>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</si>
  <si>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</si>
  <si>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</si>
  <si>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</si>
  <si>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</si>
  <si>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</si>
  <si>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</si>
  <si>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</si>
  <si>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</si>
  <si>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</si>
  <si>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</si>
  <si>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</si>
  <si>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</si>
  <si>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</si>
  <si>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</si>
  <si>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</si>
  <si>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</si>
  <si>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</si>
  <si>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</si>
  <si>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</si>
  <si>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</si>
  <si>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</si>
  <si>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</si>
  <si>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</si>
  <si>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</si>
  <si>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</si>
  <si>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</si>
  <si>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</si>
  <si>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</si>
  <si>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</si>
  <si>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</si>
  <si>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</si>
  <si>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</si>
  <si>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</si>
  <si>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</si>
  <si>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</si>
  <si>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</si>
  <si>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</si>
  <si>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</si>
  <si>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</si>
  <si>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</si>
  <si>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</si>
  <si>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</si>
  <si>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</si>
  <si>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</si>
  <si>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</si>
  <si>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</si>
  <si>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</si>
  <si>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</si>
  <si>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</si>
  <si>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</si>
  <si>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</si>
  <si>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</si>
  <si>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</si>
  <si>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</si>
  <si>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</si>
  <si>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</si>
  <si>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</si>
  <si>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</si>
  <si>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</si>
  <si>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</si>
  <si>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</si>
  <si>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</si>
  <si>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</si>
  <si>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</si>
  <si>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</si>
  <si>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</si>
  <si>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</si>
  <si>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</si>
  <si>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</si>
  <si>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</si>
  <si>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</si>
  <si>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</si>
  <si>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</si>
  <si>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</si>
  <si>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</si>
  <si>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</si>
  <si>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</si>
  <si>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</si>
  <si>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</si>
  <si>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</si>
  <si>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</si>
  <si>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</si>
  <si>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</si>
  <si>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</si>
  <si>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</si>
  <si>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</si>
  <si>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</si>
  <si>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</si>
  <si>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</si>
  <si>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</si>
  <si>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</si>
  <si>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</si>
  <si>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</si>
  <si>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</si>
  <si>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</si>
  <si>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</si>
  <si>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</si>
  <si>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</si>
  <si>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</si>
  <si>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</si>
  <si>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</si>
  <si>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</si>
  <si>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</si>
  <si>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</si>
  <si>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</si>
  <si>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</si>
  <si>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</si>
  <si>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</si>
  <si>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</si>
  <si>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</si>
  <si>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</si>
  <si>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</si>
  <si>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</si>
  <si>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</si>
  <si>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</si>
  <si>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</si>
  <si>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</si>
  <si>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</si>
  <si>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</si>
  <si>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</si>
  <si>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</si>
  <si>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</si>
  <si>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</si>
  <si>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</si>
  <si>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</si>
  <si>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</si>
  <si>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</si>
  <si>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</si>
  <si>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</si>
  <si>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</si>
  <si>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</si>
  <si>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</si>
  <si>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</si>
  <si>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</si>
  <si>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</si>
  <si>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</si>
  <si>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</si>
  <si>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</si>
  <si>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</si>
  <si>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</si>
  <si>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</si>
  <si>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</si>
  <si>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</si>
  <si>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</si>
  <si>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</si>
  <si>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</si>
  <si>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</si>
  <si>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</si>
  <si>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</si>
  <si>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</si>
  <si>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</si>
  <si>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</si>
  <si>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</si>
  <si>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</si>
  <si>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</si>
  <si>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</si>
  <si>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</si>
  <si>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</si>
  <si>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</si>
  <si>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</si>
  <si>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</si>
  <si>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</si>
  <si>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</si>
  <si>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</si>
  <si>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</si>
  <si>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</si>
  <si>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</si>
  <si>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</si>
  <si>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</si>
  <si>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</si>
  <si>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</si>
  <si>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</si>
  <si>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</si>
  <si>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</si>
  <si>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</si>
  <si>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</si>
  <si>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</si>
  <si>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</si>
  <si>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</si>
  <si>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</si>
  <si>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</si>
  <si>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</si>
  <si>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</si>
  <si>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</si>
  <si>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</si>
  <si>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</si>
  <si>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</si>
  <si>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</si>
  <si>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</si>
  <si>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</si>
  <si>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</si>
  <si>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</si>
  <si>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</si>
  <si>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</si>
  <si>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</si>
  <si>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</si>
  <si>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</si>
  <si>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</si>
  <si>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</si>
  <si>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</si>
  <si>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</si>
  <si>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</si>
  <si>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</si>
  <si>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</si>
  <si>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</si>
  <si>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</si>
  <si>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</si>
  <si>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</si>
  <si>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</si>
  <si>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</si>
  <si>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</si>
  <si>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</si>
  <si>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</si>
  <si>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</si>
  <si>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</si>
  <si>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</si>
  <si>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</si>
  <si>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</si>
  <si>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</si>
  <si>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</si>
  <si>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</si>
  <si>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</si>
  <si>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</si>
  <si>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</si>
  <si>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</si>
  <si>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</si>
  <si>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</si>
  <si>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</si>
  <si>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</si>
  <si>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</si>
  <si>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</si>
  <si>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</si>
  <si>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</si>
  <si>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</si>
  <si>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</si>
  <si>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</si>
  <si>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</si>
  <si>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</si>
  <si>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</si>
  <si>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</si>
  <si>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</si>
  <si>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</si>
  <si>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</si>
  <si>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</si>
  <si>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</si>
  <si>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</si>
  <si>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</si>
  <si>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</si>
  <si>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</si>
  <si>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</si>
  <si>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</si>
  <si>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</si>
  <si>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</si>
  <si>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</si>
  <si>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</si>
  <si>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</si>
  <si>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</si>
  <si>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</si>
  <si>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</si>
  <si>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</si>
  <si>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</si>
  <si>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</si>
  <si>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</si>
  <si>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</si>
  <si>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</si>
  <si>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</si>
  <si>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</si>
  <si>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</si>
  <si>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</si>
  <si>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</si>
  <si>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</si>
  <si>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</si>
  <si>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</si>
  <si>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</si>
  <si>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</si>
  <si>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</si>
  <si>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</si>
  <si>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</si>
  <si>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</si>
  <si>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</si>
  <si>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</si>
  <si>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</si>
  <si>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</si>
  <si>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</si>
  <si>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</si>
  <si>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</si>
  <si>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</si>
  <si>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</si>
  <si>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</si>
  <si>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</si>
  <si>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</si>
  <si>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</si>
  <si>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</si>
  <si>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</si>
  <si>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</si>
  <si>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</si>
  <si>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</si>
  <si>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</si>
  <si>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</si>
  <si>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</si>
  <si>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</si>
  <si>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</si>
  <si>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</si>
  <si>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</si>
  <si>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</si>
  <si>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</si>
  <si>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</si>
  <si>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</si>
  <si>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</si>
  <si>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</si>
  <si>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</si>
  <si>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</si>
  <si>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</si>
  <si>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</si>
  <si>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</si>
  <si>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</si>
  <si>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</si>
  <si>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</si>
  <si>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</si>
  <si>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</si>
  <si>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</si>
  <si>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</si>
  <si>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</si>
  <si>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</si>
  <si>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</si>
  <si>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</si>
  <si>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</si>
  <si>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</si>
  <si>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</si>
  <si>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</si>
  <si>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</si>
  <si>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</si>
  <si>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</si>
  <si>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</si>
  <si>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</si>
  <si>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</si>
  <si>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</si>
  <si>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</si>
  <si>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</si>
  <si>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</si>
  <si>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</si>
  <si>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</si>
  <si>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</si>
  <si>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</si>
  <si>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</si>
  <si>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</si>
  <si>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</si>
  <si>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</si>
  <si>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</si>
  <si>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</si>
  <si>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</si>
  <si>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</si>
  <si>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</si>
  <si>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</si>
  <si>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</si>
  <si>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</si>
  <si>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</si>
  <si>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</si>
  <si>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</si>
  <si>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</si>
  <si>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</si>
  <si>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</si>
  <si>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</si>
  <si>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</si>
  <si>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</si>
  <si>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</si>
  <si>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</si>
  <si>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</si>
  <si>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</si>
  <si>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</si>
  <si>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</si>
  <si>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</si>
  <si>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</si>
  <si>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</si>
  <si>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</si>
  <si>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</si>
  <si>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</si>
  <si>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</si>
  <si>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</si>
  <si>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</si>
  <si>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</si>
  <si>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</si>
  <si>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</si>
  <si>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</si>
  <si>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</si>
  <si>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</si>
  <si>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</si>
  <si>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</si>
  <si>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</si>
  <si>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</si>
  <si>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</si>
  <si>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</si>
  <si>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</si>
  <si>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</si>
  <si>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</si>
  <si>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</si>
  <si>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</si>
  <si>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</si>
  <si>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</si>
  <si>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</si>
  <si>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</si>
  <si>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</si>
  <si>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</si>
  <si>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</si>
  <si>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</si>
  <si>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</si>
  <si>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</si>
  <si>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</si>
  <si>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</si>
  <si>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</si>
  <si>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</si>
  <si>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</si>
  <si>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</si>
  <si>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</si>
  <si>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</si>
  <si>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</si>
  <si>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</si>
  <si>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</si>
  <si>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</si>
  <si>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</si>
  <si>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</si>
  <si>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</si>
  <si>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</si>
  <si>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</si>
  <si>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</si>
  <si>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</si>
  <si>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</si>
  <si>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</si>
  <si>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</si>
  <si>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</si>
  <si>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</si>
  <si>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</si>
  <si>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</si>
  <si>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</si>
  <si>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</si>
  <si>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</si>
  <si>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</si>
  <si>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</si>
  <si>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</si>
  <si>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</si>
  <si>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</si>
  <si>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</si>
  <si>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</si>
  <si>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</si>
  <si>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</si>
  <si>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</si>
  <si>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</si>
  <si>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</si>
  <si>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</si>
  <si>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</si>
  <si>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</si>
  <si>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</si>
  <si>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</si>
  <si>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</si>
  <si>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</si>
  <si>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</si>
  <si>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</si>
  <si>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</si>
  <si>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</si>
  <si>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</si>
  <si>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</si>
  <si>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</si>
  <si>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</si>
  <si>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</si>
  <si>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</si>
  <si>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</si>
  <si>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</si>
  <si>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</si>
  <si>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</si>
  <si>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</si>
  <si>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</si>
  <si>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</si>
  <si>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</si>
  <si>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</si>
  <si>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</si>
  <si>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</si>
  <si>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</si>
  <si>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</si>
  <si>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</si>
  <si>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</si>
  <si>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</si>
  <si>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</si>
  <si>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</si>
  <si>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</si>
  <si>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</si>
  <si>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</si>
  <si>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</si>
  <si>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</si>
  <si>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</si>
  <si>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</si>
  <si>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</si>
  <si>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</si>
  <si>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</si>
  <si>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</si>
  <si>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</si>
  <si>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</si>
  <si>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</si>
  <si>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</si>
  <si>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</si>
  <si>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</si>
  <si>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</si>
  <si>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</si>
  <si>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</si>
  <si>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</si>
  <si>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</si>
  <si>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</si>
  <si>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</si>
  <si>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</si>
  <si>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</si>
  <si>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</si>
  <si>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</si>
  <si>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</si>
  <si>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</si>
  <si>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</si>
  <si>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</si>
  <si>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</si>
  <si>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</si>
  <si>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</si>
  <si>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</si>
  <si>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</si>
  <si>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</si>
  <si>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</si>
  <si>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</si>
  <si>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</si>
  <si>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</si>
  <si>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</si>
  <si>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</si>
  <si>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</si>
  <si>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</si>
  <si>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</si>
  <si>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</si>
  <si>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</si>
  <si>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</si>
  <si>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</si>
  <si>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</si>
  <si>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</si>
  <si>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</si>
  <si>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</si>
  <si>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</si>
  <si>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</si>
  <si>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</si>
  <si>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</si>
  <si>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</si>
  <si>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</si>
  <si>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</si>
  <si>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</si>
  <si>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</si>
  <si>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</si>
  <si>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</si>
  <si>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</si>
  <si>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</si>
  <si>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</si>
  <si>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</si>
  <si>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</si>
  <si>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</si>
  <si>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</si>
  <si>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</si>
  <si>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</si>
  <si>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</si>
  <si>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</si>
  <si>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</si>
  <si>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</si>
  <si>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</si>
  <si>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</si>
  <si>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</si>
  <si>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</si>
  <si>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</si>
  <si>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</si>
  <si>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</si>
  <si>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</si>
  <si>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</si>
  <si>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</si>
  <si>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</si>
  <si>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</si>
  <si>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</si>
  <si>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</si>
  <si>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</si>
  <si>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</si>
  <si>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</si>
  <si>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</si>
  <si>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</si>
  <si>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</si>
  <si>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</si>
  <si>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</si>
  <si>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</si>
  <si>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</si>
  <si>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</si>
  <si>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</si>
  <si>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</si>
  <si>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</si>
  <si>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</si>
  <si>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</si>
  <si>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</si>
  <si>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</si>
  <si>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</si>
  <si>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</si>
  <si>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</si>
  <si>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</si>
  <si>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</si>
  <si>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</si>
  <si>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</si>
  <si>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</si>
  <si>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</si>
  <si>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</si>
  <si>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</si>
  <si>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</si>
  <si>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</si>
  <si>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</si>
  <si>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</si>
  <si>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</si>
  <si>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</si>
  <si>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</si>
  <si>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</si>
  <si>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</si>
  <si>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</si>
  <si>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</si>
  <si>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</si>
  <si>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</si>
  <si>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</si>
  <si>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</si>
  <si>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</si>
  <si>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</si>
  <si>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</si>
  <si>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</si>
  <si>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</si>
  <si>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</si>
  <si>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</si>
  <si>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</si>
  <si>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</si>
  <si>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</si>
  <si>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</si>
  <si>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</si>
  <si>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</si>
  <si>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</si>
  <si>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</si>
  <si>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</si>
  <si>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</si>
  <si>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</si>
  <si>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</si>
  <si>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</si>
  <si>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</si>
  <si>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</si>
  <si>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</si>
  <si>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</si>
  <si>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</si>
  <si>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</si>
  <si>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</si>
  <si>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</si>
  <si>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</si>
  <si>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</si>
  <si>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</si>
  <si>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</si>
  <si>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</si>
  <si>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</si>
  <si>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</si>
  <si>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</si>
  <si>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</si>
  <si>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</si>
  <si>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</si>
  <si>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</si>
  <si>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</si>
  <si>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</si>
  <si>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</si>
  <si>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</si>
  <si>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</si>
  <si>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</si>
  <si>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</si>
  <si>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</si>
  <si>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</si>
  <si>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</si>
  <si>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</si>
  <si>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</si>
  <si>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</si>
  <si>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</si>
  <si>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</si>
  <si>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</si>
  <si>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</si>
  <si>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</si>
  <si>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</si>
  <si>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</si>
  <si>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</si>
  <si>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</si>
  <si>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</si>
  <si>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</si>
  <si>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</si>
  <si>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</si>
  <si>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</si>
  <si>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</si>
  <si>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</si>
  <si>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</si>
  <si>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</si>
  <si>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</si>
  <si>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</si>
  <si>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</si>
  <si>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</si>
  <si>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</si>
  <si>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</si>
  <si>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</si>
  <si>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</si>
  <si>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</si>
  <si>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</si>
  <si>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</si>
  <si>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</si>
  <si>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</si>
  <si>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</si>
  <si>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</si>
  <si>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</si>
  <si>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</si>
  <si>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</si>
  <si>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</si>
  <si>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</si>
  <si>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</si>
  <si>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</si>
  <si>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</si>
  <si>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</si>
  <si>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</si>
  <si>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</si>
  <si>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</si>
  <si>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</si>
  <si>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</si>
  <si>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</si>
  <si>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</si>
  <si>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</si>
  <si>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</si>
  <si>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</si>
  <si>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</si>
  <si>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</si>
  <si>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</si>
  <si>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</si>
  <si>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</si>
  <si>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</si>
  <si>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</si>
  <si>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</si>
  <si>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</si>
  <si>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</si>
  <si>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</si>
  <si>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</si>
  <si>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</si>
  <si>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</si>
  <si>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</si>
  <si>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</si>
  <si>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</si>
  <si>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</si>
  <si>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</si>
  <si>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</si>
  <si>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</si>
  <si>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</si>
  <si>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</si>
  <si>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</si>
  <si>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</si>
  <si>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</si>
  <si>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</si>
  <si>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</si>
  <si>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</si>
  <si>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</si>
  <si>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</si>
  <si>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</si>
  <si>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</si>
  <si>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</si>
  <si>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</si>
  <si>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</si>
  <si>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</si>
  <si>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</si>
  <si>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</si>
  <si>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</si>
  <si>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</si>
  <si>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</si>
  <si>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</si>
  <si>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</si>
  <si>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</si>
  <si>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</si>
  <si>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</si>
  <si>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</si>
  <si>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</si>
  <si>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</si>
  <si>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</si>
  <si>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</si>
  <si>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</si>
  <si>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</si>
  <si>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</si>
  <si>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</si>
  <si>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</si>
  <si>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</si>
  <si>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</si>
  <si>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</si>
  <si>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</si>
  <si>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</si>
  <si>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</si>
  <si>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</si>
  <si>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</si>
  <si>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</si>
  <si>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</si>
  <si>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</si>
  <si>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</si>
  <si>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</si>
  <si>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</si>
  <si>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</si>
  <si>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</si>
  <si>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</si>
  <si>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</si>
  <si>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</si>
  <si>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</si>
  <si>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</si>
  <si>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</si>
  <si>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</si>
  <si>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</si>
  <si>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</si>
  <si>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</si>
  <si>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</si>
  <si>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</si>
  <si>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</si>
  <si>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</si>
  <si>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</si>
  <si>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</si>
  <si>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</si>
  <si>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</si>
  <si>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</si>
  <si>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</si>
  <si>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</si>
  <si>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</si>
  <si>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</si>
  <si>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</si>
  <si>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</si>
  <si>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</si>
  <si>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</si>
  <si>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</si>
  <si>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</si>
  <si>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</si>
  <si>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</si>
  <si>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</si>
  <si>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</si>
  <si>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</si>
  <si>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</si>
  <si>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</si>
  <si>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</si>
  <si>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</si>
  <si>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</si>
  <si>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</si>
  <si>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</si>
  <si>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</si>
  <si>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</si>
  <si>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</si>
  <si>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</si>
  <si>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</si>
  <si>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</si>
  <si>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</si>
  <si>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</si>
  <si>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</si>
  <si>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</si>
  <si>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</si>
  <si>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</si>
  <si>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</si>
  <si>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</si>
  <si>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</si>
  <si>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</si>
  <si>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</si>
  <si>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</si>
  <si>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</si>
  <si>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</si>
  <si>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</si>
  <si>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</si>
  <si>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</si>
  <si>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</si>
  <si>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</si>
  <si>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</si>
  <si>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</si>
  <si>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</si>
  <si>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</si>
  <si>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</si>
  <si>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</si>
  <si>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</si>
  <si>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</si>
  <si>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</si>
  <si>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</si>
  <si>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</si>
  <si>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</si>
  <si>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</si>
  <si>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</si>
  <si>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</si>
  <si>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</si>
  <si>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</si>
  <si>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</si>
  <si>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</si>
  <si>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</si>
  <si>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</si>
  <si>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</si>
  <si>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</si>
  <si>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</si>
  <si>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</si>
  <si>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</si>
  <si>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</si>
  <si>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</si>
  <si>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</si>
  <si>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</si>
  <si>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</si>
  <si>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</si>
  <si>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</si>
  <si>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</si>
  <si>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</si>
  <si>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</si>
  <si>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</si>
  <si>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</si>
  <si>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</si>
  <si>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</si>
  <si>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</si>
  <si>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</si>
  <si>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</si>
  <si>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</si>
  <si>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</si>
  <si>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</si>
  <si>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</si>
  <si>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</si>
  <si>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</si>
  <si>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</si>
  <si>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</si>
  <si>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</si>
  <si>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</si>
  <si>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</si>
  <si>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</si>
  <si>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</si>
  <si>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</si>
  <si>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</si>
  <si>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</si>
  <si>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</si>
  <si>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</si>
  <si>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</si>
  <si>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</si>
  <si>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</si>
  <si>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</si>
  <si>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</si>
  <si>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</si>
  <si>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</si>
  <si>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</si>
  <si>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</si>
  <si>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</si>
  <si>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</si>
  <si>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</si>
  <si>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</si>
  <si>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</si>
  <si>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</si>
  <si>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</si>
  <si>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</si>
  <si>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</si>
  <si>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</si>
  <si>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</si>
  <si>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</si>
  <si>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</si>
  <si>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</si>
  <si>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</si>
  <si>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</si>
  <si>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</si>
  <si>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</si>
  <si>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</si>
  <si>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</si>
  <si>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</si>
  <si>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</si>
  <si>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</si>
  <si>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</si>
  <si>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</si>
  <si>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</si>
  <si>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</si>
  <si>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</si>
  <si>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</si>
  <si>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</si>
  <si>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</si>
  <si>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</si>
  <si>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</si>
  <si>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</si>
  <si>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</si>
  <si>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</si>
  <si>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</si>
  <si>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</si>
  <si>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</si>
  <si>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</si>
  <si>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</si>
  <si>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</si>
  <si>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</si>
  <si>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</si>
  <si>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</si>
  <si>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</si>
  <si>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</si>
  <si>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</si>
  <si>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</si>
  <si>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</si>
  <si>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</si>
  <si>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</si>
  <si>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</si>
  <si>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</si>
  <si>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</si>
  <si>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</si>
  <si>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</si>
  <si>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</si>
  <si>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</si>
  <si>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</si>
  <si>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</si>
  <si>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</si>
  <si>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</si>
  <si>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</si>
  <si>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</si>
  <si>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</si>
  <si>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</si>
  <si>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</si>
  <si>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</si>
  <si>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</si>
  <si>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</si>
  <si>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</si>
  <si>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</si>
  <si>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</si>
  <si>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</si>
  <si>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</si>
  <si>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</si>
  <si>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</si>
  <si>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</si>
  <si>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</si>
  <si>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</si>
  <si>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</si>
  <si>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</si>
  <si>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</si>
  <si>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</si>
  <si>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</si>
  <si>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</si>
  <si>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</si>
  <si>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</si>
  <si>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</si>
  <si>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</si>
  <si>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</si>
  <si>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</si>
  <si>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</si>
  <si>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</si>
  <si>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</si>
  <si>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</si>
  <si>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</si>
  <si>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</si>
  <si>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</si>
  <si>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</si>
  <si>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</si>
  <si>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</si>
  <si>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</si>
  <si>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</si>
  <si>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</si>
  <si>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</si>
  <si>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</si>
  <si>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</si>
  <si>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</si>
  <si>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</si>
  <si>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</si>
  <si>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</si>
  <si>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</si>
  <si>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</si>
  <si>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</si>
  <si>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</si>
  <si>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</si>
  <si>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</si>
  <si>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</si>
  <si>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</si>
  <si>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</si>
  <si>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</si>
  <si>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</si>
  <si>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</si>
  <si>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</si>
  <si>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</si>
  <si>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</si>
  <si>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</si>
  <si>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</si>
  <si>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</si>
  <si>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</si>
  <si>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</si>
  <si>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</si>
  <si>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</si>
  <si>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</si>
  <si>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</si>
  <si>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</si>
  <si>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</si>
  <si>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</si>
  <si>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</si>
  <si>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</si>
  <si>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</si>
  <si>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</si>
  <si>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</si>
  <si>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</si>
  <si>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</si>
  <si>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</si>
  <si>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</si>
  <si>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</si>
  <si>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</si>
  <si>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</si>
  <si>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</si>
  <si>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</si>
  <si>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</si>
  <si>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</si>
  <si>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</si>
  <si>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</si>
  <si>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</si>
  <si>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</si>
  <si>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</si>
  <si>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</si>
  <si>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</si>
  <si>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</si>
  <si>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</si>
  <si>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</si>
  <si>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</si>
  <si>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</si>
  <si>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</si>
  <si>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</si>
  <si>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</si>
  <si>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</si>
  <si>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</si>
  <si>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</si>
  <si>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</si>
  <si>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</si>
  <si>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</si>
  <si>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</si>
  <si>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</si>
  <si>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</si>
  <si>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</si>
  <si>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</si>
  <si>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</si>
  <si>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</si>
  <si>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</si>
  <si>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</si>
  <si>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</si>
  <si>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</si>
  <si>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</si>
  <si>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</si>
  <si>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</si>
  <si>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</si>
  <si>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</si>
  <si>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</si>
  <si>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</si>
  <si>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</si>
  <si>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</si>
  <si>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</si>
  <si>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</si>
  <si>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</si>
  <si>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</si>
  <si>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</si>
  <si>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</si>
  <si>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</si>
  <si>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</si>
  <si>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</si>
  <si>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</si>
  <si>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</si>
  <si>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</si>
  <si>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</si>
  <si>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</si>
  <si>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</si>
  <si>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</si>
  <si>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</si>
  <si>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</si>
  <si>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</si>
  <si>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</si>
  <si>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</si>
  <si>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</si>
  <si>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</si>
  <si>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</si>
  <si>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</si>
  <si>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</si>
  <si>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</si>
  <si>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</si>
  <si>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</si>
  <si>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</si>
  <si>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</si>
  <si>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</si>
  <si>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</si>
  <si>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</si>
  <si>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</si>
  <si>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</si>
  <si>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</si>
  <si>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</si>
  <si>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</si>
  <si>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</si>
  <si>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</si>
  <si>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</si>
  <si>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</si>
  <si>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</si>
  <si>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</si>
  <si>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</si>
  <si>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</si>
  <si>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</si>
  <si>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</si>
  <si>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</si>
  <si>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</si>
  <si>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</si>
  <si>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</si>
  <si>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</si>
  <si>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</si>
  <si>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</si>
  <si>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</si>
  <si>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</si>
  <si>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</si>
  <si>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</si>
  <si>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</si>
  <si>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</si>
  <si>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</si>
  <si>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</si>
  <si>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</si>
  <si>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</si>
  <si>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</si>
  <si>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</si>
  <si>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</si>
  <si>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</si>
  <si>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</si>
  <si>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</si>
  <si>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</si>
  <si>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</si>
  <si>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</si>
  <si>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</si>
  <si>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</si>
  <si>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</si>
  <si>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</si>
  <si>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</si>
  <si>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</si>
  <si>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</si>
  <si>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</si>
  <si>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</si>
  <si>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</si>
  <si>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</si>
  <si>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</si>
  <si>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</si>
  <si>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</si>
  <si>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</si>
  <si>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</si>
  <si>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</si>
  <si>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</si>
  <si>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</si>
  <si>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</si>
  <si>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</si>
  <si>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</si>
  <si>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</si>
  <si>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</si>
  <si>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</si>
  <si>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</si>
  <si>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</si>
  <si>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</si>
  <si>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</si>
  <si>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</si>
  <si>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</si>
  <si>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</si>
  <si>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</si>
  <si>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</si>
  <si>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</si>
  <si>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</si>
  <si>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</si>
  <si>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</si>
  <si>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</si>
  <si>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</si>
  <si>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</si>
  <si>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</si>
  <si>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</si>
  <si>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</si>
  <si>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</si>
  <si>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</si>
  <si>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</si>
  <si>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</si>
  <si>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</si>
  <si>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</si>
  <si>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</si>
  <si>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</si>
  <si>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</si>
  <si>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</si>
  <si>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</si>
  <si>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</si>
  <si>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</si>
  <si>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</si>
  <si>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</si>
  <si>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</si>
  <si>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</si>
  <si>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</si>
  <si>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</si>
  <si>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</si>
  <si>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</si>
  <si>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</si>
  <si>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</si>
  <si>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</si>
  <si>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</si>
  <si>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</si>
  <si>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</si>
  <si>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</si>
  <si>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</si>
  <si>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</si>
  <si>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</si>
  <si>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</si>
  <si>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</si>
  <si>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</si>
  <si>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</si>
  <si>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</si>
  <si>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</si>
  <si>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</si>
  <si>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</si>
  <si>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</si>
  <si>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</si>
  <si>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</si>
  <si>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</si>
  <si>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</si>
  <si>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</si>
  <si>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</si>
  <si>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</si>
  <si>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</si>
  <si>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</si>
  <si>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</si>
  <si>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</si>
  <si>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</si>
  <si>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</si>
  <si>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</si>
  <si>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</si>
  <si>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</si>
  <si>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</si>
  <si>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</si>
  <si>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</si>
  <si>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</si>
  <si>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</si>
  <si>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</si>
  <si>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</si>
  <si>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</si>
  <si>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</si>
  <si>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</si>
  <si>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</si>
  <si>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</si>
  <si>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</si>
  <si>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</si>
  <si>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</si>
  <si>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</si>
  <si>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</si>
  <si>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</si>
  <si>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</si>
  <si>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</si>
  <si>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</si>
  <si>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</si>
  <si>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</si>
  <si>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</si>
  <si>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</si>
  <si>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</si>
  <si>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</si>
  <si>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</si>
  <si>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</si>
  <si>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</si>
  <si>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</si>
  <si>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</si>
  <si>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</si>
  <si>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</si>
  <si>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</si>
  <si>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</si>
  <si>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</si>
  <si>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</si>
  <si>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</si>
  <si>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</si>
  <si>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</si>
  <si>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</si>
  <si>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</si>
  <si>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</si>
  <si>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</si>
  <si>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</si>
  <si>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</si>
  <si>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</si>
  <si>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</si>
  <si>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</si>
  <si>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</si>
  <si>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</si>
  <si>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</si>
  <si>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</si>
  <si>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</si>
  <si>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</si>
  <si>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</si>
  <si>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</si>
  <si>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</si>
  <si>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</si>
  <si>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</si>
  <si>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</si>
  <si>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</si>
  <si>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</si>
  <si>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</si>
  <si>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</si>
  <si>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</si>
  <si>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</si>
  <si>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</si>
  <si>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</si>
  <si>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</si>
  <si>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</si>
  <si>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</si>
  <si>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</si>
  <si>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</si>
  <si>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</si>
  <si>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</si>
  <si>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</si>
  <si>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</si>
  <si>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</si>
  <si>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</si>
  <si>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</si>
  <si>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</si>
  <si>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</si>
  <si>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</si>
  <si>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</si>
  <si>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</si>
  <si>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</si>
  <si>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</si>
  <si>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</si>
  <si>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</si>
  <si>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</si>
  <si>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</si>
  <si>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</si>
  <si>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</si>
  <si>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</si>
  <si>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</si>
  <si>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</si>
  <si>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</si>
  <si>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</si>
  <si>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</si>
  <si>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</si>
  <si>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</si>
  <si>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</si>
  <si>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</si>
  <si>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</si>
  <si>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</si>
  <si>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</si>
  <si>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</si>
  <si>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</si>
  <si>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</si>
  <si>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</si>
  <si>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</si>
  <si>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</si>
  <si>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</si>
  <si>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</si>
  <si>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</si>
  <si>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</si>
  <si>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</si>
  <si>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</si>
  <si>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</si>
  <si>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</si>
  <si>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</si>
  <si>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</si>
  <si>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</si>
  <si>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</si>
  <si>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</si>
  <si>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</si>
  <si>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</si>
  <si>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</si>
  <si>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</si>
  <si>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</si>
  <si>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</si>
  <si>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</si>
  <si>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</si>
  <si>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</si>
  <si>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</si>
  <si>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</si>
  <si>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</si>
  <si>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</si>
  <si>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</si>
  <si>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</si>
  <si>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</si>
  <si>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</si>
  <si>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</si>
  <si>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</si>
  <si>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</si>
  <si>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</si>
  <si>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</si>
  <si>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</si>
  <si>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</si>
  <si>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</si>
  <si>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</si>
  <si>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</si>
  <si>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</si>
  <si>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</si>
  <si>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</si>
  <si>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</si>
  <si>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</si>
  <si>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</si>
  <si>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</si>
  <si>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</si>
  <si>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</si>
  <si>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</si>
  <si>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</si>
  <si>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</si>
  <si>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</si>
  <si>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</si>
  <si>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</si>
  <si>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</si>
  <si>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</si>
  <si>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</si>
  <si>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</si>
  <si>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</si>
  <si>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</si>
  <si>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</si>
  <si>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</si>
  <si>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</si>
  <si>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</si>
  <si>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</si>
  <si>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</si>
  <si>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</si>
  <si>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</si>
  <si>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</si>
  <si>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</si>
  <si>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</si>
  <si>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</si>
  <si>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</si>
  <si>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</si>
  <si>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</si>
  <si>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</si>
  <si>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</si>
  <si>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</si>
  <si>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</si>
  <si>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</si>
  <si>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</si>
  <si>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</si>
  <si>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</si>
  <si>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</si>
  <si>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</si>
  <si>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</si>
  <si>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</si>
  <si>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</si>
  <si>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</si>
  <si>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</si>
  <si>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</si>
  <si>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</si>
  <si>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</si>
  <si>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</si>
  <si>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</si>
  <si>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</si>
  <si>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</si>
  <si>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</si>
  <si>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</si>
  <si>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</si>
  <si>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</si>
  <si>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</si>
  <si>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</si>
  <si>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</si>
  <si>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</si>
  <si>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</si>
  <si>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</si>
  <si>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</si>
  <si>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</si>
  <si>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</si>
  <si>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</si>
  <si>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</si>
  <si>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</si>
  <si>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</si>
  <si>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</si>
  <si>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</si>
  <si>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</si>
  <si>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</si>
  <si>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</si>
  <si>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</si>
  <si>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</si>
  <si>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</si>
  <si>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</si>
  <si>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</si>
  <si>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</si>
  <si>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</si>
  <si>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</si>
  <si>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</si>
  <si>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</si>
  <si>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</si>
  <si>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</si>
  <si>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</si>
  <si>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</si>
  <si>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</si>
  <si>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</si>
  <si>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</si>
  <si>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</si>
  <si>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</si>
  <si>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</si>
  <si>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</si>
  <si>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</si>
  <si>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</si>
  <si>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</si>
  <si>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</si>
  <si>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</si>
  <si>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</si>
  <si>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</si>
  <si>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</si>
  <si>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</si>
  <si>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</si>
  <si>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</si>
  <si>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</si>
  <si>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</si>
  <si>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</si>
  <si>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</si>
  <si>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</si>
  <si>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</si>
  <si>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</si>
  <si>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</si>
  <si>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</si>
  <si>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</si>
  <si>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</si>
  <si>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</si>
  <si>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</si>
  <si>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</si>
  <si>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</si>
  <si>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</si>
  <si>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</si>
  <si>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</si>
  <si>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</si>
  <si>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</si>
  <si>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</si>
  <si>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</si>
  <si>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</si>
  <si>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</si>
  <si>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</si>
  <si>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</si>
  <si>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</si>
  <si>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</si>
  <si>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</si>
  <si>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</si>
  <si>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</si>
  <si>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</si>
  <si>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</si>
  <si>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</si>
  <si>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</si>
  <si>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</si>
  <si>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</si>
  <si>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</si>
  <si>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</si>
  <si>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</si>
  <si>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</si>
  <si>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</si>
  <si>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</si>
  <si>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</si>
  <si>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</si>
  <si>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</si>
  <si>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</si>
  <si>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</si>
  <si>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</si>
  <si>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</si>
  <si>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</si>
  <si>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</si>
  <si>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</si>
  <si>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</si>
  <si>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</si>
  <si>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</si>
  <si>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</si>
  <si>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</si>
  <si>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</si>
  <si>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</si>
  <si>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</si>
  <si>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</si>
  <si>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</si>
  <si>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</si>
  <si>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</si>
  <si>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</si>
  <si>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</si>
  <si>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</si>
  <si>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</si>
  <si>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</si>
  <si>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</si>
  <si>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</si>
  <si>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</si>
  <si>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</si>
  <si>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</si>
  <si>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</si>
  <si>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</si>
  <si>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</si>
  <si>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</si>
  <si>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</si>
  <si>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</si>
  <si>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</si>
  <si>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</si>
  <si>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</si>
  <si>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</si>
  <si>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</si>
  <si>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</si>
  <si>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</si>
  <si>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</si>
  <si>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</si>
  <si>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</si>
  <si>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</si>
  <si>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</si>
  <si>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</si>
  <si>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</si>
  <si>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</si>
  <si>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</si>
  <si>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</si>
  <si>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</si>
  <si>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</si>
  <si>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</si>
  <si>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</si>
  <si>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</si>
  <si>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</si>
  <si>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</si>
  <si>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</si>
  <si>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</si>
  <si>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</si>
  <si>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</si>
  <si>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</si>
  <si>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</si>
  <si>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</si>
  <si>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</si>
  <si>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</si>
  <si>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</si>
  <si>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</si>
  <si>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</si>
  <si>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</si>
  <si>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</si>
  <si>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</si>
  <si>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</si>
  <si>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</si>
  <si>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</si>
  <si>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</si>
  <si>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</si>
  <si>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</si>
  <si>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</si>
  <si>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</si>
  <si>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</si>
  <si>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</si>
  <si>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</si>
  <si>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</si>
  <si>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</si>
  <si>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</si>
  <si>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</si>
  <si>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</si>
  <si>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</si>
  <si>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</si>
  <si>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</si>
  <si>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</si>
  <si>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</si>
  <si>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</si>
  <si>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</si>
  <si>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</si>
  <si>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</si>
  <si>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</si>
  <si>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</si>
  <si>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</si>
  <si>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</si>
  <si>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</si>
  <si>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</si>
  <si>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</si>
  <si>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</si>
  <si>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</si>
  <si>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</si>
  <si>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</si>
  <si>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</si>
  <si>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</si>
  <si>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</si>
  <si>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</si>
  <si>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</si>
  <si>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</si>
  <si>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</si>
  <si>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</si>
  <si>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</si>
  <si>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</si>
  <si>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</si>
  <si>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</si>
  <si>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</si>
  <si>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</si>
  <si>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</si>
  <si>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</si>
  <si>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</si>
  <si>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</si>
  <si>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</si>
  <si>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</si>
  <si>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</si>
  <si>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</si>
  <si>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</si>
  <si>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</si>
  <si>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</si>
  <si>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</si>
  <si>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</si>
  <si>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</si>
  <si>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</si>
  <si>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</si>
  <si>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</si>
  <si>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</si>
  <si>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</si>
  <si>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</si>
  <si>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</si>
  <si>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</si>
  <si>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</si>
  <si>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</si>
  <si>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</si>
  <si>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</si>
  <si>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</si>
  <si>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</si>
  <si>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</si>
  <si>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</si>
  <si>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</si>
  <si>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</si>
  <si>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</si>
  <si>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</si>
  <si>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</si>
  <si>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</si>
  <si>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</si>
  <si>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</si>
  <si>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</si>
  <si>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</si>
  <si>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</si>
  <si>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</si>
  <si>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</si>
  <si>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</si>
  <si>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</si>
  <si>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</si>
  <si>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</si>
  <si>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</si>
  <si>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</si>
  <si>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</si>
  <si>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</si>
  <si>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</si>
  <si>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</si>
  <si>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</si>
  <si>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</si>
  <si>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</si>
  <si>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</si>
  <si>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</si>
  <si>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</si>
  <si>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</si>
  <si>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</si>
  <si>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</si>
  <si>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</si>
  <si>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</si>
  <si>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</si>
  <si>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</si>
  <si>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</si>
  <si>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</si>
  <si>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</si>
  <si>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</si>
  <si>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</si>
  <si>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</si>
  <si>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</si>
  <si>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</si>
  <si>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</si>
  <si>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</si>
  <si>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</si>
  <si>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</si>
  <si>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</si>
  <si>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</si>
  <si>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</si>
  <si>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</si>
  <si>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</si>
  <si>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</si>
  <si>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</si>
  <si>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</si>
  <si>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</si>
  <si>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</si>
  <si>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</si>
  <si>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</si>
  <si>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</si>
  <si>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</si>
  <si>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</si>
  <si>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</si>
  <si>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</si>
  <si>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</si>
  <si>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</si>
  <si>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</si>
  <si>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</si>
  <si>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</si>
  <si>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</si>
  <si>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</si>
  <si>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</si>
  <si>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</si>
  <si>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</si>
  <si>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</si>
  <si>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</si>
  <si>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</si>
  <si>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</si>
  <si>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</si>
  <si>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</si>
  <si>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</si>
  <si>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</si>
  <si>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</si>
  <si>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</si>
  <si>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</si>
  <si>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</si>
  <si>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</si>
  <si>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</si>
  <si>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</si>
  <si>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</si>
  <si>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</si>
  <si>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</si>
  <si>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</si>
  <si>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</si>
  <si>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</si>
  <si>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</si>
  <si>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</si>
  <si>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</si>
  <si>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</si>
  <si>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</si>
  <si>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</si>
  <si>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</si>
  <si>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</si>
  <si>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</si>
  <si>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</si>
  <si>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</si>
  <si>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</si>
  <si>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</si>
  <si>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</si>
  <si>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</si>
  <si>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</si>
  <si>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</si>
  <si>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</si>
  <si>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</si>
  <si>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</si>
  <si>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</si>
  <si>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</si>
  <si>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</si>
  <si>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</si>
  <si>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</si>
  <si>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</si>
  <si>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</si>
  <si>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</si>
  <si>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</si>
  <si>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</si>
  <si>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</si>
  <si>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</si>
  <si>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</si>
  <si>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</si>
  <si>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</si>
  <si>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</si>
  <si>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</si>
  <si>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</si>
  <si>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</si>
  <si>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</si>
  <si>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</si>
  <si>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</si>
  <si>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</si>
  <si>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</si>
  <si>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</si>
  <si>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</si>
  <si>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</si>
  <si>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</si>
  <si>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</si>
  <si>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</si>
  <si>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</si>
  <si>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</si>
  <si>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</si>
  <si>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</si>
  <si>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</si>
  <si>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</si>
  <si>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</si>
  <si>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</si>
  <si>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</si>
  <si>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</si>
  <si>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</si>
  <si>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</si>
  <si>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</si>
  <si>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</si>
  <si>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</si>
  <si>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</si>
  <si>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</si>
  <si>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</si>
  <si>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</si>
  <si>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</si>
  <si>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</si>
  <si>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</si>
  <si>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</si>
  <si>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</si>
  <si>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</si>
  <si>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</si>
  <si>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</si>
  <si>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</si>
  <si>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</si>
  <si>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</si>
  <si>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</si>
  <si>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</si>
  <si>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</si>
  <si>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</si>
  <si>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</si>
  <si>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</si>
  <si>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</si>
  <si>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</si>
  <si>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</si>
  <si>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</si>
  <si>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</si>
  <si>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</si>
  <si>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</si>
  <si>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</si>
  <si>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</si>
  <si>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</si>
  <si>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</si>
  <si>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</si>
  <si>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</si>
  <si>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</si>
  <si>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</si>
  <si>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</si>
  <si>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</si>
  <si>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</si>
  <si>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</si>
  <si>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</si>
  <si>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</si>
  <si>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</si>
  <si>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</si>
  <si>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</si>
  <si>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</si>
  <si>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</si>
  <si>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</si>
  <si>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</si>
  <si>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</si>
  <si>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</si>
  <si>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</si>
  <si>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</si>
  <si>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</si>
  <si>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</si>
  <si>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</si>
  <si>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</si>
  <si>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</si>
  <si>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</si>
  <si>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</si>
  <si>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</si>
  <si>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</si>
  <si>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</si>
  <si>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</si>
  <si>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</si>
  <si>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</si>
  <si>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</si>
  <si>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</si>
  <si>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</si>
  <si>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</si>
  <si>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</si>
  <si>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</si>
  <si>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</si>
  <si>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</si>
  <si>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</si>
  <si>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</si>
  <si>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</si>
  <si>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</si>
  <si>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</si>
  <si>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</si>
  <si>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</si>
  <si>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</si>
  <si>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</si>
  <si>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</si>
  <si>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国有建设用地使用权出让合同</t>
    <phoneticPr fontId="134" type="noConversion"/>
  </si>
  <si>
    <t>受让人</t>
    <phoneticPr fontId="134" type="noConversion"/>
  </si>
  <si>
    <t>杭州胜拓投资有限公司</t>
    <phoneticPr fontId="134" type="noConversion"/>
  </si>
  <si>
    <t>宗地面积</t>
    <phoneticPr fontId="134" type="noConversion"/>
  </si>
  <si>
    <t>坐落</t>
    <phoneticPr fontId="134" type="noConversion"/>
  </si>
  <si>
    <r>
      <t>北京市石景山区五里坨建设组团一1</t>
    </r>
    <r>
      <rPr>
        <sz val="11"/>
        <color theme="1"/>
        <rFont val="宋体"/>
        <family val="3"/>
        <charset val="134"/>
        <scheme val="minor"/>
      </rPr>
      <t>601-029地块等R2二类居住用地、F1住宅混合公建用地、F3其他类多功能用地、A334基础教育用地、B4综合性商业金融服务业用地</t>
    </r>
    <phoneticPr fontId="134" type="noConversion"/>
  </si>
  <si>
    <t>主体建筑物性质</t>
    <phoneticPr fontId="134" type="noConversion"/>
  </si>
  <si>
    <t>住宅、商业、办公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</si>
  <si>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</si>
  <si>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</si>
  <si>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</si>
  <si>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</si>
  <si>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总面积</t>
    <phoneticPr fontId="134" type="noConversion"/>
  </si>
  <si>
    <t>出让宗地</t>
    <phoneticPr fontId="134" type="noConversion"/>
  </si>
  <si>
    <t>教育</t>
    <phoneticPr fontId="134" type="noConversion"/>
  </si>
  <si>
    <t>总建筑面积</t>
    <phoneticPr fontId="134" type="noConversion"/>
  </si>
  <si>
    <t>地上</t>
    <phoneticPr fontId="134" type="noConversion"/>
  </si>
  <si>
    <t>商业及办公</t>
    <phoneticPr fontId="134" type="noConversion"/>
  </si>
  <si>
    <t>教育</t>
    <phoneticPr fontId="134" type="noConversion"/>
  </si>
  <si>
    <t>地下</t>
    <phoneticPr fontId="134" type="noConversion"/>
  </si>
  <si>
    <t>地价款</t>
    <phoneticPr fontId="134" type="noConversion"/>
  </si>
  <si>
    <t>楼面单价</t>
    <phoneticPr fontId="134" type="noConversion"/>
  </si>
  <si>
    <t>开工</t>
    <phoneticPr fontId="134" type="noConversion"/>
  </si>
  <si>
    <t>竣工</t>
    <phoneticPr fontId="134" type="noConversion"/>
  </si>
  <si>
    <t>销售均价</t>
    <phoneticPr fontId="134" type="noConversion"/>
  </si>
  <si>
    <t>无偿代建移交政府</t>
    <phoneticPr fontId="134" type="noConversion"/>
  </si>
  <si>
    <t>自持面积为住宅用途的20%</t>
    <phoneticPr fontId="134" type="noConversion"/>
  </si>
  <si>
    <t>附件6</t>
    <phoneticPr fontId="134" type="noConversion"/>
  </si>
  <si>
    <t>建筑面积</t>
    <phoneticPr fontId="134" type="noConversion"/>
  </si>
  <si>
    <t>住宅</t>
    <phoneticPr fontId="134" type="noConversion"/>
  </si>
  <si>
    <t>商业</t>
    <phoneticPr fontId="134" type="noConversion"/>
  </si>
  <si>
    <t>办公</t>
    <phoneticPr fontId="134" type="noConversion"/>
  </si>
  <si>
    <t>商业办公</t>
    <phoneticPr fontId="134" type="noConversion"/>
  </si>
  <si>
    <t>人防</t>
    <phoneticPr fontId="134" type="noConversion"/>
  </si>
  <si>
    <t>车库出入口</t>
    <phoneticPr fontId="134" type="noConversion"/>
  </si>
  <si>
    <t>地下车库</t>
    <phoneticPr fontId="134" type="noConversion"/>
  </si>
  <si>
    <t>地下仓储</t>
    <phoneticPr fontId="134" type="noConversion"/>
  </si>
  <si>
    <t>地下办公</t>
    <phoneticPr fontId="134" type="noConversion"/>
  </si>
  <si>
    <t>地下商业</t>
    <phoneticPr fontId="134" type="noConversion"/>
  </si>
  <si>
    <t>非经营性</t>
    <phoneticPr fontId="134" type="noConversion"/>
  </si>
  <si>
    <t>用途</t>
    <phoneticPr fontId="134" type="noConversion"/>
  </si>
  <si>
    <t>住宅、商业、办公、公共服务、地下车库、地下仓储</t>
    <phoneticPr fontId="134" type="noConversion"/>
  </si>
  <si>
    <t>补缴</t>
    <phoneticPr fontId="134" type="noConversion"/>
  </si>
  <si>
    <t>附件7</t>
    <phoneticPr fontId="134" type="noConversion"/>
  </si>
  <si>
    <t>办公（公共服务设施）</t>
    <phoneticPr fontId="134" type="noConversion"/>
  </si>
  <si>
    <t>商业办公</t>
    <phoneticPr fontId="134" type="noConversion"/>
  </si>
  <si>
    <t>地下车库</t>
    <phoneticPr fontId="134" type="noConversion"/>
  </si>
  <si>
    <t>地下办公（公共服务设施）</t>
    <phoneticPr fontId="134" type="noConversion"/>
  </si>
  <si>
    <t>非经营性</t>
    <phoneticPr fontId="134" type="noConversion"/>
  </si>
  <si>
    <t>补缴</t>
    <phoneticPr fontId="134" type="noConversion"/>
  </si>
  <si>
    <t>附件8</t>
    <phoneticPr fontId="134" type="noConversion"/>
  </si>
  <si>
    <t>商业办公</t>
    <phoneticPr fontId="134" type="noConversion"/>
  </si>
  <si>
    <t>车库出入口</t>
    <phoneticPr fontId="134" type="noConversion"/>
  </si>
  <si>
    <t>地下车库</t>
    <phoneticPr fontId="134" type="noConversion"/>
  </si>
  <si>
    <t>非经营</t>
    <phoneticPr fontId="134" type="noConversion"/>
  </si>
  <si>
    <t>附件5</t>
    <phoneticPr fontId="134" type="noConversion"/>
  </si>
  <si>
    <t>受让人变更</t>
    <phoneticPr fontId="134" type="noConversion"/>
  </si>
  <si>
    <t>北京景西房地产开发有限公司</t>
    <phoneticPr fontId="134" type="noConversion"/>
  </si>
  <si>
    <t>层  次</t>
  </si>
  <si>
    <t>01</t>
  </si>
  <si>
    <t xml:space="preserve">备注：
　　建设工程规划许可证编号:2018规土（石）建字0013号
　　规划许可批复楼号：38-S1#商业、办公、配套服务楼
　　预售许可证号：京房售证字()号
    房屋用途,      套数,  建筑面积
        办公,        10,   6913.63
      菜市场,         1,    332.90
      电信局,         1,    221.49
    公共厕所,         1,    126.83
        商业,        12,  10595.97
室内体育设施,         1,    640.75
小型商服（便利店）,         1,     81.62
再生资源回收站,         1,     32.44
        总计,        28,  18945.63
</t>
    <phoneticPr fontId="3" type="noConversion"/>
  </si>
  <si>
    <t>建筑面积</t>
    <phoneticPr fontId="3" type="noConversion"/>
  </si>
  <si>
    <t>02</t>
  </si>
  <si>
    <t>03</t>
  </si>
  <si>
    <t>04</t>
  </si>
  <si>
    <t>05</t>
  </si>
  <si>
    <t>06</t>
  </si>
  <si>
    <t>附属层</t>
  </si>
  <si>
    <t>1层(01)</t>
  </si>
  <si>
    <t>101</t>
  </si>
  <si>
    <t>305.38</t>
  </si>
  <si>
    <t>102</t>
  </si>
  <si>
    <t>29.76</t>
  </si>
  <si>
    <t>104</t>
  </si>
  <si>
    <t>203.18</t>
  </si>
  <si>
    <t>105</t>
  </si>
  <si>
    <t>74.87</t>
  </si>
  <si>
    <t>106</t>
  </si>
  <si>
    <t>551.92</t>
  </si>
  <si>
    <t>2层(02)</t>
  </si>
  <si>
    <t>201</t>
  </si>
  <si>
    <t>520.83</t>
  </si>
  <si>
    <t>202</t>
  </si>
  <si>
    <t>545.13</t>
  </si>
  <si>
    <t>203</t>
  </si>
  <si>
    <t>549.73</t>
  </si>
  <si>
    <t>204</t>
  </si>
  <si>
    <t>498.02</t>
  </si>
  <si>
    <t>3层(03)</t>
  </si>
  <si>
    <t>301</t>
  </si>
  <si>
    <t>302</t>
  </si>
  <si>
    <t>505.51</t>
  </si>
  <si>
    <t>303</t>
  </si>
  <si>
    <t>304</t>
  </si>
  <si>
    <t>4层(04)</t>
  </si>
  <si>
    <t>401</t>
  </si>
  <si>
    <t>511.60</t>
  </si>
  <si>
    <t>402</t>
  </si>
  <si>
    <t>527.36</t>
  </si>
  <si>
    <t>403</t>
  </si>
  <si>
    <t>404</t>
  </si>
  <si>
    <t>580.16</t>
  </si>
  <si>
    <t>5层(05)</t>
  </si>
  <si>
    <t>501</t>
  </si>
  <si>
    <t>516.57</t>
  </si>
  <si>
    <t>502</t>
  </si>
  <si>
    <t>580.05</t>
  </si>
  <si>
    <t>503</t>
  </si>
  <si>
    <t>533.13</t>
  </si>
  <si>
    <t>504</t>
  </si>
  <si>
    <t>535.25</t>
  </si>
  <si>
    <t>505</t>
  </si>
  <si>
    <t>521.95</t>
  </si>
  <si>
    <t>6层(06)</t>
  </si>
  <si>
    <t>601</t>
  </si>
  <si>
    <t>517.62</t>
  </si>
  <si>
    <t>602</t>
  </si>
  <si>
    <t>603</t>
  </si>
  <si>
    <t>604</t>
  </si>
  <si>
    <t>605</t>
  </si>
  <si>
    <t>建筑面积</t>
    <phoneticPr fontId="134" type="noConversion"/>
  </si>
  <si>
    <t>套内</t>
    <phoneticPr fontId="134" type="noConversion"/>
  </si>
  <si>
    <t>菜市场</t>
    <phoneticPr fontId="134" type="noConversion"/>
  </si>
  <si>
    <t>电信局</t>
    <phoneticPr fontId="134" type="noConversion"/>
  </si>
  <si>
    <t>部位及房号</t>
    <phoneticPr fontId="134" type="noConversion"/>
  </si>
  <si>
    <t>建筑面积</t>
    <phoneticPr fontId="134" type="noConversion"/>
  </si>
  <si>
    <t>规划用途</t>
    <phoneticPr fontId="134" type="noConversion"/>
  </si>
  <si>
    <t>小型商服</t>
    <phoneticPr fontId="134" type="noConversion"/>
  </si>
  <si>
    <t>商业</t>
    <phoneticPr fontId="134" type="noConversion"/>
  </si>
  <si>
    <t>办公</t>
    <phoneticPr fontId="134" type="noConversion"/>
  </si>
  <si>
    <t>再生资源回收站</t>
    <phoneticPr fontId="134" type="noConversion"/>
  </si>
  <si>
    <t>电信局</t>
    <phoneticPr fontId="134" type="noConversion"/>
  </si>
  <si>
    <t>室内体育设施</t>
    <phoneticPr fontId="134" type="noConversion"/>
  </si>
  <si>
    <t>崔锴</t>
  </si>
  <si>
    <t>郑燚</t>
  </si>
  <si>
    <t>房地产市场价值</t>
  </si>
  <si>
    <t>北京市</t>
  </si>
  <si>
    <r>
      <rPr>
        <sz val="10"/>
        <color theme="9" tint="-0.249977111117893"/>
        <rFont val="宋体"/>
        <family val="3"/>
        <charset val="134"/>
      </rPr>
      <t>石景山区秀府西街</t>
    </r>
    <r>
      <rPr>
        <sz val="10"/>
        <color theme="9" tint="-0.249977111117893"/>
        <rFont val="Arial"/>
        <family val="2"/>
      </rPr>
      <t>5</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phoneticPr fontId="6" type="noConversion"/>
  </si>
  <si>
    <t>企业</t>
  </si>
  <si>
    <t>北京景西房地产开发有限公司</t>
    <phoneticPr fontId="6" type="noConversion"/>
  </si>
  <si>
    <t>《不动产权证书》</t>
  </si>
  <si>
    <t>办公项目</t>
  </si>
  <si>
    <t>无</t>
  </si>
  <si>
    <t>否</t>
  </si>
  <si>
    <t>现房</t>
  </si>
  <si>
    <t>通路</t>
  </si>
  <si>
    <t>通电</t>
  </si>
  <si>
    <t>通讯</t>
  </si>
  <si>
    <t>通上水</t>
  </si>
  <si>
    <t>通下水</t>
  </si>
  <si>
    <t>通热</t>
  </si>
  <si>
    <t>燃气</t>
  </si>
  <si>
    <t>商业</t>
    <phoneticPr fontId="134" type="noConversion"/>
  </si>
  <si>
    <t>办公</t>
    <phoneticPr fontId="134" type="noConversion"/>
  </si>
  <si>
    <t>地上</t>
  </si>
  <si>
    <t>底商</t>
  </si>
  <si>
    <t>办公楼</t>
  </si>
  <si>
    <t>是</t>
  </si>
  <si>
    <t>商业</t>
    <phoneticPr fontId="7" type="noConversion"/>
  </si>
  <si>
    <t>办公</t>
    <phoneticPr fontId="7" type="noConversion"/>
  </si>
  <si>
    <t>建成</t>
    <phoneticPr fontId="3" type="noConversion"/>
  </si>
  <si>
    <t>直线</t>
    <phoneticPr fontId="3" type="noConversion"/>
  </si>
  <si>
    <t>成新度</t>
  </si>
  <si>
    <t>押一</t>
  </si>
  <si>
    <t>钢混</t>
  </si>
  <si>
    <t>非生产用房</t>
  </si>
  <si>
    <t>收益法-商业</t>
  </si>
  <si>
    <t>收益法-商业</t>
    <phoneticPr fontId="16" type="noConversion"/>
  </si>
  <si>
    <t>收益法-办公</t>
  </si>
  <si>
    <t>收益法-办公</t>
    <phoneticPr fontId="16" type="noConversion"/>
  </si>
  <si>
    <t>较好</t>
  </si>
  <si>
    <t>较好</t>
    <phoneticPr fontId="40" type="noConversion"/>
  </si>
  <si>
    <t>较差</t>
  </si>
  <si>
    <t>较差</t>
    <phoneticPr fontId="24" type="noConversion"/>
  </si>
  <si>
    <t>较差</t>
    <phoneticPr fontId="24" type="noConversion"/>
  </si>
  <si>
    <t>一般</t>
  </si>
  <si>
    <t>一般</t>
    <phoneticPr fontId="40" type="noConversion"/>
  </si>
  <si>
    <t>七通</t>
    <phoneticPr fontId="24" type="noConversion"/>
  </si>
  <si>
    <t>较好</t>
    <phoneticPr fontId="40" type="noConversion"/>
  </si>
  <si>
    <t>估价对象容积率</t>
  </si>
  <si>
    <t>不临65条商业街</t>
  </si>
  <si>
    <t>平整</t>
  </si>
  <si>
    <t>与级别开发程度不一致</t>
  </si>
  <si>
    <t>楼层修正</t>
  </si>
  <si>
    <t>好</t>
  </si>
  <si>
    <t>商务金融用地</t>
  </si>
  <si>
    <t>自定义容积率</t>
  </si>
  <si>
    <t>未包含在土地购买价格中</t>
  </si>
  <si>
    <t>已包含在土地取得成本中</t>
  </si>
  <si>
    <t>项目局部</t>
  </si>
  <si>
    <t>成本法</t>
  </si>
  <si>
    <t>收益法（汇总）</t>
  </si>
  <si>
    <t>总价</t>
  </si>
  <si>
    <t>中铁创业大厦</t>
    <phoneticPr fontId="134" type="noConversion"/>
  </si>
  <si>
    <t>金安中海财富中心</t>
    <phoneticPr fontId="134" type="noConversion"/>
  </si>
  <si>
    <t>前海人寿大厦</t>
    <phoneticPr fontId="134" type="noConversion"/>
  </si>
  <si>
    <t>租金</t>
  </si>
  <si>
    <t>租金</t>
    <phoneticPr fontId="134" type="noConversion"/>
  </si>
  <si>
    <t>面积</t>
    <phoneticPr fontId="134" type="noConversion"/>
  </si>
  <si>
    <t xml:space="preserve"> </t>
    <phoneticPr fontId="134" type="noConversion"/>
  </si>
  <si>
    <t>单套模式</t>
  </si>
  <si>
    <t>绿城西府海棠</t>
    <phoneticPr fontId="3" type="noConversion"/>
  </si>
  <si>
    <t>正常</t>
  </si>
  <si>
    <t>报价</t>
  </si>
  <si>
    <t>报价</t>
    <phoneticPr fontId="31" type="noConversion"/>
  </si>
  <si>
    <t>办公</t>
    <phoneticPr fontId="31" type="noConversion"/>
  </si>
  <si>
    <t>七通</t>
  </si>
  <si>
    <t>较好</t>
    <phoneticPr fontId="31" type="noConversion"/>
  </si>
  <si>
    <t>甲级</t>
  </si>
  <si>
    <t>甲级</t>
    <phoneticPr fontId="31" type="noConversion"/>
  </si>
  <si>
    <t>乙级</t>
    <phoneticPr fontId="31" type="noConversion"/>
  </si>
  <si>
    <t>丙级</t>
    <phoneticPr fontId="31" type="noConversion"/>
  </si>
  <si>
    <t>商务楼</t>
  </si>
  <si>
    <t>商务楼</t>
    <phoneticPr fontId="31" type="noConversion"/>
  </si>
  <si>
    <t>霁月园</t>
    <phoneticPr fontId="134" type="noConversion"/>
  </si>
  <si>
    <t>梅花苑</t>
    <phoneticPr fontId="134" type="noConversion"/>
  </si>
  <si>
    <t>绿城西山燕庐</t>
    <phoneticPr fontId="134" type="noConversion"/>
  </si>
  <si>
    <t>租金</t>
    <phoneticPr fontId="134" type="noConversion"/>
  </si>
  <si>
    <t>报价</t>
    <phoneticPr fontId="30" type="noConversion"/>
  </si>
  <si>
    <t>商业</t>
    <phoneticPr fontId="30" type="noConversion"/>
  </si>
  <si>
    <t>一般</t>
    <phoneticPr fontId="30" type="noConversion"/>
  </si>
  <si>
    <t>较好</t>
    <phoneticPr fontId="30" type="noConversion"/>
  </si>
  <si>
    <t>单面临街</t>
  </si>
  <si>
    <t>单面临街</t>
    <phoneticPr fontId="30" type="noConversion"/>
  </si>
  <si>
    <t>不临街</t>
  </si>
  <si>
    <t>不临街</t>
    <phoneticPr fontId="30" type="noConversion"/>
  </si>
  <si>
    <t>较大</t>
  </si>
  <si>
    <t>较大</t>
    <phoneticPr fontId="30" type="noConversion"/>
  </si>
  <si>
    <t>较小</t>
  </si>
  <si>
    <t>较小</t>
    <phoneticPr fontId="30" type="noConversion"/>
  </si>
  <si>
    <t>底商</t>
    <phoneticPr fontId="30" type="noConversion"/>
  </si>
  <si>
    <t>楼层</t>
    <phoneticPr fontId="3" type="noConversion"/>
  </si>
  <si>
    <t>面积</t>
    <phoneticPr fontId="3" type="noConversion"/>
  </si>
  <si>
    <t>系数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</si>
</sst>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14" fontId="0" fillId="0" borderId="0" xfId="0" applyNumberFormat="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shrinkToFi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79" fontId="19" fillId="0"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79" fontId="0" fillId="0" borderId="0" xfId="0" applyNumberFormat="1">
      <alignment vertical="center"/>
    </xf>
    <xf numFmtId="0" fontId="19" fillId="0" borderId="1" xfId="0" applyNumberFormat="1" applyFont="1" applyFill="1" applyBorder="1" applyAlignment="1" applyProtection="1">
      <alignment horizontal="center" vertical="center" shrinkToFi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7" fontId="47" fillId="22" borderId="1"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xdr:rowOff>
    </xdr:from>
    <xdr:to>
      <xdr:col>4</xdr:col>
      <xdr:colOff>26071</xdr:colOff>
      <xdr:row>17</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1"/>
          <a:ext cx="3169321" cy="1752600"/>
        </a:xfrm>
        <a:prstGeom prst="rect">
          <a:avLst/>
        </a:prstGeom>
      </xdr:spPr>
    </xdr:pic>
    <xdr:clientData/>
  </xdr:twoCellAnchor>
  <xdr:twoCellAnchor editAs="oneCell">
    <xdr:from>
      <xdr:col>4</xdr:col>
      <xdr:colOff>133350</xdr:colOff>
      <xdr:row>4</xdr:row>
      <xdr:rowOff>170022</xdr:rowOff>
    </xdr:from>
    <xdr:to>
      <xdr:col>8</xdr:col>
      <xdr:colOff>113434</xdr:colOff>
      <xdr:row>19</xdr:row>
      <xdr:rowOff>123022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76600" y="855822"/>
          <a:ext cx="2723284" cy="2524750"/>
        </a:xfrm>
        <a:prstGeom prst="rect">
          <a:avLst/>
        </a:prstGeom>
      </xdr:spPr>
    </xdr:pic>
    <xdr:clientData/>
  </xdr:twoCellAnchor>
  <xdr:twoCellAnchor editAs="oneCell">
    <xdr:from>
      <xdr:col>8</xdr:col>
      <xdr:colOff>161924</xdr:colOff>
      <xdr:row>5</xdr:row>
      <xdr:rowOff>1048</xdr:rowOff>
    </xdr:from>
    <xdr:to>
      <xdr:col>12</xdr:col>
      <xdr:colOff>494597</xdr:colOff>
      <xdr:row>21</xdr:row>
      <xdr:rowOff>46987</xdr:rowOff>
    </xdr:to>
    <xdr:pic>
      <xdr:nvPicPr>
        <xdr:cNvPr id="4" name="图片 3"/>
        <xdr:cNvPicPr>
          <a:picLocks noChangeAspect="1"/>
        </xdr:cNvPicPr>
      </xdr:nvPicPr>
      <xdr:blipFill>
        <a:blip xmlns:r="http://schemas.openxmlformats.org/officeDocument/2006/relationships" r:embed="rId3"/>
        <a:stretch>
          <a:fillRect/>
        </a:stretch>
      </xdr:blipFill>
      <xdr:spPr>
        <a:xfrm>
          <a:off x="6048374" y="858298"/>
          <a:ext cx="3075873" cy="2789139"/>
        </a:xfrm>
        <a:prstGeom prst="rect">
          <a:avLst/>
        </a:prstGeom>
      </xdr:spPr>
    </xdr:pic>
    <xdr:clientData/>
  </xdr:twoCellAnchor>
  <xdr:twoCellAnchor editAs="oneCell">
    <xdr:from>
      <xdr:col>0</xdr:col>
      <xdr:colOff>0</xdr:colOff>
      <xdr:row>21</xdr:row>
      <xdr:rowOff>0</xdr:rowOff>
    </xdr:from>
    <xdr:to>
      <xdr:col>9</xdr:col>
      <xdr:colOff>427750</xdr:colOff>
      <xdr:row>38</xdr:row>
      <xdr:rowOff>142493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7000000" cy="3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190500</xdr:colOff>
      <xdr:row>0</xdr:row>
      <xdr:rowOff>0</xdr:rowOff>
    </xdr:from>
    <xdr:to>
      <xdr:col>7</xdr:col>
      <xdr:colOff>628253</xdr:colOff>
      <xdr:row>19</xdr:row>
      <xdr:rowOff>28165</xdr:rowOff>
    </xdr:to>
    <xdr:pic>
      <xdr:nvPicPr>
        <xdr:cNvPr id="2" name="图片 1"/>
        <xdr:cNvPicPr>
          <a:picLocks noChangeAspect="1"/>
        </xdr:cNvPicPr>
      </xdr:nvPicPr>
      <xdr:blipFill>
        <a:blip xmlns:r="http://schemas.openxmlformats.org/officeDocument/2006/relationships" r:embed="rId1"/>
        <a:stretch>
          <a:fillRect/>
        </a:stretch>
      </xdr:blipFill>
      <xdr:spPr>
        <a:xfrm>
          <a:off x="2247900" y="0"/>
          <a:ext cx="3180953" cy="3285715"/>
        </a:xfrm>
        <a:prstGeom prst="rect">
          <a:avLst/>
        </a:prstGeom>
      </xdr:spPr>
    </xdr:pic>
    <xdr:clientData/>
  </xdr:twoCellAnchor>
  <xdr:twoCellAnchor editAs="oneCell">
    <xdr:from>
      <xdr:col>3</xdr:col>
      <xdr:colOff>257175</xdr:colOff>
      <xdr:row>21</xdr:row>
      <xdr:rowOff>66675</xdr:rowOff>
    </xdr:from>
    <xdr:to>
      <xdr:col>8</xdr:col>
      <xdr:colOff>47223</xdr:colOff>
      <xdr:row>38</xdr:row>
      <xdr:rowOff>161549</xdr:rowOff>
    </xdr:to>
    <xdr:pic>
      <xdr:nvPicPr>
        <xdr:cNvPr id="3" name="图片 2"/>
        <xdr:cNvPicPr>
          <a:picLocks noChangeAspect="1"/>
        </xdr:cNvPicPr>
      </xdr:nvPicPr>
      <xdr:blipFill>
        <a:blip xmlns:r="http://schemas.openxmlformats.org/officeDocument/2006/relationships" r:embed="rId2"/>
        <a:stretch>
          <a:fillRect/>
        </a:stretch>
      </xdr:blipFill>
      <xdr:spPr>
        <a:xfrm>
          <a:off x="2314575" y="3667125"/>
          <a:ext cx="3219048" cy="3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475934</xdr:colOff>
      <xdr:row>14</xdr:row>
      <xdr:rowOff>47319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2533334" cy="2447619"/>
        </a:xfrm>
        <a:prstGeom prst="rect">
          <a:avLst/>
        </a:prstGeom>
      </xdr:spPr>
    </xdr:pic>
    <xdr:clientData/>
  </xdr:twoCellAnchor>
  <xdr:twoCellAnchor editAs="oneCell">
    <xdr:from>
      <xdr:col>4</xdr:col>
      <xdr:colOff>0</xdr:colOff>
      <xdr:row>0</xdr:row>
      <xdr:rowOff>0</xdr:rowOff>
    </xdr:from>
    <xdr:to>
      <xdr:col>7</xdr:col>
      <xdr:colOff>390219</xdr:colOff>
      <xdr:row>24</xdr:row>
      <xdr:rowOff>132819</xdr:rowOff>
    </xdr:to>
    <xdr:pic>
      <xdr:nvPicPr>
        <xdr:cNvPr id="6" name="图片 5"/>
        <xdr:cNvPicPr>
          <a:picLocks noChangeAspect="1"/>
        </xdr:cNvPicPr>
      </xdr:nvPicPr>
      <xdr:blipFill>
        <a:blip xmlns:r="http://schemas.openxmlformats.org/officeDocument/2006/relationships" r:embed="rId2"/>
        <a:stretch>
          <a:fillRect/>
        </a:stretch>
      </xdr:blipFill>
      <xdr:spPr>
        <a:xfrm>
          <a:off x="2743200" y="0"/>
          <a:ext cx="2447619" cy="4247619"/>
        </a:xfrm>
        <a:prstGeom prst="rect">
          <a:avLst/>
        </a:prstGeom>
      </xdr:spPr>
    </xdr:pic>
    <xdr:clientData/>
  </xdr:twoCellAnchor>
  <xdr:twoCellAnchor editAs="oneCell">
    <xdr:from>
      <xdr:col>8</xdr:col>
      <xdr:colOff>0</xdr:colOff>
      <xdr:row>0</xdr:row>
      <xdr:rowOff>0</xdr:rowOff>
    </xdr:from>
    <xdr:to>
      <xdr:col>11</xdr:col>
      <xdr:colOff>485457</xdr:colOff>
      <xdr:row>22</xdr:row>
      <xdr:rowOff>94767</xdr:rowOff>
    </xdr:to>
    <xdr:pic>
      <xdr:nvPicPr>
        <xdr:cNvPr id="7" name="图片 6"/>
        <xdr:cNvPicPr>
          <a:picLocks noChangeAspect="1"/>
        </xdr:cNvPicPr>
      </xdr:nvPicPr>
      <xdr:blipFill>
        <a:blip xmlns:r="http://schemas.openxmlformats.org/officeDocument/2006/relationships" r:embed="rId3"/>
        <a:stretch>
          <a:fillRect/>
        </a:stretch>
      </xdr:blipFill>
      <xdr:spPr>
        <a:xfrm>
          <a:off x="5486400" y="0"/>
          <a:ext cx="2542857" cy="3866667"/>
        </a:xfrm>
        <a:prstGeom prst="rect">
          <a:avLst/>
        </a:prstGeom>
      </xdr:spPr>
    </xdr:pic>
    <xdr:clientData/>
  </xdr:twoCellAnchor>
  <xdr:twoCellAnchor editAs="oneCell">
    <xdr:from>
      <xdr:col>0</xdr:col>
      <xdr:colOff>0</xdr:colOff>
      <xdr:row>25</xdr:row>
      <xdr:rowOff>0</xdr:rowOff>
    </xdr:from>
    <xdr:to>
      <xdr:col>3</xdr:col>
      <xdr:colOff>542600</xdr:colOff>
      <xdr:row>47</xdr:row>
      <xdr:rowOff>113815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286250"/>
          <a:ext cx="2600000" cy="3885715"/>
        </a:xfrm>
        <a:prstGeom prst="rect">
          <a:avLst/>
        </a:prstGeom>
      </xdr:spPr>
    </xdr:pic>
    <xdr:clientData/>
  </xdr:twoCellAnchor>
  <xdr:twoCellAnchor editAs="oneCell">
    <xdr:from>
      <xdr:col>4</xdr:col>
      <xdr:colOff>0</xdr:colOff>
      <xdr:row>25</xdr:row>
      <xdr:rowOff>0</xdr:rowOff>
    </xdr:from>
    <xdr:to>
      <xdr:col>7</xdr:col>
      <xdr:colOff>475934</xdr:colOff>
      <xdr:row>39</xdr:row>
      <xdr:rowOff>47319</xdr:rowOff>
    </xdr:to>
    <xdr:pic>
      <xdr:nvPicPr>
        <xdr:cNvPr id="9" name="图片 8"/>
        <xdr:cNvPicPr>
          <a:picLocks noChangeAspect="1"/>
        </xdr:cNvPicPr>
      </xdr:nvPicPr>
      <xdr:blipFill>
        <a:blip xmlns:r="http://schemas.openxmlformats.org/officeDocument/2006/relationships" r:embed="rId5"/>
        <a:stretch>
          <a:fillRect/>
        </a:stretch>
      </xdr:blipFill>
      <xdr:spPr>
        <a:xfrm>
          <a:off x="2743200" y="4286250"/>
          <a:ext cx="2533334" cy="2447619"/>
        </a:xfrm>
        <a:prstGeom prst="rect">
          <a:avLst/>
        </a:prstGeom>
      </xdr:spPr>
    </xdr:pic>
    <xdr:clientData/>
  </xdr:twoCellAnchor>
  <xdr:twoCellAnchor editAs="oneCell">
    <xdr:from>
      <xdr:col>8</xdr:col>
      <xdr:colOff>0</xdr:colOff>
      <xdr:row>25</xdr:row>
      <xdr:rowOff>0</xdr:rowOff>
    </xdr:from>
    <xdr:to>
      <xdr:col>11</xdr:col>
      <xdr:colOff>561648</xdr:colOff>
      <xdr:row>43</xdr:row>
      <xdr:rowOff>18662</xdr:rowOff>
    </xdr:to>
    <xdr:pic>
      <xdr:nvPicPr>
        <xdr:cNvPr id="10" name="图片 9"/>
        <xdr:cNvPicPr>
          <a:picLocks noChangeAspect="1"/>
        </xdr:cNvPicPr>
      </xdr:nvPicPr>
      <xdr:blipFill>
        <a:blip xmlns:r="http://schemas.openxmlformats.org/officeDocument/2006/relationships" r:embed="rId6"/>
        <a:stretch>
          <a:fillRect/>
        </a:stretch>
      </xdr:blipFill>
      <xdr:spPr>
        <a:xfrm>
          <a:off x="5486400" y="4286250"/>
          <a:ext cx="2619048" cy="3104762"/>
        </a:xfrm>
        <a:prstGeom prst="rect">
          <a:avLst/>
        </a:prstGeom>
      </xdr:spPr>
    </xdr:pic>
    <xdr:clientData/>
  </xdr:twoCellAnchor>
  <xdr:twoCellAnchor editAs="oneCell">
    <xdr:from>
      <xdr:col>12</xdr:col>
      <xdr:colOff>0</xdr:colOff>
      <xdr:row>25</xdr:row>
      <xdr:rowOff>0</xdr:rowOff>
    </xdr:from>
    <xdr:to>
      <xdr:col>15</xdr:col>
      <xdr:colOff>294981</xdr:colOff>
      <xdr:row>39</xdr:row>
      <xdr:rowOff>66367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4286250"/>
          <a:ext cx="2352381" cy="2466667"/>
        </a:xfrm>
        <a:prstGeom prst="rect">
          <a:avLst/>
        </a:prstGeom>
      </xdr:spPr>
    </xdr:pic>
    <xdr:clientData/>
  </xdr:twoCellAnchor>
  <xdr:twoCellAnchor editAs="oneCell">
    <xdr:from>
      <xdr:col>16</xdr:col>
      <xdr:colOff>0</xdr:colOff>
      <xdr:row>25</xdr:row>
      <xdr:rowOff>0</xdr:rowOff>
    </xdr:from>
    <xdr:to>
      <xdr:col>19</xdr:col>
      <xdr:colOff>552124</xdr:colOff>
      <xdr:row>38</xdr:row>
      <xdr:rowOff>171150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10972800" y="4286250"/>
          <a:ext cx="2609524"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3567;&#38215;&#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产证指标"/>
      <sheetName val="数据-汇总表"/>
      <sheetName val="数据-取费表"/>
      <sheetName val="估价对象房地状况"/>
      <sheetName val="系统读取表"/>
      <sheetName val="结果表"/>
      <sheetName val="成本法"/>
      <sheetName val="成本法 (元)"/>
      <sheetName val="假设开发法"/>
      <sheetName val="基准地价修正-商业"/>
      <sheetName val="基准地价修正-办公"/>
      <sheetName val="收益法（汇总）"/>
      <sheetName val="收益法-商业"/>
      <sheetName val="收益法 (元)"/>
      <sheetName val="收益法-酒店模型"/>
      <sheetName val="比较法-商业"/>
      <sheetName val="收益法-车位"/>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1"/>
      <sheetName val="Sheet2"/>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30969.080000000093</v>
          </cell>
          <cell r="D14">
            <v>22551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北京市石景山区秀府西街5号院12号楼房地产市场价值预评估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受贵公司委托，我公司对北京市石景山区秀府西街5号院12号楼房地产市场价值进行了预评估。</v>
      </c>
    </row>
    <row r="7" spans="1:2" s="1203" customFormat="1">
      <c r="A7" s="1201" t="s">
        <v>566</v>
      </c>
      <c r="B7" s="1202" t="str">
        <f>'预评函-1'!A7</f>
        <v>估价对象为北京市石景山区秀府西街5号院12号楼房地产，为北京景西房地产开发有限公司所有。根据《国有土地使用证》[]，估价对象（分摊）出让国有建设用地使用权面积为0平方米，建筑面积为18818.8平方米。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秀府西街5号院12号楼房地产,属北京景西房地产开发有限公司开发建设的办公项目，该项目尚在开发建设中。根据《国有土地使用证》[]，估价对象（分摊）出让国有建设用地使用权面积为0平方米，规划建筑面积为18818.8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2023年11月23日（评估专业人员实地查勘之日）</v>
      </c>
    </row>
    <row r="13" spans="1:2" s="1203" customFormat="1">
      <c r="A13" s="1201" t="s">
        <v>529</v>
      </c>
      <c r="B13" s="1202"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26835</v>
      </c>
    </row>
    <row r="21" spans="1:2" s="1203" customFormat="1">
      <c r="A21" s="1201" t="s">
        <v>537</v>
      </c>
      <c r="B21" s="1202">
        <f ca="1">'预评函-2'!D7</f>
        <v>14260</v>
      </c>
    </row>
    <row r="22" spans="1:2" s="1203" customFormat="1">
      <c r="A22" s="1201" t="s">
        <v>538</v>
      </c>
      <c r="B22" s="1202" t="str">
        <f ca="1">'预评函-2'!D6</f>
        <v>贰亿陆仟捌佰叁拾伍万元整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26835</v>
      </c>
    </row>
    <row r="31" spans="1:2" s="1203" customFormat="1">
      <c r="A31" s="1201" t="s">
        <v>576</v>
      </c>
      <c r="B31" s="1202">
        <f ca="1">'预评函-2'!D15</f>
        <v>14260</v>
      </c>
    </row>
    <row r="32" spans="1:2" s="1203" customFormat="1">
      <c r="A32" s="1201" t="s">
        <v>543</v>
      </c>
      <c r="B32" s="1202" t="str">
        <f ca="1">'预评函-2'!D14</f>
        <v>贰亿陆仟捌佰叁拾伍万元整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北京市石景山区秀府西街5号院12号楼房地产</v>
      </c>
    </row>
    <row r="42" spans="1:2" s="1203" customFormat="1">
      <c r="A42" s="1201" t="s">
        <v>590</v>
      </c>
      <c r="B42" s="1202" t="str">
        <f>'预评函-3'!B2</f>
        <v>建筑面积</v>
      </c>
    </row>
    <row r="43" spans="1:2" s="1203" customFormat="1">
      <c r="A43" s="1201" t="s">
        <v>591</v>
      </c>
      <c r="B43" s="1202">
        <f>'预评函-3'!B4</f>
        <v>18818.8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3543</v>
      </c>
      <c r="C19" s="1547"/>
    </row>
    <row r="20" spans="1:3">
      <c r="A20" s="1546" t="s">
        <v>1048</v>
      </c>
      <c r="B20" s="1546" t="s">
        <v>3545</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2" sqref="C5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31" t="s">
        <v>2576</v>
      </c>
      <c r="J2" s="3531"/>
      <c r="K2" s="3531"/>
      <c r="L2" s="3531"/>
      <c r="M2" s="3531"/>
      <c r="N2" s="3531"/>
      <c r="O2" s="3531"/>
      <c r="P2" s="3531"/>
      <c r="Q2" s="3531"/>
      <c r="R2" s="3531"/>
    </row>
    <row r="3" spans="1:18">
      <c r="A3" s="3017" t="s">
        <v>2497</v>
      </c>
      <c r="B3" s="3018">
        <f>项目基本情况!D3</f>
        <v>45253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3.07</v>
      </c>
      <c r="D5" s="3022">
        <f>IF(ISERROR(ROUND(POWER(1+E5,A5-C5)*(POWER(1+E5,C5)-1)/(POWER(1+E5,A5)-1),3)),0,ROUND(POWER(1+E5,A5-C5)*(POWER(1+E5,C5)-1)/(POWER(1+E5,A5)-1),4))</f>
        <v>0.14330000000000001</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13.08</v>
      </c>
      <c r="D6" s="3022">
        <f>IF(ISERROR(ROUND(POWER(1+E6,A6-C6)*(POWER(1+E6,C6)-1)/(POWER(1+E6,A6)-1),3)),0,ROUND(POWER(1+E6,A6-C6)*(POWER(1+E6,C6)-1)/(POWER(1+E6,A6)-1),4))</f>
        <v>0.46700000000000003</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57333</v>
      </c>
      <c r="C7" s="3020">
        <f>ROUNDDOWN(MIN((B7-B3)/365,A7),2)</f>
        <v>33.090000000000003</v>
      </c>
      <c r="D7" s="3022">
        <f>IF(ISERROR(ROUND(POWER(1+E7,A7-C7)*(POWER(1+E7,C7)-1)/(POWER(1+E7,A7)-1),3)),0,ROUND(POWER(1+E7,A7-C7)*(POWER(1+E7,C7)-1)/(POWER(1+E7,A7)-1),4))</f>
        <v>0.77680000000000005</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0" t="str">
        <f>IF(B10="北京市","北京市",C10)&amp;F10&amp;IF(结果表!G1="在建","出让国有建设用地使用权及在建建筑物",IF(结果表!G1="土地","出让国有建设用地使用权",))&amp;B9&amp;"预评估"</f>
        <v>北京市石景山区秀府西街5号院12号楼房地产市场价值预评估</v>
      </c>
      <c r="C1" s="3541"/>
      <c r="D1" s="3541"/>
      <c r="E1" s="3541"/>
      <c r="F1" s="3541"/>
      <c r="G1" s="3541"/>
      <c r="H1" s="3541"/>
      <c r="I1" s="354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北京市石景山区秀府西街5号院12号楼房地产市场价值</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北京市石景山区秀府西街5号院12号楼房地产</v>
      </c>
      <c r="T2" s="1745"/>
      <c r="U2" s="1745"/>
      <c r="V2" s="1745"/>
      <c r="W2" s="1745"/>
      <c r="X2" s="1745"/>
      <c r="Y2" s="1745"/>
      <c r="Z2" s="1745"/>
      <c r="AA2" s="1745"/>
      <c r="AB2" s="1745"/>
    </row>
    <row r="3" spans="1:30">
      <c r="A3" s="302" t="s">
        <v>2169</v>
      </c>
      <c r="B3" s="2373">
        <v>45253</v>
      </c>
      <c r="C3" s="2374" t="s">
        <v>2170</v>
      </c>
      <c r="D3" s="2373">
        <f>B3</f>
        <v>45253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3509</v>
      </c>
      <c r="C4" s="2376">
        <f ca="1">SUMIF(注册房地产估价师,B4,估价师及机构信息!B3:B24)</f>
        <v>1120100036</v>
      </c>
      <c r="D4" s="2375" t="s">
        <v>3510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43" t="s">
        <v>2176</v>
      </c>
      <c r="E8" s="2391"/>
      <c r="F8" s="2392"/>
      <c r="G8" s="2660"/>
      <c r="H8" s="2660"/>
      <c r="I8" s="2660"/>
      <c r="J8" s="2438"/>
      <c r="K8" s="2611"/>
      <c r="L8" s="2610"/>
      <c r="M8" s="2610"/>
      <c r="N8" s="2438"/>
      <c r="O8" s="2449"/>
      <c r="P8" s="2438"/>
      <c r="Q8" s="2438"/>
      <c r="R8" s="2438"/>
    </row>
    <row r="9" spans="1:30" ht="13.5" thickBot="1">
      <c r="A9" s="2393" t="s">
        <v>2177</v>
      </c>
      <c r="B9" s="2394" t="s">
        <v>3511</v>
      </c>
      <c r="C9" s="2395"/>
      <c r="D9" s="3544"/>
      <c r="E9" s="2394"/>
      <c r="F9" s="2396"/>
      <c r="G9" s="2662"/>
      <c r="H9" s="2662"/>
      <c r="I9" s="2662"/>
      <c r="J9" s="2438"/>
      <c r="K9" s="2613"/>
      <c r="L9" s="2610"/>
      <c r="M9" s="2610"/>
      <c r="N9" s="2438"/>
      <c r="O9" s="2449"/>
      <c r="P9" s="2438"/>
      <c r="Q9" s="2438"/>
      <c r="R9" s="2438"/>
    </row>
    <row r="10" spans="1:30" ht="13.5" thickTop="1">
      <c r="A10" s="2397" t="s">
        <v>2178</v>
      </c>
      <c r="B10" s="2398" t="s">
        <v>3512</v>
      </c>
      <c r="C10" s="2399"/>
      <c r="D10" s="2382"/>
      <c r="E10" s="2400" t="s">
        <v>2179</v>
      </c>
      <c r="F10" s="2663" t="s">
        <v>3513</v>
      </c>
      <c r="G10" s="2664"/>
      <c r="H10" s="2665"/>
      <c r="I10" s="2666"/>
      <c r="J10" s="2438"/>
      <c r="K10" s="2613"/>
      <c r="L10" s="2610"/>
      <c r="M10" s="2610"/>
      <c r="N10" s="2438"/>
      <c r="O10" s="2449"/>
      <c r="P10" s="2438"/>
      <c r="Q10" s="2438"/>
      <c r="R10" s="2438"/>
    </row>
    <row r="11" spans="1:30" ht="36">
      <c r="A11" s="2401" t="s">
        <v>2180</v>
      </c>
      <c r="B11" s="2402" t="s">
        <v>3514</v>
      </c>
      <c r="C11" s="3477" t="s">
        <v>3515</v>
      </c>
      <c r="D11" s="2403"/>
      <c r="E11" s="2370"/>
      <c r="F11" s="2370"/>
      <c r="G11" s="2370"/>
      <c r="H11" s="2370"/>
      <c r="I11" s="2370"/>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2572</v>
      </c>
      <c r="J12" s="3059"/>
      <c r="K12" s="2610"/>
      <c r="L12" s="2610"/>
      <c r="M12" s="2438"/>
      <c r="N12" s="2449"/>
      <c r="O12" s="2438"/>
      <c r="P12" s="2438"/>
      <c r="Q12" s="2438"/>
      <c r="AD12" s="1745"/>
    </row>
    <row r="13" spans="1:30">
      <c r="A13" s="3420" t="s">
        <v>3328</v>
      </c>
      <c r="B13" s="2406" t="s">
        <v>2189</v>
      </c>
      <c r="C13" s="856"/>
      <c r="D13" s="856">
        <v>57696</v>
      </c>
      <c r="E13" s="856">
        <v>61348</v>
      </c>
      <c r="F13" s="856"/>
      <c r="G13" s="856"/>
      <c r="H13" s="856"/>
      <c r="I13" s="856"/>
      <c r="J13" s="3059"/>
      <c r="K13" s="2610"/>
      <c r="L13" s="2610"/>
      <c r="M13" s="2438"/>
      <c r="N13" s="2449"/>
      <c r="O13" s="2438"/>
      <c r="P13" s="2438"/>
      <c r="Q13" s="2438"/>
      <c r="AD13" s="1745"/>
    </row>
    <row r="14" spans="1:30">
      <c r="A14" s="1081"/>
      <c r="B14" s="2406" t="s">
        <v>2190</v>
      </c>
      <c r="C14" s="2407"/>
      <c r="D14" s="2407">
        <v>40</v>
      </c>
      <c r="E14" s="3482">
        <v>50</v>
      </c>
      <c r="F14" s="2407"/>
      <c r="G14" s="2407"/>
      <c r="H14" s="2407"/>
      <c r="I14" s="2407"/>
      <c r="J14" s="3060"/>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34.090000000000003</v>
      </c>
      <c r="E15" s="2409">
        <f>IF(A13="出让",IF(E13="","",ROUNDDOWN(MIN((E13-$D$3)/365,E14),2)),E14)</f>
        <v>44.09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2192</v>
      </c>
      <c r="B16" s="3550"/>
      <c r="C16" s="3551"/>
      <c r="D16" s="3552"/>
      <c r="E16" s="2412" t="s">
        <v>2193</v>
      </c>
      <c r="F16" s="3553"/>
      <c r="G16" s="3554"/>
      <c r="H16" s="3554"/>
      <c r="I16" s="3555"/>
      <c r="J16" s="2438"/>
      <c r="K16" s="2614"/>
      <c r="L16" s="2450"/>
      <c r="M16" s="2450"/>
      <c r="N16" s="2506"/>
      <c r="O16" s="2450"/>
      <c r="P16" s="2506"/>
      <c r="Q16" s="2438"/>
      <c r="R16" s="2438"/>
    </row>
    <row r="17" spans="1:28">
      <c r="A17" s="313" t="s">
        <v>2194</v>
      </c>
      <c r="B17" s="302" t="s">
        <v>2195</v>
      </c>
      <c r="C17" s="8">
        <f>'数据-汇总表'!E3</f>
        <v>18818.8</v>
      </c>
      <c r="D17" s="2322" t="s">
        <v>2196</v>
      </c>
      <c r="E17" s="3556" t="s">
        <v>2197</v>
      </c>
      <c r="F17" s="3557"/>
      <c r="G17" s="3557"/>
      <c r="H17" s="3557"/>
      <c r="I17" s="3558"/>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0</v>
      </c>
      <c r="D18" s="1092" t="s">
        <v>2200</v>
      </c>
      <c r="E18" s="3559" t="s">
        <v>2201</v>
      </c>
      <c r="F18" s="3560"/>
      <c r="G18" s="3560"/>
      <c r="H18" s="3560"/>
      <c r="I18" s="3561"/>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46" t="s">
        <v>2205</v>
      </c>
      <c r="C20" s="3547"/>
      <c r="D20" s="3548" t="s">
        <v>2206</v>
      </c>
      <c r="E20" s="3549"/>
      <c r="F20" s="2644" t="s">
        <v>1056</v>
      </c>
      <c r="G20" s="2661"/>
      <c r="H20" s="2661"/>
      <c r="I20" s="2661"/>
      <c r="J20" s="2438"/>
      <c r="K20" s="3545"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9"/>
      <c r="B21" s="2630" t="s">
        <v>3516</v>
      </c>
      <c r="C21" s="2631" t="s">
        <v>1057</v>
      </c>
      <c r="D21" s="1568"/>
      <c r="E21" s="2632"/>
      <c r="F21" s="2645"/>
      <c r="G21" s="2661"/>
      <c r="H21" s="2661"/>
      <c r="I21" s="2661"/>
      <c r="J21" s="2438"/>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2208</v>
      </c>
      <c r="B23" s="2499" t="s">
        <v>2209</v>
      </c>
      <c r="C23" s="2635"/>
      <c r="D23" s="2636" t="s">
        <v>2209</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33" t="s">
        <v>2210</v>
      </c>
      <c r="B27" s="320" t="s">
        <v>2211</v>
      </c>
      <c r="C27" s="2415" t="s">
        <v>3517</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3"/>
      <c r="B28" s="302" t="s">
        <v>2212</v>
      </c>
      <c r="C28" s="2417" t="s">
        <v>3518</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3"/>
      <c r="B29" s="302" t="s">
        <v>2213</v>
      </c>
      <c r="C29" s="2419" t="s">
        <v>3519</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4"/>
      <c r="B30" s="302" t="s">
        <v>2214</v>
      </c>
      <c r="C30" s="3535"/>
      <c r="D30" s="3536"/>
      <c r="E30" s="2661"/>
      <c r="F30" s="2661"/>
      <c r="G30" s="2661"/>
      <c r="H30" s="2661"/>
      <c r="I30" s="2661"/>
      <c r="J30" s="2438"/>
      <c r="K30" s="2613"/>
      <c r="L30" s="2610"/>
      <c r="M30" s="2610"/>
      <c r="N30" s="2438"/>
      <c r="O30" s="2449"/>
      <c r="P30" s="2438"/>
      <c r="Q30" s="2438"/>
      <c r="R30" s="2438"/>
      <c r="S30" s="2438"/>
      <c r="T30" s="2438"/>
      <c r="U30" s="2438"/>
      <c r="V30" s="2438"/>
    </row>
    <row r="31" spans="1:28">
      <c r="A31" s="3537" t="s">
        <v>2215</v>
      </c>
      <c r="B31" s="2421" t="s">
        <v>3520</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3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3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2216</v>
      </c>
      <c r="B34" s="2026" t="s">
        <v>3521</v>
      </c>
      <c r="C34" s="2026" t="s">
        <v>3522</v>
      </c>
      <c r="D34" s="2026" t="s">
        <v>3523</v>
      </c>
      <c r="E34" s="2026" t="s">
        <v>3524</v>
      </c>
      <c r="F34" s="2026" t="s">
        <v>3525</v>
      </c>
      <c r="G34" s="2026" t="s">
        <v>3526</v>
      </c>
      <c r="H34" s="2026" t="s">
        <v>3527</v>
      </c>
      <c r="I34" s="2661"/>
      <c r="J34" s="2438"/>
      <c r="K34" s="2426">
        <f>COUNTIF(B34:H34,"——")</f>
        <v>0</v>
      </c>
      <c r="L34" s="323" t="s">
        <v>2217</v>
      </c>
      <c r="M34" s="323" t="s">
        <v>2218</v>
      </c>
      <c r="N34" s="323" t="s">
        <v>2219</v>
      </c>
      <c r="O34" s="323" t="s">
        <v>2220</v>
      </c>
      <c r="P34" s="323" t="s">
        <v>2221</v>
      </c>
      <c r="Q34" s="323" t="s">
        <v>2222</v>
      </c>
      <c r="R34" s="323" t="s">
        <v>2223</v>
      </c>
      <c r="S34" s="3532" t="s">
        <v>2224</v>
      </c>
      <c r="T34" s="2427" t="str">
        <f>NUMBERSTRING(7-K34,1)&amp;"通"</f>
        <v>七通</v>
      </c>
      <c r="U34" s="2438"/>
      <c r="V34" s="2438"/>
    </row>
    <row r="35" spans="1:30">
      <c r="A35" s="2428"/>
      <c r="B35" s="3539" t="s">
        <v>2225</v>
      </c>
      <c r="C35" s="3539"/>
      <c r="D35" s="3539"/>
      <c r="E35" s="3539"/>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2"/>
      <c r="T35" s="329" t="str">
        <f>IF(T34="一通",L35,IF(T34="二通",M35,IF(T34="三通",N35,IF(T34="四通",O35,IF(T34="五通",P35,IF(T34="六通",Q35,R35))))))</f>
        <v>通路、通电、通讯、通上水、通下水、通热、燃气</v>
      </c>
      <c r="U35" s="2438"/>
      <c r="V35" s="2438"/>
    </row>
    <row r="36" spans="1:30">
      <c r="A36" s="2429"/>
      <c r="B36" s="664" t="s">
        <v>2184</v>
      </c>
      <c r="C36" s="664" t="s">
        <v>2185</v>
      </c>
      <c r="D36" s="664" t="s">
        <v>2183</v>
      </c>
      <c r="E36" s="664" t="s">
        <v>2188</v>
      </c>
      <c r="F36" s="3062" t="s">
        <v>2575</v>
      </c>
      <c r="G36" s="2661"/>
      <c r="H36" s="2661"/>
      <c r="I36" s="2661"/>
      <c r="J36" s="2438"/>
      <c r="K36" s="2613"/>
      <c r="L36" s="2610"/>
      <c r="M36" s="2610"/>
      <c r="N36" s="2438"/>
      <c r="O36" s="2449"/>
      <c r="P36" s="2438"/>
      <c r="Q36" s="2438"/>
      <c r="R36" s="2438"/>
      <c r="S36" s="2438"/>
      <c r="T36" s="2438"/>
      <c r="U36" s="2438"/>
      <c r="V36" s="2438"/>
    </row>
    <row r="37" spans="1:30">
      <c r="A37" s="2627" t="s">
        <v>2226</v>
      </c>
      <c r="B37" s="2430" t="s">
        <v>305</v>
      </c>
      <c r="C37" s="2430" t="s">
        <v>305</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2227</v>
      </c>
      <c r="B38" s="2431" t="s">
        <v>152</v>
      </c>
      <c r="C38" s="2431" t="s">
        <v>152</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2229</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3" t="s">
        <v>2239</v>
      </c>
      <c r="K42" s="2624" t="s">
        <v>2240</v>
      </c>
      <c r="L42" s="2624" t="s">
        <v>2241</v>
      </c>
      <c r="M42" s="2624" t="s">
        <v>2242</v>
      </c>
      <c r="N42" s="2617" t="s">
        <v>2243</v>
      </c>
      <c r="O42" s="2617" t="s">
        <v>2244</v>
      </c>
      <c r="P42" s="2617" t="s">
        <v>2245</v>
      </c>
      <c r="Q42" s="2618" t="s">
        <v>2246</v>
      </c>
      <c r="R42" s="2618"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18818.8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18818.8</v>
      </c>
      <c r="H5" s="13">
        <f t="shared" ref="H5:AT5" si="0">SUM(H13:H656)</f>
        <v>17509.599999999999</v>
      </c>
      <c r="I5" s="13">
        <f t="shared" si="0"/>
        <v>10595.97</v>
      </c>
      <c r="J5" s="13">
        <f t="shared" si="0"/>
        <v>0</v>
      </c>
      <c r="K5" s="13">
        <f t="shared" si="0"/>
        <v>6913.630000000001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1309.1999999999998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1309.1999999999998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18818.8</v>
      </c>
      <c r="BA5" s="15">
        <f t="shared" si="1"/>
        <v>17509.599999999999</v>
      </c>
      <c r="BB5" s="15">
        <f t="shared" si="1"/>
        <v>10595.97</v>
      </c>
      <c r="BC5" s="15">
        <f t="shared" si="1"/>
        <v>6913.630000000001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1309.1999999999998</v>
      </c>
      <c r="BM5" s="15">
        <f t="shared" si="1"/>
        <v>0</v>
      </c>
      <c r="BN5" s="15">
        <f t="shared" si="1"/>
        <v>0</v>
      </c>
      <c r="BO5" s="15">
        <f t="shared" si="1"/>
        <v>0</v>
      </c>
      <c r="BP5" s="15">
        <f t="shared" si="1"/>
        <v>0</v>
      </c>
      <c r="BQ5" s="15">
        <f t="shared" si="1"/>
        <v>1309.1999999999998</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3530</v>
      </c>
      <c r="J9" s="809"/>
      <c r="K9" s="1603" t="s">
        <v>3530</v>
      </c>
      <c r="L9" s="809"/>
      <c r="M9" s="1603" t="s">
        <v>3530</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3531</v>
      </c>
      <c r="J11" s="1615"/>
      <c r="K11" s="1614" t="s">
        <v>3532</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tr">
        <f>产证指标!D2</f>
        <v>菜市场</v>
      </c>
      <c r="C13" s="1051">
        <f>产证指标!A2</f>
        <v>101</v>
      </c>
      <c r="D13" s="1625" t="s">
        <v>3533</v>
      </c>
      <c r="E13" s="13">
        <f>IF($C$3="是",ROUND($A$3*G13/$B$3,2),ROUND($A$3*(G13-AT13)/$B$3,2))</f>
        <v>0</v>
      </c>
      <c r="F13" s="29"/>
      <c r="G13" s="30">
        <f>H13+AC13+AT13</f>
        <v>332.9</v>
      </c>
      <c r="H13" s="17">
        <f>SUMIF(I$12:AB$12,"总值",I13:AB13)</f>
        <v>0</v>
      </c>
      <c r="I13" s="1626">
        <v>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332.9</v>
      </c>
      <c r="AD13" s="1627"/>
      <c r="AE13" s="1627"/>
      <c r="AF13" s="1627"/>
      <c r="AG13" s="1627"/>
      <c r="AH13" s="1627"/>
      <c r="AI13" s="1627"/>
      <c r="AJ13" s="1627"/>
      <c r="AK13" s="1627"/>
      <c r="AL13" s="1627">
        <f>产证指标!B2</f>
        <v>332.9</v>
      </c>
      <c r="AM13" s="1627"/>
      <c r="AN13" s="1627"/>
      <c r="AO13" s="1627"/>
      <c r="AP13" s="1627"/>
      <c r="AQ13" s="1627"/>
      <c r="AR13" s="1627"/>
      <c r="AS13" s="1627"/>
      <c r="AT13" s="1628"/>
      <c r="AU13" s="1629"/>
      <c r="AV13" s="8">
        <f t="shared" ref="AV13:AX17" si="6">A13</f>
        <v>0</v>
      </c>
      <c r="AW13" s="8" t="str">
        <f t="shared" si="6"/>
        <v>菜市场</v>
      </c>
      <c r="AX13" s="8">
        <f t="shared" si="6"/>
        <v>101</v>
      </c>
      <c r="AY13" s="1349">
        <f>ROUND($AY$6*AZ13/$AZ$5,2)</f>
        <v>0</v>
      </c>
      <c r="AZ13" s="13">
        <f>BA13+BL13</f>
        <v>332.9</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332.9</v>
      </c>
      <c r="BM13" s="13">
        <f>IF($D13="是",AD13-AE13,0)</f>
        <v>0</v>
      </c>
      <c r="BN13" s="13">
        <f>IF($D13="是",AF13-AG13,0)</f>
        <v>0</v>
      </c>
      <c r="BO13" s="13">
        <f>IF($D13="是",AH13-AI13,0)</f>
        <v>0</v>
      </c>
      <c r="BP13" s="13">
        <f>IF($D13="是",AJ13-AK13,0)</f>
        <v>0</v>
      </c>
      <c r="BQ13" s="13">
        <f>IF($D13="是",AL13-AM13,0)</f>
        <v>332.9</v>
      </c>
      <c r="BR13" s="13">
        <f>IF($D13="是",AN13-AO13,0)</f>
        <v>0</v>
      </c>
      <c r="BS13" s="13">
        <f>IF($D13="是",AP13-AQ13,0)</f>
        <v>0</v>
      </c>
      <c r="BT13" s="19">
        <f>IF($D13="是",AR13-AS13,0)</f>
        <v>0</v>
      </c>
    </row>
    <row r="14" spans="1:72" s="1579" customFormat="1" ht="25.5">
      <c r="A14" s="1051"/>
      <c r="B14" s="1051" t="str">
        <f>产证指标!D3</f>
        <v>再生资源回收站</v>
      </c>
      <c r="C14" s="1051">
        <f>产证指标!A3</f>
        <v>102</v>
      </c>
      <c r="D14" s="1625" t="s">
        <v>3533</v>
      </c>
      <c r="E14" s="13">
        <f>IF($C$3="是",ROUND($A$3*G14/$B$3,2),ROUND($A$3*(G14-AT14)/$B$3,2))</f>
        <v>0</v>
      </c>
      <c r="F14" s="29"/>
      <c r="G14" s="30">
        <f>H14+AC14+AT14</f>
        <v>32.44</v>
      </c>
      <c r="H14" s="17">
        <f>SUMIF(I$12:AB$12,"总值",I14:AB14)</f>
        <v>0</v>
      </c>
      <c r="I14" s="1626">
        <v>0</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32.44</v>
      </c>
      <c r="AD14" s="1627"/>
      <c r="AE14" s="1627"/>
      <c r="AF14" s="1627"/>
      <c r="AG14" s="1627"/>
      <c r="AH14" s="1627"/>
      <c r="AI14" s="1627"/>
      <c r="AJ14" s="1627"/>
      <c r="AK14" s="1627"/>
      <c r="AL14" s="1627">
        <f>产证指标!B3</f>
        <v>32.44</v>
      </c>
      <c r="AM14" s="1627"/>
      <c r="AN14" s="1627"/>
      <c r="AO14" s="1627"/>
      <c r="AP14" s="1627"/>
      <c r="AQ14" s="1627"/>
      <c r="AR14" s="1627"/>
      <c r="AS14" s="1627"/>
      <c r="AT14" s="1628"/>
      <c r="AU14" s="1629"/>
      <c r="AV14" s="8">
        <f t="shared" si="6"/>
        <v>0</v>
      </c>
      <c r="AW14" s="8" t="str">
        <f t="shared" si="6"/>
        <v>再生资源回收站</v>
      </c>
      <c r="AX14" s="8">
        <f t="shared" si="6"/>
        <v>102</v>
      </c>
      <c r="AY14" s="1349">
        <f>ROUND($AY$6*AZ14/$AZ$5,2)</f>
        <v>0</v>
      </c>
      <c r="AZ14" s="13">
        <f>BA14+BL14</f>
        <v>32.44</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32.44</v>
      </c>
      <c r="BM14" s="13">
        <f>IF($D14="是",AD14-AE14,0)</f>
        <v>0</v>
      </c>
      <c r="BN14" s="13">
        <f>IF($D14="是",AF14-AG14,0)</f>
        <v>0</v>
      </c>
      <c r="BO14" s="13">
        <f>IF($D14="是",AH14-AI14,0)</f>
        <v>0</v>
      </c>
      <c r="BP14" s="13">
        <f>IF($D14="是",AJ14-AK14,0)</f>
        <v>0</v>
      </c>
      <c r="BQ14" s="13">
        <f>IF($D14="是",AL14-AM14,0)</f>
        <v>32.44</v>
      </c>
      <c r="BR14" s="13">
        <f>IF($D14="是",AN14-AO14,0)</f>
        <v>0</v>
      </c>
      <c r="BS14" s="13">
        <f>IF($D14="是",AP14-AQ14,0)</f>
        <v>0</v>
      </c>
      <c r="BT14" s="19">
        <f>IF($D14="是",AR14-AS14,0)</f>
        <v>0</v>
      </c>
    </row>
    <row r="15" spans="1:72" s="1579" customFormat="1" ht="12.75">
      <c r="A15" s="1051"/>
      <c r="B15" s="1051" t="str">
        <f>产证指标!D4</f>
        <v>电信局</v>
      </c>
      <c r="C15" s="1051">
        <f>产证指标!A4</f>
        <v>104</v>
      </c>
      <c r="D15" s="1625" t="s">
        <v>3533</v>
      </c>
      <c r="E15" s="13">
        <f>IF($C$3="是",ROUND($A$3*G15/$B$3,2),ROUND($A$3*(G15-AT15)/$B$3,2))</f>
        <v>0</v>
      </c>
      <c r="F15" s="29"/>
      <c r="G15" s="30">
        <f>H15+AC15+AT15</f>
        <v>221.49</v>
      </c>
      <c r="H15" s="17">
        <f>SUMIF(I$12:AB$12,"总值",I15:AB15)</f>
        <v>0</v>
      </c>
      <c r="I15" s="1626">
        <v>0</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221.49</v>
      </c>
      <c r="AD15" s="1627"/>
      <c r="AE15" s="1627"/>
      <c r="AF15" s="1627"/>
      <c r="AG15" s="1627"/>
      <c r="AH15" s="1627"/>
      <c r="AI15" s="1627"/>
      <c r="AJ15" s="1627"/>
      <c r="AK15" s="1627"/>
      <c r="AL15" s="1627">
        <f>产证指标!B4</f>
        <v>221.49</v>
      </c>
      <c r="AM15" s="1627"/>
      <c r="AN15" s="1627"/>
      <c r="AO15" s="1627"/>
      <c r="AP15" s="1627"/>
      <c r="AQ15" s="1627"/>
      <c r="AR15" s="1627"/>
      <c r="AS15" s="1627"/>
      <c r="AT15" s="1628"/>
      <c r="AU15" s="1629"/>
      <c r="AV15" s="8">
        <f t="shared" si="6"/>
        <v>0</v>
      </c>
      <c r="AW15" s="8" t="str">
        <f t="shared" si="6"/>
        <v>电信局</v>
      </c>
      <c r="AX15" s="8">
        <f t="shared" si="6"/>
        <v>104</v>
      </c>
      <c r="AY15" s="1349">
        <f>ROUND($AY$6*AZ15/$AZ$5,2)</f>
        <v>0</v>
      </c>
      <c r="AZ15" s="13">
        <f>BA15+BL15</f>
        <v>221.49</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221.49</v>
      </c>
      <c r="BM15" s="13">
        <f>IF($D15="是",AD15-AE15,0)</f>
        <v>0</v>
      </c>
      <c r="BN15" s="13">
        <f>IF($D15="是",AF15-AG15,0)</f>
        <v>0</v>
      </c>
      <c r="BO15" s="13">
        <f>IF($D15="是",AH15-AI15,0)</f>
        <v>0</v>
      </c>
      <c r="BP15" s="13">
        <f>IF($D15="是",AJ15-AK15,0)</f>
        <v>0</v>
      </c>
      <c r="BQ15" s="13">
        <f>IF($D15="是",AL15-AM15,0)</f>
        <v>221.49</v>
      </c>
      <c r="BR15" s="13">
        <f>IF($D15="是",AN15-AO15,0)</f>
        <v>0</v>
      </c>
      <c r="BS15" s="13">
        <f>IF($D15="是",AP15-AQ15,0)</f>
        <v>0</v>
      </c>
      <c r="BT15" s="19">
        <f>IF($D15="是",AR15-AS15,0)</f>
        <v>0</v>
      </c>
    </row>
    <row r="16" spans="1:72" s="1579" customFormat="1" ht="12.75">
      <c r="A16" s="1051"/>
      <c r="B16" s="1051" t="str">
        <f>产证指标!D5</f>
        <v>小型商服</v>
      </c>
      <c r="C16" s="1051">
        <f>产证指标!A5</f>
        <v>105</v>
      </c>
      <c r="D16" s="1625" t="s">
        <v>3533</v>
      </c>
      <c r="E16" s="13">
        <f>IF($C$3="是",ROUND($A$3*G16/$B$3,2),ROUND($A$3*(G16-AT16)/$B$3,2))</f>
        <v>0</v>
      </c>
      <c r="F16" s="29"/>
      <c r="G16" s="30">
        <f>H16+AC16+AT16</f>
        <v>81.62</v>
      </c>
      <c r="H16" s="17">
        <f>SUMIF(I$12:AB$12,"总值",I16:AB16)</f>
        <v>0</v>
      </c>
      <c r="I16" s="1626">
        <v>0</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81.62</v>
      </c>
      <c r="AD16" s="1627"/>
      <c r="AE16" s="1627"/>
      <c r="AF16" s="1627"/>
      <c r="AG16" s="1627"/>
      <c r="AH16" s="1627"/>
      <c r="AI16" s="1627"/>
      <c r="AJ16" s="1627"/>
      <c r="AK16" s="1627"/>
      <c r="AL16" s="1627">
        <f>产证指标!B5</f>
        <v>81.62</v>
      </c>
      <c r="AM16" s="1627"/>
      <c r="AN16" s="1627"/>
      <c r="AO16" s="1627"/>
      <c r="AP16" s="1627"/>
      <c r="AQ16" s="1627"/>
      <c r="AR16" s="1627"/>
      <c r="AS16" s="1627"/>
      <c r="AT16" s="1628"/>
      <c r="AU16" s="1629"/>
      <c r="AV16" s="8">
        <f t="shared" si="6"/>
        <v>0</v>
      </c>
      <c r="AW16" s="8" t="str">
        <f t="shared" si="6"/>
        <v>小型商服</v>
      </c>
      <c r="AX16" s="8">
        <f t="shared" si="6"/>
        <v>105</v>
      </c>
      <c r="AY16" s="1349">
        <f>ROUND($AY$6*AZ16/$AZ$5,2)</f>
        <v>0</v>
      </c>
      <c r="AZ16" s="13">
        <f>BA16+BL16</f>
        <v>81.62</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81.62</v>
      </c>
      <c r="BM16" s="13">
        <f>IF($D16="是",AD16-AE16,0)</f>
        <v>0</v>
      </c>
      <c r="BN16" s="13">
        <f>IF($D16="是",AF16-AG16,0)</f>
        <v>0</v>
      </c>
      <c r="BO16" s="13">
        <f>IF($D16="是",AH16-AI16,0)</f>
        <v>0</v>
      </c>
      <c r="BP16" s="13">
        <f>IF($D16="是",AJ16-AK16,0)</f>
        <v>0</v>
      </c>
      <c r="BQ16" s="13">
        <f>IF($D16="是",AL16-AM16,0)</f>
        <v>81.62</v>
      </c>
      <c r="BR16" s="13">
        <f>IF($D16="是",AN16-AO16,0)</f>
        <v>0</v>
      </c>
      <c r="BS16" s="13">
        <f>IF($D16="是",AP16-AQ16,0)</f>
        <v>0</v>
      </c>
      <c r="BT16" s="19">
        <f>IF($D16="是",AR16-AS16,0)</f>
        <v>0</v>
      </c>
    </row>
    <row r="17" spans="1:72" s="1579" customFormat="1" ht="12.75">
      <c r="A17" s="1051"/>
      <c r="B17" s="1051" t="str">
        <f>产证指标!D6</f>
        <v>商业</v>
      </c>
      <c r="C17" s="1051">
        <f>产证指标!A6</f>
        <v>106</v>
      </c>
      <c r="D17" s="1625" t="s">
        <v>3533</v>
      </c>
      <c r="E17" s="13">
        <f>IF($C$3="是",ROUND($A$3*G17/$B$3,2),ROUND($A$3*(G17-AT17)/$B$3,2))</f>
        <v>0</v>
      </c>
      <c r="F17" s="29"/>
      <c r="G17" s="30">
        <f>H17+AC17+AT17</f>
        <v>924.11</v>
      </c>
      <c r="H17" s="17">
        <f>SUMIF(I$12:AB$12,"总值",I17:AB17)</f>
        <v>924.11</v>
      </c>
      <c r="I17" s="1626">
        <f>产证指标!B6</f>
        <v>924.11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商业</v>
      </c>
      <c r="AX17" s="8">
        <f t="shared" si="6"/>
        <v>106</v>
      </c>
      <c r="AY17" s="1349">
        <f>ROUND($AY$6*AZ17/$AZ$5,2)</f>
        <v>0</v>
      </c>
      <c r="AZ17" s="13">
        <f>BA17+BL17</f>
        <v>924.11</v>
      </c>
      <c r="BA17" s="13">
        <f>SUM(BB17:BK17)</f>
        <v>924.11</v>
      </c>
      <c r="BB17" s="13">
        <f>IF($D17="是",I17-J17,0)</f>
        <v>924.11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t="str">
        <f>产证指标!D7</f>
        <v>商业</v>
      </c>
      <c r="C18" s="1051">
        <f>产证指标!A7</f>
        <v>201</v>
      </c>
      <c r="D18" s="1625" t="s">
        <v>3533</v>
      </c>
      <c r="E18" s="32">
        <f t="shared" ref="E18:E112" si="7">IF($C$3="是",ROUND($A$3*G18/$B$3,2),ROUND($A$3*(G18-AT18)/$B$3,2))</f>
        <v>0</v>
      </c>
      <c r="F18" s="33"/>
      <c r="G18" s="34">
        <f t="shared" ref="G18:G109" si="8">H18+AC18+AT18</f>
        <v>872.05</v>
      </c>
      <c r="H18" s="35">
        <f t="shared" ref="H18:H109" si="9">SUMIF(I$12:AB$12,"总值",I18:AB18)</f>
        <v>872.05</v>
      </c>
      <c r="I18" s="1626">
        <f>产证指标!B7</f>
        <v>872.05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商业</v>
      </c>
      <c r="AX18" s="1343">
        <f t="shared" ref="AX18:AX112" si="13">C18</f>
        <v>201</v>
      </c>
      <c r="AY18" s="39">
        <f t="shared" ref="AY18:AY109" si="14">ROUND($AY$6*AZ18/$AZ$5,2)</f>
        <v>0</v>
      </c>
      <c r="AZ18" s="32">
        <f t="shared" ref="AZ18:AZ109" si="15">BA18+BL18</f>
        <v>872.05</v>
      </c>
      <c r="BA18" s="32">
        <f t="shared" ref="BA18:BA109" si="16">SUM(BB18:BK18)</f>
        <v>872.05</v>
      </c>
      <c r="BB18" s="32">
        <f t="shared" ref="BB18:BB109" si="17">IF($D18="是",I18-J18,0)</f>
        <v>872.05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t="str">
        <f>产证指标!D8</f>
        <v>商业</v>
      </c>
      <c r="C19" s="1051">
        <f>产证指标!A8</f>
        <v>202</v>
      </c>
      <c r="D19" s="1625" t="s">
        <v>3533</v>
      </c>
      <c r="E19" s="32">
        <f t="shared" si="7"/>
        <v>0</v>
      </c>
      <c r="F19" s="33"/>
      <c r="G19" s="34">
        <f t="shared" si="8"/>
        <v>912.74</v>
      </c>
      <c r="H19" s="35">
        <f t="shared" si="9"/>
        <v>912.74</v>
      </c>
      <c r="I19" s="1626">
        <f>产证指标!B8</f>
        <v>912.74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商业</v>
      </c>
      <c r="AX19" s="1343">
        <f t="shared" si="13"/>
        <v>202</v>
      </c>
      <c r="AY19" s="39">
        <f t="shared" si="14"/>
        <v>0</v>
      </c>
      <c r="AZ19" s="32">
        <f t="shared" si="15"/>
        <v>912.74</v>
      </c>
      <c r="BA19" s="32">
        <f t="shared" si="16"/>
        <v>912.74</v>
      </c>
      <c r="BB19" s="32">
        <f t="shared" si="17"/>
        <v>912.74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1051" t="str">
        <f>产证指标!D9</f>
        <v>商业</v>
      </c>
      <c r="C20" s="1051">
        <f>产证指标!A9</f>
        <v>203</v>
      </c>
      <c r="D20" s="1625" t="s">
        <v>3533</v>
      </c>
      <c r="E20" s="32">
        <f t="shared" si="7"/>
        <v>0</v>
      </c>
      <c r="F20" s="33"/>
      <c r="G20" s="34">
        <f t="shared" si="8"/>
        <v>920.44</v>
      </c>
      <c r="H20" s="35">
        <f t="shared" si="9"/>
        <v>920.44</v>
      </c>
      <c r="I20" s="1626">
        <f>产证指标!B9</f>
        <v>920.44</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商业</v>
      </c>
      <c r="AX20" s="1343">
        <f t="shared" si="13"/>
        <v>203</v>
      </c>
      <c r="AY20" s="39">
        <f t="shared" si="14"/>
        <v>0</v>
      </c>
      <c r="AZ20" s="32">
        <f t="shared" si="15"/>
        <v>920.44</v>
      </c>
      <c r="BA20" s="32">
        <f t="shared" si="16"/>
        <v>920.44</v>
      </c>
      <c r="BB20" s="32">
        <f t="shared" si="17"/>
        <v>920.44</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t="str">
        <f>产证指标!D10</f>
        <v>商业</v>
      </c>
      <c r="C21" s="1051">
        <f>产证指标!A10</f>
        <v>204</v>
      </c>
      <c r="D21" s="1625" t="s">
        <v>3533</v>
      </c>
      <c r="E21" s="32">
        <f t="shared" si="7"/>
        <v>0</v>
      </c>
      <c r="F21" s="33"/>
      <c r="G21" s="34">
        <f t="shared" si="8"/>
        <v>833.86</v>
      </c>
      <c r="H21" s="35">
        <f t="shared" si="9"/>
        <v>833.86</v>
      </c>
      <c r="I21" s="1626">
        <f>产证指标!B10</f>
        <v>833.86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商业</v>
      </c>
      <c r="AX21" s="1343">
        <f t="shared" si="13"/>
        <v>204</v>
      </c>
      <c r="AY21" s="39">
        <f t="shared" si="14"/>
        <v>0</v>
      </c>
      <c r="AZ21" s="32">
        <f t="shared" si="15"/>
        <v>833.86</v>
      </c>
      <c r="BA21" s="32">
        <f t="shared" si="16"/>
        <v>833.86</v>
      </c>
      <c r="BB21" s="32">
        <f t="shared" si="17"/>
        <v>833.86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t="str">
        <f>产证指标!D11</f>
        <v>商业</v>
      </c>
      <c r="C22" s="1051">
        <f>产证指标!A11</f>
        <v>301</v>
      </c>
      <c r="D22" s="1625" t="s">
        <v>3533</v>
      </c>
      <c r="E22" s="32">
        <f t="shared" si="7"/>
        <v>0</v>
      </c>
      <c r="F22" s="33"/>
      <c r="G22" s="34">
        <f t="shared" si="8"/>
        <v>872.05</v>
      </c>
      <c r="H22" s="35">
        <f t="shared" si="9"/>
        <v>872.05</v>
      </c>
      <c r="I22" s="1626">
        <f>产证指标!B11</f>
        <v>872.05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商业</v>
      </c>
      <c r="AX22" s="1343">
        <f t="shared" si="13"/>
        <v>301</v>
      </c>
      <c r="AY22" s="39">
        <f t="shared" si="14"/>
        <v>0</v>
      </c>
      <c r="AZ22" s="32">
        <f t="shared" si="15"/>
        <v>872.05</v>
      </c>
      <c r="BA22" s="32">
        <f t="shared" si="16"/>
        <v>872.05</v>
      </c>
      <c r="BB22" s="32">
        <f t="shared" si="17"/>
        <v>872.05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t="str">
        <f>产证指标!D12</f>
        <v>商业</v>
      </c>
      <c r="C23" s="1051">
        <f>产证指标!A12</f>
        <v>302</v>
      </c>
      <c r="D23" s="1625" t="s">
        <v>3533</v>
      </c>
      <c r="E23" s="32">
        <f t="shared" si="7"/>
        <v>0</v>
      </c>
      <c r="F23" s="33"/>
      <c r="G23" s="34">
        <f t="shared" si="8"/>
        <v>846.4</v>
      </c>
      <c r="H23" s="35">
        <f t="shared" si="9"/>
        <v>846.4</v>
      </c>
      <c r="I23" s="1626">
        <f>产证指标!B12</f>
        <v>846.4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商业</v>
      </c>
      <c r="AX23" s="1343">
        <f t="shared" si="13"/>
        <v>302</v>
      </c>
      <c r="AY23" s="39">
        <f t="shared" si="14"/>
        <v>0</v>
      </c>
      <c r="AZ23" s="32">
        <f t="shared" si="15"/>
        <v>846.4</v>
      </c>
      <c r="BA23" s="32">
        <f t="shared" si="16"/>
        <v>846.4</v>
      </c>
      <c r="BB23" s="32">
        <f t="shared" si="17"/>
        <v>846.4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1051" t="str">
        <f>产证指标!D13</f>
        <v>商业</v>
      </c>
      <c r="C24" s="1051">
        <f>产证指标!A13</f>
        <v>303</v>
      </c>
      <c r="D24" s="1625" t="s">
        <v>3533</v>
      </c>
      <c r="E24" s="32">
        <f t="shared" si="7"/>
        <v>0</v>
      </c>
      <c r="F24" s="33"/>
      <c r="G24" s="34">
        <f t="shared" si="8"/>
        <v>920.44</v>
      </c>
      <c r="H24" s="35">
        <f t="shared" si="9"/>
        <v>920.44</v>
      </c>
      <c r="I24" s="1626">
        <f>产证指标!B13</f>
        <v>920.44</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商业</v>
      </c>
      <c r="AX24" s="1343">
        <f t="shared" si="13"/>
        <v>303</v>
      </c>
      <c r="AY24" s="39">
        <f t="shared" si="14"/>
        <v>0</v>
      </c>
      <c r="AZ24" s="32">
        <f t="shared" si="15"/>
        <v>920.44</v>
      </c>
      <c r="BA24" s="32">
        <f t="shared" si="16"/>
        <v>920.44</v>
      </c>
      <c r="BB24" s="32">
        <f t="shared" si="17"/>
        <v>920.44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1051" t="str">
        <f>产证指标!D14</f>
        <v>商业</v>
      </c>
      <c r="C25" s="1051">
        <f>产证指标!A14</f>
        <v>304</v>
      </c>
      <c r="D25" s="1625" t="s">
        <v>3533</v>
      </c>
      <c r="E25" s="32">
        <f t="shared" si="7"/>
        <v>0</v>
      </c>
      <c r="F25" s="33"/>
      <c r="G25" s="34">
        <f t="shared" si="8"/>
        <v>833.86</v>
      </c>
      <c r="H25" s="35">
        <f t="shared" si="9"/>
        <v>833.86</v>
      </c>
      <c r="I25" s="1626">
        <f>产证指标!B14</f>
        <v>833.86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商业</v>
      </c>
      <c r="AX25" s="1343">
        <f t="shared" si="13"/>
        <v>304</v>
      </c>
      <c r="AY25" s="39">
        <f t="shared" si="14"/>
        <v>0</v>
      </c>
      <c r="AZ25" s="32">
        <f t="shared" si="15"/>
        <v>833.86</v>
      </c>
      <c r="BA25" s="32">
        <f t="shared" si="16"/>
        <v>833.86</v>
      </c>
      <c r="BB25" s="32">
        <f t="shared" si="17"/>
        <v>833.86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1051" t="str">
        <f>产证指标!D15</f>
        <v>商业</v>
      </c>
      <c r="C26" s="1051">
        <f>产证指标!A15</f>
        <v>401</v>
      </c>
      <c r="D26" s="1625" t="s">
        <v>3533</v>
      </c>
      <c r="E26" s="32">
        <f t="shared" si="7"/>
        <v>0</v>
      </c>
      <c r="F26" s="33"/>
      <c r="G26" s="34">
        <f t="shared" si="8"/>
        <v>856.6</v>
      </c>
      <c r="H26" s="35">
        <f t="shared" si="9"/>
        <v>856.6</v>
      </c>
      <c r="I26" s="1626">
        <f>产证指标!B15</f>
        <v>856.6</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商业</v>
      </c>
      <c r="AX26" s="1343">
        <f t="shared" si="13"/>
        <v>401</v>
      </c>
      <c r="AY26" s="39">
        <f t="shared" si="14"/>
        <v>0</v>
      </c>
      <c r="AZ26" s="32">
        <f t="shared" si="15"/>
        <v>856.6</v>
      </c>
      <c r="BA26" s="32">
        <f t="shared" si="16"/>
        <v>856.6</v>
      </c>
      <c r="BB26" s="32">
        <f t="shared" si="17"/>
        <v>856.6</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1051" t="str">
        <f>产证指标!D16</f>
        <v>商业</v>
      </c>
      <c r="C27" s="1051">
        <f>产证指标!A16</f>
        <v>402</v>
      </c>
      <c r="D27" s="1625" t="s">
        <v>3533</v>
      </c>
      <c r="E27" s="32">
        <f t="shared" si="7"/>
        <v>0</v>
      </c>
      <c r="F27" s="33"/>
      <c r="G27" s="34">
        <f t="shared" si="8"/>
        <v>882.98</v>
      </c>
      <c r="H27" s="35">
        <f t="shared" si="9"/>
        <v>882.98</v>
      </c>
      <c r="I27" s="1626">
        <f>产证指标!B16</f>
        <v>882.98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商业</v>
      </c>
      <c r="AX27" s="1343">
        <f t="shared" si="13"/>
        <v>402</v>
      </c>
      <c r="AY27" s="39">
        <f t="shared" si="14"/>
        <v>0</v>
      </c>
      <c r="AZ27" s="32">
        <f t="shared" si="15"/>
        <v>882.98</v>
      </c>
      <c r="BA27" s="32">
        <f t="shared" si="16"/>
        <v>882.98</v>
      </c>
      <c r="BB27" s="32">
        <f t="shared" si="17"/>
        <v>882.98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1051" t="str">
        <f>产证指标!D17</f>
        <v>商业</v>
      </c>
      <c r="C28" s="1051">
        <f>产证指标!A17</f>
        <v>403</v>
      </c>
      <c r="D28" s="1625" t="s">
        <v>3533</v>
      </c>
      <c r="E28" s="32">
        <f t="shared" si="7"/>
        <v>0</v>
      </c>
      <c r="F28" s="33"/>
      <c r="G28" s="34">
        <f t="shared" si="8"/>
        <v>920.44</v>
      </c>
      <c r="H28" s="35">
        <f t="shared" si="9"/>
        <v>920.44</v>
      </c>
      <c r="I28" s="1626">
        <f>产证指标!B17</f>
        <v>920.44</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商业</v>
      </c>
      <c r="AX28" s="1343">
        <f t="shared" si="13"/>
        <v>403</v>
      </c>
      <c r="AY28" s="39">
        <f t="shared" si="14"/>
        <v>0</v>
      </c>
      <c r="AZ28" s="32">
        <f t="shared" si="15"/>
        <v>920.44</v>
      </c>
      <c r="BA28" s="32">
        <f t="shared" si="16"/>
        <v>920.44</v>
      </c>
      <c r="BB28" s="32">
        <f t="shared" si="17"/>
        <v>920.44</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28.5">
      <c r="A29" s="6"/>
      <c r="B29" s="1051" t="str">
        <f>产证指标!D18</f>
        <v>室内体育设施</v>
      </c>
      <c r="C29" s="1051">
        <f>产证指标!A18</f>
        <v>404</v>
      </c>
      <c r="D29" s="1625" t="s">
        <v>3533</v>
      </c>
      <c r="E29" s="32">
        <f t="shared" si="7"/>
        <v>0</v>
      </c>
      <c r="F29" s="33"/>
      <c r="G29" s="34">
        <f t="shared" si="8"/>
        <v>640.75</v>
      </c>
      <c r="H29" s="35">
        <f t="shared" si="9"/>
        <v>0</v>
      </c>
      <c r="I29" s="36"/>
      <c r="J29" s="36"/>
      <c r="K29" s="36">
        <v>0</v>
      </c>
      <c r="L29" s="36"/>
      <c r="M29" s="36"/>
      <c r="N29" s="36"/>
      <c r="O29" s="36"/>
      <c r="P29" s="36"/>
      <c r="Q29" s="36"/>
      <c r="R29" s="36"/>
      <c r="S29" s="36"/>
      <c r="T29" s="36"/>
      <c r="U29" s="36"/>
      <c r="V29" s="36"/>
      <c r="W29" s="36"/>
      <c r="X29" s="36"/>
      <c r="Y29" s="36"/>
      <c r="Z29" s="36"/>
      <c r="AA29" s="36"/>
      <c r="AB29" s="36"/>
      <c r="AC29" s="32">
        <f t="shared" si="10"/>
        <v>640.75</v>
      </c>
      <c r="AD29" s="37"/>
      <c r="AE29" s="37"/>
      <c r="AF29" s="37"/>
      <c r="AG29" s="37"/>
      <c r="AH29" s="37"/>
      <c r="AI29" s="37"/>
      <c r="AJ29" s="37"/>
      <c r="AK29" s="37"/>
      <c r="AL29" s="1627">
        <f>产证指标!B18</f>
        <v>640.75</v>
      </c>
      <c r="AM29" s="37"/>
      <c r="AN29" s="37"/>
      <c r="AO29" s="37"/>
      <c r="AP29" s="37"/>
      <c r="AQ29" s="37"/>
      <c r="AR29" s="37"/>
      <c r="AS29" s="37"/>
      <c r="AT29" s="38"/>
      <c r="AU29" s="1631"/>
      <c r="AV29" s="1343">
        <f t="shared" si="11"/>
        <v>0</v>
      </c>
      <c r="AW29" s="1343" t="str">
        <f t="shared" si="12"/>
        <v>室内体育设施</v>
      </c>
      <c r="AX29" s="1343">
        <f t="shared" si="13"/>
        <v>404</v>
      </c>
      <c r="AY29" s="39">
        <f t="shared" si="14"/>
        <v>0</v>
      </c>
      <c r="AZ29" s="32">
        <f t="shared" si="15"/>
        <v>640.75</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640.75</v>
      </c>
      <c r="BM29" s="32">
        <f t="shared" si="28"/>
        <v>0</v>
      </c>
      <c r="BN29" s="32">
        <f t="shared" si="29"/>
        <v>0</v>
      </c>
      <c r="BO29" s="32">
        <f t="shared" si="30"/>
        <v>0</v>
      </c>
      <c r="BP29" s="32">
        <f t="shared" si="31"/>
        <v>0</v>
      </c>
      <c r="BQ29" s="32">
        <f t="shared" si="32"/>
        <v>640.75</v>
      </c>
      <c r="BR29" s="32">
        <f t="shared" si="33"/>
        <v>0</v>
      </c>
      <c r="BS29" s="32">
        <f t="shared" si="34"/>
        <v>0</v>
      </c>
      <c r="BT29" s="40">
        <f t="shared" si="35"/>
        <v>0</v>
      </c>
    </row>
    <row r="30" spans="1:72">
      <c r="A30" s="6"/>
      <c r="B30" s="1051" t="str">
        <f>产证指标!D19</f>
        <v>办公</v>
      </c>
      <c r="C30" s="1051">
        <f>产证指标!A19</f>
        <v>501</v>
      </c>
      <c r="D30" s="1625" t="s">
        <v>3533</v>
      </c>
      <c r="E30" s="32">
        <f t="shared" si="7"/>
        <v>0</v>
      </c>
      <c r="F30" s="33"/>
      <c r="G30" s="34">
        <f t="shared" si="8"/>
        <v>664.45</v>
      </c>
      <c r="H30" s="35">
        <f t="shared" si="9"/>
        <v>664.45</v>
      </c>
      <c r="I30" s="36"/>
      <c r="J30" s="36"/>
      <c r="K30" s="36">
        <f>产证指标!B19</f>
        <v>664.45</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办公</v>
      </c>
      <c r="AX30" s="1343">
        <f t="shared" si="13"/>
        <v>501</v>
      </c>
      <c r="AY30" s="39">
        <f t="shared" si="14"/>
        <v>0</v>
      </c>
      <c r="AZ30" s="32">
        <f t="shared" si="15"/>
        <v>664.45</v>
      </c>
      <c r="BA30" s="32">
        <f t="shared" si="16"/>
        <v>664.45</v>
      </c>
      <c r="BB30" s="32">
        <f t="shared" si="17"/>
        <v>0</v>
      </c>
      <c r="BC30" s="32">
        <f t="shared" si="18"/>
        <v>664.45</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1051" t="str">
        <f>产证指标!D20</f>
        <v>办公</v>
      </c>
      <c r="C31" s="1051">
        <f>产证指标!A20</f>
        <v>502</v>
      </c>
      <c r="D31" s="1625" t="s">
        <v>3533</v>
      </c>
      <c r="E31" s="32">
        <f t="shared" si="7"/>
        <v>0</v>
      </c>
      <c r="F31" s="33"/>
      <c r="G31" s="34">
        <f t="shared" si="8"/>
        <v>746.1</v>
      </c>
      <c r="H31" s="35">
        <f t="shared" si="9"/>
        <v>746.1</v>
      </c>
      <c r="I31" s="36"/>
      <c r="J31" s="36"/>
      <c r="K31" s="36">
        <f>产证指标!B20</f>
        <v>746.1</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t="str">
        <f t="shared" si="12"/>
        <v>办公</v>
      </c>
      <c r="AX31" s="1343">
        <f t="shared" si="13"/>
        <v>502</v>
      </c>
      <c r="AY31" s="39">
        <f t="shared" si="14"/>
        <v>0</v>
      </c>
      <c r="AZ31" s="32">
        <f t="shared" si="15"/>
        <v>746.1</v>
      </c>
      <c r="BA31" s="32">
        <f t="shared" si="16"/>
        <v>746.1</v>
      </c>
      <c r="BB31" s="32">
        <f t="shared" si="17"/>
        <v>0</v>
      </c>
      <c r="BC31" s="32">
        <f t="shared" si="18"/>
        <v>746.1</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1051" t="str">
        <f>产证指标!D21</f>
        <v>办公</v>
      </c>
      <c r="C32" s="1051">
        <f>产证指标!A21</f>
        <v>503</v>
      </c>
      <c r="D32" s="1625" t="s">
        <v>3533</v>
      </c>
      <c r="E32" s="32">
        <f t="shared" si="7"/>
        <v>0</v>
      </c>
      <c r="F32" s="33"/>
      <c r="G32" s="34">
        <f t="shared" si="8"/>
        <v>685.75</v>
      </c>
      <c r="H32" s="35">
        <f t="shared" si="9"/>
        <v>685.75</v>
      </c>
      <c r="I32" s="36"/>
      <c r="J32" s="36"/>
      <c r="K32" s="36">
        <f>产证指标!B21</f>
        <v>685.75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t="str">
        <f t="shared" si="12"/>
        <v>办公</v>
      </c>
      <c r="AX32" s="1343">
        <f t="shared" si="13"/>
        <v>503</v>
      </c>
      <c r="AY32" s="39">
        <f t="shared" si="14"/>
        <v>0</v>
      </c>
      <c r="AZ32" s="32">
        <f t="shared" si="15"/>
        <v>685.75</v>
      </c>
      <c r="BA32" s="32">
        <f t="shared" si="16"/>
        <v>685.75</v>
      </c>
      <c r="BB32" s="32">
        <f t="shared" si="17"/>
        <v>0</v>
      </c>
      <c r="BC32" s="32">
        <f t="shared" si="18"/>
        <v>685.75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1051" t="str">
        <f>产证指标!D22</f>
        <v>办公</v>
      </c>
      <c r="C33" s="1051">
        <f>产证指标!A22</f>
        <v>504</v>
      </c>
      <c r="D33" s="1625" t="s">
        <v>3533</v>
      </c>
      <c r="E33" s="32">
        <f t="shared" si="7"/>
        <v>0</v>
      </c>
      <c r="F33" s="33"/>
      <c r="G33" s="34">
        <f t="shared" si="8"/>
        <v>688.47</v>
      </c>
      <c r="H33" s="35">
        <f t="shared" si="9"/>
        <v>688.47</v>
      </c>
      <c r="I33" s="36"/>
      <c r="J33" s="36"/>
      <c r="K33" s="36">
        <f>产证指标!B22</f>
        <v>688.47</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办公</v>
      </c>
      <c r="AX33" s="1343">
        <f t="shared" si="13"/>
        <v>504</v>
      </c>
      <c r="AY33" s="39">
        <f t="shared" si="14"/>
        <v>0</v>
      </c>
      <c r="AZ33" s="32">
        <f t="shared" si="15"/>
        <v>688.47</v>
      </c>
      <c r="BA33" s="32">
        <f t="shared" si="16"/>
        <v>688.47</v>
      </c>
      <c r="BB33" s="32">
        <f t="shared" si="17"/>
        <v>0</v>
      </c>
      <c r="BC33" s="32">
        <f t="shared" si="18"/>
        <v>688.47</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1051" t="str">
        <f>产证指标!D23</f>
        <v>办公</v>
      </c>
      <c r="C34" s="1051">
        <f>产证指标!A23</f>
        <v>505</v>
      </c>
      <c r="D34" s="1625" t="s">
        <v>3533</v>
      </c>
      <c r="E34" s="32">
        <f t="shared" si="7"/>
        <v>0</v>
      </c>
      <c r="F34" s="33"/>
      <c r="G34" s="34">
        <f t="shared" si="8"/>
        <v>671.37</v>
      </c>
      <c r="H34" s="35">
        <f t="shared" si="9"/>
        <v>671.37</v>
      </c>
      <c r="I34" s="36"/>
      <c r="J34" s="36"/>
      <c r="K34" s="36">
        <f>产证指标!B23</f>
        <v>671.37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办公</v>
      </c>
      <c r="AX34" s="1343">
        <f t="shared" si="13"/>
        <v>505</v>
      </c>
      <c r="AY34" s="39">
        <f t="shared" si="14"/>
        <v>0</v>
      </c>
      <c r="AZ34" s="32">
        <f t="shared" si="15"/>
        <v>671.37</v>
      </c>
      <c r="BA34" s="32">
        <f t="shared" si="16"/>
        <v>671.37</v>
      </c>
      <c r="BB34" s="32">
        <f t="shared" si="17"/>
        <v>0</v>
      </c>
      <c r="BC34" s="32">
        <f t="shared" si="18"/>
        <v>671.37</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1051" t="str">
        <f>产证指标!D24</f>
        <v>办公</v>
      </c>
      <c r="C35" s="1051">
        <f>产证指标!A24</f>
        <v>601</v>
      </c>
      <c r="D35" s="1625" t="s">
        <v>3533</v>
      </c>
      <c r="E35" s="32">
        <f t="shared" si="7"/>
        <v>0</v>
      </c>
      <c r="F35" s="33"/>
      <c r="G35" s="34">
        <f t="shared" si="8"/>
        <v>665.8</v>
      </c>
      <c r="H35" s="35">
        <f t="shared" si="9"/>
        <v>665.8</v>
      </c>
      <c r="I35" s="36"/>
      <c r="J35" s="36"/>
      <c r="K35" s="36">
        <f>产证指标!B24</f>
        <v>665.8</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办公</v>
      </c>
      <c r="AX35" s="1343">
        <f t="shared" si="13"/>
        <v>601</v>
      </c>
      <c r="AY35" s="39">
        <f t="shared" si="14"/>
        <v>0</v>
      </c>
      <c r="AZ35" s="32">
        <f t="shared" si="15"/>
        <v>665.8</v>
      </c>
      <c r="BA35" s="32">
        <f t="shared" si="16"/>
        <v>665.8</v>
      </c>
      <c r="BB35" s="32">
        <f t="shared" si="17"/>
        <v>0</v>
      </c>
      <c r="BC35" s="32">
        <f t="shared" si="18"/>
        <v>665.8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1051" t="str">
        <f>产证指标!D25</f>
        <v>办公</v>
      </c>
      <c r="C36" s="1051">
        <f>产证指标!A25</f>
        <v>602</v>
      </c>
      <c r="D36" s="1625" t="s">
        <v>3533</v>
      </c>
      <c r="E36" s="32">
        <f t="shared" si="7"/>
        <v>0</v>
      </c>
      <c r="F36" s="33"/>
      <c r="G36" s="34">
        <f t="shared" si="8"/>
        <v>746.1</v>
      </c>
      <c r="H36" s="35">
        <f t="shared" si="9"/>
        <v>746.1</v>
      </c>
      <c r="I36" s="36"/>
      <c r="J36" s="36"/>
      <c r="K36" s="36">
        <f>产证指标!B25</f>
        <v>746.1</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t="str">
        <f t="shared" si="12"/>
        <v>办公</v>
      </c>
      <c r="AX36" s="1343">
        <f t="shared" si="13"/>
        <v>602</v>
      </c>
      <c r="AY36" s="39">
        <f t="shared" si="14"/>
        <v>0</v>
      </c>
      <c r="AZ36" s="32">
        <f t="shared" si="15"/>
        <v>746.1</v>
      </c>
      <c r="BA36" s="32">
        <f t="shared" si="16"/>
        <v>746.1</v>
      </c>
      <c r="BB36" s="32">
        <f t="shared" si="17"/>
        <v>0</v>
      </c>
      <c r="BC36" s="32">
        <f t="shared" si="18"/>
        <v>746.1</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1051" t="str">
        <f>产证指标!D26</f>
        <v>办公</v>
      </c>
      <c r="C37" s="1051">
        <f>产证指标!A26</f>
        <v>603</v>
      </c>
      <c r="D37" s="1625" t="s">
        <v>3533</v>
      </c>
      <c r="E37" s="32">
        <f t="shared" si="7"/>
        <v>0</v>
      </c>
      <c r="F37" s="33"/>
      <c r="G37" s="34">
        <f t="shared" si="8"/>
        <v>685.75</v>
      </c>
      <c r="H37" s="35">
        <f t="shared" si="9"/>
        <v>685.75</v>
      </c>
      <c r="I37" s="36"/>
      <c r="J37" s="36"/>
      <c r="K37" s="36">
        <f>产证指标!B26</f>
        <v>685.75</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t="str">
        <f t="shared" si="12"/>
        <v>办公</v>
      </c>
      <c r="AX37" s="1343">
        <f t="shared" si="13"/>
        <v>603</v>
      </c>
      <c r="AY37" s="39">
        <f t="shared" si="14"/>
        <v>0</v>
      </c>
      <c r="AZ37" s="32">
        <f t="shared" si="15"/>
        <v>685.75</v>
      </c>
      <c r="BA37" s="32">
        <f t="shared" si="16"/>
        <v>685.75</v>
      </c>
      <c r="BB37" s="32">
        <f t="shared" si="17"/>
        <v>0</v>
      </c>
      <c r="BC37" s="32">
        <f t="shared" si="18"/>
        <v>685.75</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1051" t="str">
        <f>产证指标!D27</f>
        <v>办公</v>
      </c>
      <c r="C38" s="1051">
        <f>产证指标!A27</f>
        <v>604</v>
      </c>
      <c r="D38" s="1625" t="s">
        <v>3533</v>
      </c>
      <c r="E38" s="32">
        <f t="shared" si="7"/>
        <v>0</v>
      </c>
      <c r="F38" s="33"/>
      <c r="G38" s="34">
        <f t="shared" si="8"/>
        <v>688.47</v>
      </c>
      <c r="H38" s="35">
        <f t="shared" si="9"/>
        <v>688.47</v>
      </c>
      <c r="I38" s="36"/>
      <c r="J38" s="36"/>
      <c r="K38" s="36">
        <f>产证指标!B27</f>
        <v>688.47</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t="str">
        <f t="shared" si="12"/>
        <v>办公</v>
      </c>
      <c r="AX38" s="1343">
        <f t="shared" si="13"/>
        <v>604</v>
      </c>
      <c r="AY38" s="39">
        <f t="shared" si="14"/>
        <v>0</v>
      </c>
      <c r="AZ38" s="32">
        <f t="shared" si="15"/>
        <v>688.47</v>
      </c>
      <c r="BA38" s="32">
        <f t="shared" si="16"/>
        <v>688.47</v>
      </c>
      <c r="BB38" s="32">
        <f t="shared" si="17"/>
        <v>0</v>
      </c>
      <c r="BC38" s="32">
        <f t="shared" si="18"/>
        <v>688.47</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1051" t="str">
        <f>产证指标!D28</f>
        <v>办公</v>
      </c>
      <c r="C39" s="1051">
        <f>产证指标!A28</f>
        <v>605</v>
      </c>
      <c r="D39" s="1625" t="s">
        <v>3533</v>
      </c>
      <c r="E39" s="32">
        <f t="shared" si="7"/>
        <v>0</v>
      </c>
      <c r="F39" s="33"/>
      <c r="G39" s="34">
        <f t="shared" si="8"/>
        <v>671.37</v>
      </c>
      <c r="H39" s="35">
        <f t="shared" si="9"/>
        <v>671.37</v>
      </c>
      <c r="I39" s="36"/>
      <c r="J39" s="36"/>
      <c r="K39" s="36">
        <f>产证指标!B28</f>
        <v>671.37</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t="str">
        <f t="shared" si="12"/>
        <v>办公</v>
      </c>
      <c r="AX39" s="1343">
        <f t="shared" si="13"/>
        <v>605</v>
      </c>
      <c r="AY39" s="39">
        <f t="shared" si="14"/>
        <v>0</v>
      </c>
      <c r="AZ39" s="32">
        <f t="shared" si="15"/>
        <v>671.37</v>
      </c>
      <c r="BA39" s="32">
        <f t="shared" si="16"/>
        <v>671.37</v>
      </c>
      <c r="BB39" s="32">
        <f t="shared" si="17"/>
        <v>0</v>
      </c>
      <c r="BC39" s="32">
        <f t="shared" si="18"/>
        <v>671.37</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A18" sqref="A18:XFD18"/>
    </sheetView>
  </sheetViews>
  <sheetFormatPr defaultRowHeight="13.5"/>
  <sheetData>
    <row r="1" spans="1:4">
      <c r="A1" s="3446" t="s">
        <v>3500</v>
      </c>
      <c r="B1" s="3446" t="s">
        <v>3501</v>
      </c>
      <c r="C1" s="3446" t="s">
        <v>3497</v>
      </c>
      <c r="D1" s="3446" t="s">
        <v>3502</v>
      </c>
    </row>
    <row r="2" spans="1:4">
      <c r="A2">
        <v>101</v>
      </c>
      <c r="B2">
        <v>332.9</v>
      </c>
      <c r="C2">
        <v>305.38</v>
      </c>
      <c r="D2" s="3446" t="s">
        <v>3498</v>
      </c>
    </row>
    <row r="3" spans="1:4">
      <c r="A3">
        <v>102</v>
      </c>
      <c r="B3">
        <v>32.44</v>
      </c>
      <c r="C3">
        <v>29.76</v>
      </c>
      <c r="D3" s="3446" t="s">
        <v>3506</v>
      </c>
    </row>
    <row r="4" spans="1:4">
      <c r="A4">
        <v>104</v>
      </c>
      <c r="B4">
        <v>221.49</v>
      </c>
      <c r="C4">
        <v>203.18</v>
      </c>
      <c r="D4" s="3446" t="s">
        <v>3507</v>
      </c>
    </row>
    <row r="5" spans="1:4">
      <c r="A5">
        <v>105</v>
      </c>
      <c r="B5">
        <v>81.62</v>
      </c>
      <c r="C5">
        <v>74.87</v>
      </c>
      <c r="D5" s="3446" t="s">
        <v>3503</v>
      </c>
    </row>
    <row r="6" spans="1:4">
      <c r="A6">
        <v>106</v>
      </c>
      <c r="B6">
        <v>924.11</v>
      </c>
      <c r="C6">
        <v>551.91999999999996</v>
      </c>
      <c r="D6" s="3446" t="s">
        <v>3504</v>
      </c>
    </row>
    <row r="7" spans="1:4">
      <c r="A7">
        <v>201</v>
      </c>
      <c r="B7">
        <v>872.05</v>
      </c>
      <c r="C7">
        <v>520.83000000000004</v>
      </c>
      <c r="D7" s="3446" t="s">
        <v>3504</v>
      </c>
    </row>
    <row r="8" spans="1:4">
      <c r="A8">
        <v>202</v>
      </c>
      <c r="B8">
        <v>912.74</v>
      </c>
      <c r="C8">
        <v>545.13</v>
      </c>
      <c r="D8" s="3446" t="s">
        <v>3504</v>
      </c>
    </row>
    <row r="9" spans="1:4">
      <c r="A9">
        <v>203</v>
      </c>
      <c r="B9">
        <v>920.44</v>
      </c>
      <c r="C9">
        <v>549.73</v>
      </c>
      <c r="D9" s="3446" t="s">
        <v>3504</v>
      </c>
    </row>
    <row r="10" spans="1:4">
      <c r="A10">
        <v>204</v>
      </c>
      <c r="B10">
        <v>833.86</v>
      </c>
      <c r="C10">
        <v>498.02</v>
      </c>
      <c r="D10" s="3446" t="s">
        <v>3504</v>
      </c>
    </row>
    <row r="11" spans="1:4">
      <c r="A11">
        <v>301</v>
      </c>
      <c r="B11">
        <v>872.05</v>
      </c>
      <c r="C11">
        <v>520.83000000000004</v>
      </c>
      <c r="D11" s="3446" t="s">
        <v>3504</v>
      </c>
    </row>
    <row r="12" spans="1:4">
      <c r="A12">
        <v>302</v>
      </c>
      <c r="B12">
        <v>846.4</v>
      </c>
      <c r="C12">
        <v>505.51</v>
      </c>
      <c r="D12" s="3446" t="s">
        <v>3504</v>
      </c>
    </row>
    <row r="13" spans="1:4">
      <c r="A13">
        <v>303</v>
      </c>
      <c r="B13">
        <v>920.44</v>
      </c>
      <c r="C13">
        <v>549.73</v>
      </c>
      <c r="D13" s="3446" t="s">
        <v>3504</v>
      </c>
    </row>
    <row r="14" spans="1:4">
      <c r="A14">
        <v>304</v>
      </c>
      <c r="B14">
        <v>833.86</v>
      </c>
      <c r="C14">
        <v>498.02</v>
      </c>
      <c r="D14" s="3446" t="s">
        <v>3504</v>
      </c>
    </row>
    <row r="15" spans="1:4">
      <c r="A15">
        <v>401</v>
      </c>
      <c r="B15">
        <v>856.6</v>
      </c>
      <c r="C15">
        <v>511.6</v>
      </c>
      <c r="D15" s="3446" t="s">
        <v>3504</v>
      </c>
    </row>
    <row r="16" spans="1:4">
      <c r="A16">
        <v>402</v>
      </c>
      <c r="B16">
        <v>882.98</v>
      </c>
      <c r="C16">
        <v>527.36</v>
      </c>
      <c r="D16" s="3446" t="s">
        <v>3504</v>
      </c>
    </row>
    <row r="17" spans="1:4">
      <c r="A17">
        <v>403</v>
      </c>
      <c r="B17">
        <v>920.44</v>
      </c>
      <c r="C17">
        <v>549.73</v>
      </c>
      <c r="D17" s="3446" t="s">
        <v>3504</v>
      </c>
    </row>
    <row r="18" spans="1:4">
      <c r="A18">
        <v>404</v>
      </c>
      <c r="B18">
        <v>640.75</v>
      </c>
      <c r="C18">
        <v>580.16</v>
      </c>
      <c r="D18" s="3446" t="s">
        <v>3508</v>
      </c>
    </row>
    <row r="19" spans="1:4">
      <c r="A19">
        <v>501</v>
      </c>
      <c r="B19">
        <v>664.45</v>
      </c>
      <c r="C19">
        <v>516.57000000000005</v>
      </c>
      <c r="D19" s="3446" t="s">
        <v>3505</v>
      </c>
    </row>
    <row r="20" spans="1:4">
      <c r="A20">
        <v>502</v>
      </c>
      <c r="B20">
        <v>746.1</v>
      </c>
      <c r="C20">
        <v>580.04999999999995</v>
      </c>
      <c r="D20" s="3446" t="s">
        <v>3505</v>
      </c>
    </row>
    <row r="21" spans="1:4">
      <c r="A21">
        <v>503</v>
      </c>
      <c r="B21">
        <v>685.75</v>
      </c>
      <c r="C21">
        <v>533.13</v>
      </c>
      <c r="D21" s="3446" t="s">
        <v>3505</v>
      </c>
    </row>
    <row r="22" spans="1:4">
      <c r="A22">
        <v>504</v>
      </c>
      <c r="B22">
        <v>688.47</v>
      </c>
      <c r="C22">
        <v>535.25</v>
      </c>
      <c r="D22" s="3446" t="s">
        <v>3505</v>
      </c>
    </row>
    <row r="23" spans="1:4">
      <c r="A23">
        <v>505</v>
      </c>
      <c r="B23">
        <v>671.37</v>
      </c>
      <c r="C23">
        <v>521.95000000000005</v>
      </c>
      <c r="D23" s="3446" t="s">
        <v>3505</v>
      </c>
    </row>
    <row r="24" spans="1:4">
      <c r="A24">
        <v>601</v>
      </c>
      <c r="B24">
        <v>665.8</v>
      </c>
      <c r="C24">
        <v>517.62</v>
      </c>
      <c r="D24" s="3446" t="s">
        <v>3505</v>
      </c>
    </row>
    <row r="25" spans="1:4">
      <c r="A25">
        <v>602</v>
      </c>
      <c r="B25">
        <v>746.1</v>
      </c>
      <c r="C25">
        <v>580.04999999999995</v>
      </c>
      <c r="D25" s="3446" t="s">
        <v>3505</v>
      </c>
    </row>
    <row r="26" spans="1:4">
      <c r="A26">
        <v>603</v>
      </c>
      <c r="B26">
        <v>685.75</v>
      </c>
      <c r="C26">
        <v>533.13</v>
      </c>
      <c r="D26" s="3446" t="s">
        <v>3505</v>
      </c>
    </row>
    <row r="27" spans="1:4">
      <c r="A27">
        <v>604</v>
      </c>
      <c r="B27">
        <v>688.47</v>
      </c>
      <c r="C27">
        <v>535.25</v>
      </c>
      <c r="D27" s="3446" t="s">
        <v>3505</v>
      </c>
    </row>
    <row r="28" spans="1:4">
      <c r="A28">
        <v>605</v>
      </c>
      <c r="B28">
        <v>671.37</v>
      </c>
      <c r="C28">
        <v>521.95000000000005</v>
      </c>
      <c r="D28" s="3446" t="s">
        <v>3505</v>
      </c>
    </row>
    <row r="29" spans="1:4">
      <c r="B29">
        <f>SUM(B2:B28)</f>
        <v>18818.8</v>
      </c>
    </row>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6"/>
      <c r="G2" s="2647"/>
      <c r="H2" s="2648"/>
      <c r="I2" s="2325" t="s">
        <v>1131</v>
      </c>
      <c r="J2" s="2656"/>
      <c r="K2" s="2656"/>
      <c r="L2" s="2656"/>
      <c r="M2" s="2656"/>
      <c r="N2" s="2658"/>
      <c r="O2" s="2656"/>
      <c r="P2" s="2656"/>
    </row>
    <row r="3" spans="1:16" ht="15.75" thickBot="1">
      <c r="A3" s="3572" t="s">
        <v>1104</v>
      </c>
      <c r="B3" s="3572"/>
      <c r="C3" s="3572"/>
      <c r="D3" s="43">
        <f>'数据-基础表'!AY6</f>
        <v>0</v>
      </c>
      <c r="E3" s="43">
        <f>'数据-基础表'!AZ5</f>
        <v>18818.8</v>
      </c>
      <c r="F3" s="2656"/>
      <c r="G3" s="1145"/>
      <c r="H3" s="1026" t="s">
        <v>1105</v>
      </c>
      <c r="I3" s="855" t="e">
        <f>ROUND('数据-基础表'!B3/'数据-基础表'!A3,2)</f>
        <v>#DIV/0!</v>
      </c>
      <c r="J3" s="2656"/>
      <c r="K3" s="2656"/>
      <c r="L3" s="2656"/>
      <c r="M3" s="2656"/>
      <c r="N3" s="2658"/>
      <c r="O3" s="2656"/>
      <c r="P3" s="2656"/>
    </row>
    <row r="4" spans="1:16" ht="15">
      <c r="A4" s="3573"/>
      <c r="B4" s="3574"/>
      <c r="C4" s="3575"/>
      <c r="D4" s="1641" t="s">
        <v>1106</v>
      </c>
      <c r="E4" s="1642" t="s">
        <v>1107</v>
      </c>
      <c r="F4" s="2656"/>
      <c r="G4" s="2649" t="s">
        <v>1132</v>
      </c>
      <c r="H4" s="1026" t="s">
        <v>1112</v>
      </c>
      <c r="I4" s="855" t="e">
        <f>ROUND(SUMIF('数据-基础表'!I9:AS9,"地上",'数据-基础表'!I5:AS5)/'数据-基础表'!A3,2)</f>
        <v>#DIV/0!</v>
      </c>
      <c r="J4" s="2656"/>
      <c r="K4" s="2656"/>
      <c r="L4" s="2656"/>
      <c r="M4" s="2656"/>
      <c r="N4" s="2658"/>
      <c r="O4" s="2656"/>
      <c r="P4" s="2656"/>
    </row>
    <row r="5" spans="1:16">
      <c r="A5" s="44" t="s">
        <v>1108</v>
      </c>
      <c r="B5" s="3576" t="s">
        <v>1109</v>
      </c>
      <c r="C5" s="3576"/>
      <c r="D5" s="45">
        <f>ROUND($D$3*E5/$E$3,2)</f>
        <v>0</v>
      </c>
      <c r="E5" s="46">
        <f>SUMIF('数据-基础表'!$11:$11,"住宅",'数据-基础表'!$5:$5)</f>
        <v>0</v>
      </c>
      <c r="F5" s="2656"/>
      <c r="G5" s="1145"/>
      <c r="H5" s="1026" t="s">
        <v>1105</v>
      </c>
      <c r="I5" s="855" t="e">
        <f>ROUND(E31/D31,2)</f>
        <v>#DIV/0!</v>
      </c>
      <c r="J5" s="2656"/>
      <c r="K5" s="2656"/>
      <c r="L5" s="2656"/>
      <c r="M5" s="2656"/>
      <c r="N5" s="2656"/>
      <c r="O5" s="2656"/>
      <c r="P5" s="2656"/>
    </row>
    <row r="6" spans="1:16" ht="15" thickBot="1">
      <c r="A6" s="1644"/>
      <c r="B6" s="3576" t="s">
        <v>1110</v>
      </c>
      <c r="C6" s="3576"/>
      <c r="D6" s="45">
        <f>ROUND($D$3*E6/$E$3,2)</f>
        <v>0</v>
      </c>
      <c r="E6" s="46">
        <f>E3-E5</f>
        <v>18818.8</v>
      </c>
      <c r="F6" s="2656"/>
      <c r="G6" s="2650" t="s">
        <v>1111</v>
      </c>
      <c r="H6" s="1146" t="s">
        <v>1112</v>
      </c>
      <c r="I6" s="2651" t="e">
        <f>ROUND(F31/D31,2)</f>
        <v>#DIV/0!</v>
      </c>
      <c r="J6" s="2656"/>
      <c r="K6" s="2656"/>
      <c r="L6" s="2656"/>
      <c r="M6" s="2656"/>
      <c r="N6" s="2656"/>
      <c r="O6" s="2656"/>
      <c r="P6" s="2656"/>
    </row>
    <row r="7" spans="1:16" ht="15.75" thickBot="1">
      <c r="A7" s="3568"/>
      <c r="B7" s="3569"/>
      <c r="C7" s="3570"/>
      <c r="D7" s="1641" t="s">
        <v>1106</v>
      </c>
      <c r="E7" s="1645" t="s">
        <v>1113</v>
      </c>
      <c r="F7" s="2656"/>
      <c r="G7" s="2652" t="s">
        <v>1114</v>
      </c>
      <c r="H7" s="2653"/>
      <c r="I7" s="2654">
        <v>1.6</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17509.599999999999</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0</v>
      </c>
      <c r="E16" s="50">
        <f>SUM(E8:E15)</f>
        <v>17509.599999999999</v>
      </c>
      <c r="F16" s="2656"/>
      <c r="G16" s="2657"/>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3534</v>
      </c>
      <c r="D19" s="45">
        <f>ROUND($D$3*E19/$E$3,2)</f>
        <v>0</v>
      </c>
      <c r="E19" s="53">
        <f t="shared" ref="E19:E26" si="1">SUM(F19:G19)</f>
        <v>10595.97</v>
      </c>
      <c r="F19" s="2792">
        <f>'数据-基础表'!I5</f>
        <v>10595.97</v>
      </c>
      <c r="G19" s="2793"/>
      <c r="H19" s="670">
        <f>ROUND($D$3*I19/$E$3,2)</f>
        <v>0</v>
      </c>
      <c r="I19" s="48">
        <f t="shared" ref="I19:I26" si="2">IF($I$17="自定义",P19,M19)</f>
        <v>792.27</v>
      </c>
      <c r="J19" s="1139"/>
      <c r="K19" s="1138">
        <f t="shared" ref="K19:K26" si="3">ROUND(E$28*E19/E$27,2)</f>
        <v>792.27</v>
      </c>
      <c r="L19" s="1026">
        <f t="shared" ref="L19:L26" si="4">ROUND(IF(COUNTIF(C19,"*住宅*")&gt;0,E$29*E19/E$32,0),2)</f>
        <v>0</v>
      </c>
      <c r="M19" s="1150">
        <f>K19+L19</f>
        <v>792.27</v>
      </c>
      <c r="N19" s="1668"/>
      <c r="O19" s="1669"/>
      <c r="P19" s="1150">
        <f>N19+O19</f>
        <v>0</v>
      </c>
      <c r="R19" s="1026">
        <f t="shared" ref="R19:S26" si="5">D19+H19</f>
        <v>0</v>
      </c>
      <c r="S19" s="1027">
        <f t="shared" si="5"/>
        <v>11388.24</v>
      </c>
    </row>
    <row r="20" spans="1:19">
      <c r="A20" s="1670"/>
      <c r="B20" s="47" t="s">
        <v>1152</v>
      </c>
      <c r="C20" s="3414" t="s">
        <v>3535</v>
      </c>
      <c r="D20" s="45">
        <f t="shared" ref="D20:D26" si="6">ROUND($D$3*E20/$E$3,2)</f>
        <v>0</v>
      </c>
      <c r="E20" s="53">
        <f t="shared" si="1"/>
        <v>6913.630000000001</v>
      </c>
      <c r="F20" s="2792">
        <f>'数据-基础表'!K5</f>
        <v>6913.630000000001</v>
      </c>
      <c r="G20" s="2793"/>
      <c r="H20" s="670">
        <f t="shared" ref="H20:H26" si="7">ROUND($D$3*I20/$E$3,2)</f>
        <v>0</v>
      </c>
      <c r="I20" s="48">
        <f t="shared" si="2"/>
        <v>516.92999999999995</v>
      </c>
      <c r="J20" s="1139"/>
      <c r="K20" s="1138">
        <f t="shared" si="3"/>
        <v>516.92999999999995</v>
      </c>
      <c r="L20" s="1026">
        <f t="shared" si="4"/>
        <v>0</v>
      </c>
      <c r="M20" s="1150">
        <f t="shared" ref="M20:M26" si="8">K20+L20</f>
        <v>516.92999999999995</v>
      </c>
      <c r="N20" s="1668"/>
      <c r="O20" s="1669"/>
      <c r="P20" s="1150">
        <f t="shared" ref="P20:P26" si="9">N20+O20</f>
        <v>0</v>
      </c>
      <c r="R20" s="1026">
        <f t="shared" si="5"/>
        <v>0</v>
      </c>
      <c r="S20" s="1027">
        <f t="shared" si="5"/>
        <v>7430.5600000000013</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17509.599999999999</v>
      </c>
      <c r="F27" s="1140">
        <f>IF(SUM(F19:F26)=E8,SUM(F19:F26),"地上面积有误")</f>
        <v>17509.599999999999</v>
      </c>
      <c r="G27" s="1142">
        <f>SUM(G19:G26)</f>
        <v>0</v>
      </c>
      <c r="H27" s="1143">
        <f>SUM(H19:H26)</f>
        <v>0</v>
      </c>
      <c r="I27" s="1144">
        <f>SUM(I19:I26)</f>
        <v>1309.1999999999998</v>
      </c>
      <c r="J27" s="1139"/>
      <c r="K27" s="1147">
        <f>SUM(K19:K26)</f>
        <v>1309.1999999999998</v>
      </c>
      <c r="L27" s="1148">
        <f>SUM(L19:L26)</f>
        <v>0</v>
      </c>
      <c r="M27" s="1151">
        <f>SUM(M19:M26)</f>
        <v>1309.1999999999998</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18818.800000000003</v>
      </c>
    </row>
    <row r="28" spans="1:19">
      <c r="A28" s="1670"/>
      <c r="B28" s="47" t="s">
        <v>1154</v>
      </c>
      <c r="C28" s="1038" t="s">
        <v>1155</v>
      </c>
      <c r="D28" s="45">
        <f>ROUND($D$3*E28/$E$3,2)</f>
        <v>0</v>
      </c>
      <c r="E28" s="53">
        <f>SUM(F28:G28)</f>
        <v>1309.1999999999998</v>
      </c>
      <c r="F28" s="56">
        <f>'数据-基础表'!BQ5+'数据-基础表'!BS5</f>
        <v>1309.1999999999998</v>
      </c>
      <c r="G28" s="57">
        <f>'数据-基础表'!BR5+'数据-基础表'!BT5</f>
        <v>0</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1309.1999999999998</v>
      </c>
      <c r="F30" s="1140">
        <f>SUM(F28:F29)</f>
        <v>1309.1999999999998</v>
      </c>
      <c r="G30" s="1142">
        <f>SUM(G28:G29)</f>
        <v>0</v>
      </c>
      <c r="H30" s="2656"/>
      <c r="I30" s="2656"/>
      <c r="J30" s="2656"/>
      <c r="K30" s="2656"/>
      <c r="L30" s="2656"/>
      <c r="M30" s="2656"/>
      <c r="N30" s="2656"/>
      <c r="O30" s="2656"/>
      <c r="P30" s="2656"/>
    </row>
    <row r="31" spans="1:19" ht="15.75" thickBot="1">
      <c r="A31" s="1676"/>
      <c r="B31" s="1677"/>
      <c r="C31" s="835" t="s">
        <v>1157</v>
      </c>
      <c r="D31" s="676">
        <f>D27+D30</f>
        <v>0</v>
      </c>
      <c r="E31" s="676">
        <f>E27+E30</f>
        <v>18818.8</v>
      </c>
      <c r="F31" s="677">
        <f>F27+F30</f>
        <v>18818.8</v>
      </c>
      <c r="G31" s="678">
        <f>G27+G30</f>
        <v>0</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45253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3538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34.090000000000003</v>
      </c>
      <c r="G6" s="65">
        <f>IF(ISERROR(ROUND(POWER(1+H6,D6-F6)*(POWER(1+H6,F6)-1)/(POWER(1+H6,D6)-1),3)),0,ROUND(POWER(1+H6,D6-F6)*(POWER(1+H6,F6)-1)/(POWER(1+H6,D6)-1),3))</f>
        <v>0.95</v>
      </c>
      <c r="H6" s="732">
        <v>5.5E-2</v>
      </c>
      <c r="I6" s="732">
        <v>0.06</v>
      </c>
      <c r="J6" s="66">
        <v>7.0000000000000007E-2</v>
      </c>
      <c r="K6" s="1030">
        <f>SUMIF('数据-汇总表'!C$19:C$33,A6,'数据-汇总表'!E$19:E$33)</f>
        <v>10595.97</v>
      </c>
      <c r="L6" s="733">
        <v>4500</v>
      </c>
      <c r="M6" s="67">
        <f t="shared" ref="M6:M14" si="0">ROUND(K6*L6/10000,0)</f>
        <v>4768</v>
      </c>
      <c r="N6" s="731">
        <f>N19</f>
        <v>0.97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792.27</v>
      </c>
      <c r="T6" s="1172">
        <f>ROUND($L$14*S6/10000,0)</f>
        <v>357</v>
      </c>
      <c r="U6" s="3425">
        <f>U26</f>
        <v>3.1</v>
      </c>
      <c r="V6" s="70">
        <v>2.5000000000000001E-2</v>
      </c>
      <c r="W6" s="70">
        <v>0.15</v>
      </c>
      <c r="X6" s="1040"/>
      <c r="Y6" s="71">
        <f>N6</f>
        <v>0.97</v>
      </c>
      <c r="Z6" s="72"/>
      <c r="AA6" s="66"/>
      <c r="AB6" s="66"/>
      <c r="AC6" s="1040"/>
      <c r="AD6" s="73"/>
      <c r="AE6" s="1041">
        <f ca="1">IF(AN6="",0,SUMIF(INDIRECT("'"&amp;AN6&amp;"'"&amp;"!E:E"),$AE$5,INDIRECT("'"&amp;AN6&amp;"'"&amp;"!F:F")))</f>
        <v>34.090000000000003</v>
      </c>
      <c r="AF6" s="1348"/>
      <c r="AG6" s="138">
        <f>IF(AF6="",0,AE6-AF6)</f>
        <v>0</v>
      </c>
      <c r="AH6" s="74"/>
      <c r="AI6" s="76">
        <v>365</v>
      </c>
      <c r="AJ6" s="77"/>
      <c r="AK6" s="78">
        <v>0.01</v>
      </c>
      <c r="AL6" s="79">
        <v>1.5E-3</v>
      </c>
      <c r="AM6" s="80">
        <v>0.01</v>
      </c>
      <c r="AN6" s="1715" t="s">
        <v>3542</v>
      </c>
      <c r="AO6" s="52">
        <f ca="1">SUMIF(INDIRECT("'"&amp;AN6&amp;"'"&amp;"!A:A"),"总价",INDIRECT("'"&amp;AN6&amp;"'"&amp;"!B:B"))</f>
        <v>14905</v>
      </c>
      <c r="AP6" s="1716">
        <f>IF(C6="住宅",K6*L6,0)</f>
        <v>0</v>
      </c>
      <c r="AQ6" s="52">
        <f>ROUND($L$14*$N$14*S6/10000,0)</f>
        <v>346</v>
      </c>
      <c r="AR6" s="52">
        <f>ROUND($L$14*(1-$N$14)*S6/10000,0)</f>
        <v>11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44.09</v>
      </c>
      <c r="G7" s="65">
        <f t="shared" ref="G7:G11" si="2">IF(ISERROR(ROUND(POWER(1+H7,D7-F7)*(POWER(1+H7,F7)-1)/(POWER(1+H7,D7)-1),3)),0,ROUND(POWER(1+H7,D7-F7)*(POWER(1+H7,F7)-1)/(POWER(1+H7,D7)-1),3))</f>
        <v>0.96799999999999997</v>
      </c>
      <c r="H7" s="732">
        <v>0.05</v>
      </c>
      <c r="I7" s="732">
        <v>5.5E-2</v>
      </c>
      <c r="J7" s="66">
        <f>J6</f>
        <v>7.0000000000000007E-2</v>
      </c>
      <c r="K7" s="1030">
        <f>SUMIF('数据-汇总表'!C$19:C$33,A7,'数据-汇总表'!E$19:E$33)</f>
        <v>6913.630000000001</v>
      </c>
      <c r="L7" s="733">
        <f>L6</f>
        <v>4500</v>
      </c>
      <c r="M7" s="67">
        <f t="shared" si="0"/>
        <v>3111</v>
      </c>
      <c r="N7" s="731">
        <f>N6</f>
        <v>0.97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516.92999999999995</v>
      </c>
      <c r="T7" s="1172">
        <f t="shared" ref="T7:T13" si="5">ROUND($L$14*S7/10000,0)</f>
        <v>233</v>
      </c>
      <c r="U7" s="3425">
        <f>'比较法-办公'!C50</f>
        <v>3</v>
      </c>
      <c r="V7" s="70">
        <v>0.02</v>
      </c>
      <c r="W7" s="70">
        <f>W6</f>
        <v>0.15</v>
      </c>
      <c r="X7" s="1040"/>
      <c r="Y7" s="71">
        <f>Y6</f>
        <v>0.97</v>
      </c>
      <c r="Z7" s="72"/>
      <c r="AA7" s="66"/>
      <c r="AB7" s="66"/>
      <c r="AC7" s="1040"/>
      <c r="AD7" s="73"/>
      <c r="AE7" s="1041">
        <f t="shared" ref="AE7:AE13" ca="1" si="6">IF(AN7="",0,SUMIF(INDIRECT("'"&amp;AN7&amp;"'"&amp;"!E:E"),$AE$5,INDIRECT("'"&amp;AN7&amp;"'"&amp;"!F:F")))</f>
        <v>44.09</v>
      </c>
      <c r="AF7" s="1348"/>
      <c r="AG7" s="138">
        <f t="shared" ref="AG7:AG13" si="7">IF(AF7="",0,AE7-AF7)</f>
        <v>0</v>
      </c>
      <c r="AH7" s="74"/>
      <c r="AI7" s="76">
        <f>AI6</f>
        <v>365</v>
      </c>
      <c r="AJ7" s="77"/>
      <c r="AK7" s="78">
        <f>AK6</f>
        <v>0.01</v>
      </c>
      <c r="AL7" s="79">
        <f>AL6</f>
        <v>1.5E-3</v>
      </c>
      <c r="AM7" s="80">
        <f>AM6</f>
        <v>0.01</v>
      </c>
      <c r="AN7" s="1715" t="s">
        <v>3544</v>
      </c>
      <c r="AO7" s="52">
        <f t="shared" ref="AO7:AO13" ca="1" si="8">SUMIF(INDIRECT("'"&amp;AN7&amp;"'"&amp;"!A:A"),"总价",INDIRECT("'"&amp;AN7&amp;"'"&amp;"!B:B"))</f>
        <v>10584</v>
      </c>
      <c r="AP7" s="1716">
        <f t="shared" ref="AP7:AP13" si="9">IF(C7="住宅",K7*L7,0)</f>
        <v>0</v>
      </c>
      <c r="AQ7" s="52">
        <f t="shared" ref="AQ7:AQ13" si="10">ROUND($L$14*$N$14*S7/10000,0)</f>
        <v>226</v>
      </c>
      <c r="AR7" s="52">
        <f t="shared" ref="AR7:AR13" si="11">ROUND($L$14*(1-$N$14)*S7/10000,0)</f>
        <v>7</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1309.1999999999998</v>
      </c>
      <c r="L14" s="82">
        <f>L6</f>
        <v>4500</v>
      </c>
      <c r="M14" s="67">
        <f t="shared" si="0"/>
        <v>589</v>
      </c>
      <c r="N14" s="83">
        <f>N6</f>
        <v>0.97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5.2999999999999999E-2</v>
      </c>
      <c r="I16" s="91"/>
      <c r="J16" s="91"/>
      <c r="K16" s="92">
        <f>SUM(K6:K15)</f>
        <v>18818.8</v>
      </c>
      <c r="L16" s="93">
        <f>ROUND(M16*10000/SUM(K6:K14),0)</f>
        <v>4500</v>
      </c>
      <c r="M16" s="93">
        <f>SUM(M6:M14)</f>
        <v>8468</v>
      </c>
      <c r="N16" s="94">
        <f>ROUND(SUMPRODUCT(M6:M14,N6:N14)/M16,3)</f>
        <v>0.97</v>
      </c>
      <c r="O16" s="93">
        <f>SUM(O6:O14)</f>
        <v>0</v>
      </c>
      <c r="P16" s="93">
        <f>SUM(P6:P14)</f>
        <v>0</v>
      </c>
      <c r="Q16" s="95">
        <f>ROUND(SUMPRODUCT(Q6:Q13,K6:K13)/SUMPRODUCT((Q6:Q13&gt;0)*(K6:K13)),2)</f>
        <v>0.18</v>
      </c>
      <c r="R16" s="1034">
        <f ca="1">SUM(R6:R13)</f>
        <v>0</v>
      </c>
      <c r="S16" s="96">
        <f>SUM(S6:S13)</f>
        <v>1309.1999999999998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478" t="s">
        <v>3536</v>
      </c>
      <c r="N18" s="2668">
        <v>2021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2297</v>
      </c>
      <c r="D19" s="2673"/>
      <c r="E19" s="2670"/>
      <c r="F19" s="2670"/>
      <c r="G19" s="2670"/>
      <c r="H19" s="2670"/>
      <c r="I19" s="2670"/>
      <c r="J19" s="2670"/>
      <c r="K19" s="2669"/>
      <c r="L19" s="2669"/>
      <c r="M19" s="3478" t="s">
        <v>3537</v>
      </c>
      <c r="N19" s="2668">
        <f>ROUND(1-(1-0%)*(2023-N18)/60,2)</f>
        <v>0.97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3478" t="s">
        <v>3607</v>
      </c>
      <c r="T21" s="3478" t="s">
        <v>3608</v>
      </c>
      <c r="U21" s="2668"/>
      <c r="V21" s="3478" t="s">
        <v>3609</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v>1</v>
      </c>
      <c r="T22" s="2668">
        <f>产证指标!B6</f>
        <v>924.11</v>
      </c>
      <c r="U22" s="2668">
        <f>'比较法-商业'!C49</f>
        <v>3.9</v>
      </c>
      <c r="V22" s="2668">
        <v>1</v>
      </c>
      <c r="W22" s="2668">
        <f>U22*T22</f>
        <v>3604.029</v>
      </c>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v>2</v>
      </c>
      <c r="T23" s="2668">
        <f>产证指标!B7+产证指标!B8+产证指标!B9+产证指标!B10</f>
        <v>3539.09</v>
      </c>
      <c r="U23" s="2668">
        <f>ROUND($U$22*V23,1)</f>
        <v>3.1</v>
      </c>
      <c r="V23" s="2668">
        <v>0.8</v>
      </c>
      <c r="W23" s="2668">
        <f>U23*T23</f>
        <v>10971.179</v>
      </c>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v>3</v>
      </c>
      <c r="T24" s="2668">
        <f>产证指标!B11+产证指标!B12+产证指标!B13+产证指标!B14</f>
        <v>3472.75</v>
      </c>
      <c r="U24" s="2668">
        <v>3</v>
      </c>
      <c r="V24" s="2668">
        <v>0.7</v>
      </c>
      <c r="W24" s="2668">
        <f>U24*T24</f>
        <v>10418.25</v>
      </c>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v>4</v>
      </c>
      <c r="T25" s="2668">
        <f>产证指标!B15+产证指标!B16+产证指标!B17</f>
        <v>2660.02</v>
      </c>
      <c r="U25" s="2668">
        <v>3</v>
      </c>
      <c r="V25" s="2668">
        <f>V24</f>
        <v>0.7</v>
      </c>
      <c r="W25" s="2668">
        <f>U25*T25</f>
        <v>7980.0599999999995</v>
      </c>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f>SUM(T22:T25)</f>
        <v>10595.97</v>
      </c>
      <c r="U26" s="2668">
        <f>ROUND(W26/T26,1)</f>
        <v>3.1</v>
      </c>
      <c r="V26" s="2668"/>
      <c r="W26" s="2668">
        <f>SUM(W22:W25)</f>
        <v>32973.517999999996</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376</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29</v>
      </c>
      <c r="C53" s="2658" t="s">
        <v>1245</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77" t="s">
        <v>2278</v>
      </c>
      <c r="B1" s="3578"/>
      <c r="C1" s="3578"/>
      <c r="D1" s="3578"/>
      <c r="E1" s="3578"/>
      <c r="F1" s="3578"/>
      <c r="G1" s="357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9"/>
      <c r="I2" s="799"/>
      <c r="J2" s="799"/>
      <c r="K2" s="799"/>
      <c r="L2" s="799"/>
      <c r="M2" s="799"/>
      <c r="N2" s="799"/>
      <c r="O2" s="799"/>
      <c r="P2" s="799"/>
      <c r="Q2" s="799"/>
      <c r="R2" s="799"/>
    </row>
    <row r="3" spans="1:29" ht="25.5">
      <c r="A3" s="2440" t="s">
        <v>2276</v>
      </c>
      <c r="B3" s="2462" t="s">
        <v>2248</v>
      </c>
      <c r="C3" s="3479" t="s">
        <v>3547</v>
      </c>
      <c r="D3" s="2463"/>
      <c r="E3" s="2441" t="s">
        <v>2276</v>
      </c>
      <c r="F3" s="2464" t="s">
        <v>2249</v>
      </c>
      <c r="G3" s="2465" t="s">
        <v>2277</v>
      </c>
      <c r="H3" s="799"/>
      <c r="I3" s="799"/>
      <c r="J3" s="799"/>
      <c r="K3" s="799"/>
      <c r="L3" s="799"/>
      <c r="M3" s="799"/>
      <c r="N3" s="799"/>
      <c r="O3" s="799"/>
      <c r="P3" s="799"/>
      <c r="Q3" s="799"/>
      <c r="R3" s="799"/>
    </row>
    <row r="4" spans="1:29" ht="36">
      <c r="A4" s="2441"/>
      <c r="B4" s="323" t="s">
        <v>2250</v>
      </c>
      <c r="C4" s="3480" t="s">
        <v>3549</v>
      </c>
      <c r="D4" s="2463"/>
      <c r="E4" s="2466"/>
      <c r="F4" s="1373" t="s">
        <v>2251</v>
      </c>
      <c r="G4" s="2467" t="s">
        <v>2252</v>
      </c>
      <c r="H4" s="799"/>
      <c r="I4" s="799"/>
      <c r="J4" s="799"/>
      <c r="K4" s="799"/>
      <c r="L4" s="799"/>
      <c r="M4" s="799"/>
      <c r="N4" s="799"/>
      <c r="O4" s="799"/>
      <c r="P4" s="799"/>
      <c r="Q4" s="799"/>
      <c r="R4" s="799"/>
    </row>
    <row r="5" spans="1:29" ht="24">
      <c r="A5" s="2441"/>
      <c r="B5" s="323" t="s">
        <v>2253</v>
      </c>
      <c r="C5" s="3480" t="s">
        <v>3550</v>
      </c>
      <c r="D5" s="2463"/>
      <c r="E5" s="2466"/>
      <c r="F5" s="323" t="s">
        <v>2254</v>
      </c>
      <c r="G5" s="2467" t="s">
        <v>2255</v>
      </c>
      <c r="H5" s="799"/>
      <c r="I5" s="799"/>
      <c r="J5" s="799"/>
      <c r="K5" s="799"/>
      <c r="L5" s="799"/>
      <c r="M5" s="799"/>
      <c r="N5" s="799"/>
      <c r="O5" s="799"/>
      <c r="P5" s="799"/>
      <c r="Q5" s="799"/>
      <c r="R5" s="799"/>
    </row>
    <row r="6" spans="1:29">
      <c r="A6" s="2441"/>
      <c r="B6" s="323" t="s">
        <v>2256</v>
      </c>
      <c r="C6" s="3481" t="s">
        <v>3552</v>
      </c>
      <c r="D6" s="2463"/>
      <c r="E6" s="2466"/>
      <c r="F6" s="323" t="s">
        <v>2257</v>
      </c>
      <c r="G6" s="2467" t="s">
        <v>2258</v>
      </c>
      <c r="H6" s="799"/>
      <c r="I6" s="799"/>
      <c r="J6" s="799"/>
      <c r="K6" s="799"/>
      <c r="L6" s="799"/>
      <c r="M6" s="799"/>
      <c r="N6" s="799"/>
      <c r="O6" s="799"/>
      <c r="P6" s="799"/>
      <c r="Q6" s="799"/>
      <c r="R6" s="799"/>
    </row>
    <row r="7" spans="1:29" ht="24.75" thickBot="1">
      <c r="A7" s="2441"/>
      <c r="B7" s="323" t="s">
        <v>2254</v>
      </c>
      <c r="C7" s="3481" t="s">
        <v>3552</v>
      </c>
      <c r="D7" s="2468"/>
      <c r="E7" s="2469"/>
      <c r="F7" s="2470" t="s">
        <v>2259</v>
      </c>
      <c r="G7" s="2471" t="s">
        <v>2260</v>
      </c>
      <c r="H7" s="799"/>
      <c r="I7" s="799"/>
      <c r="J7" s="799"/>
      <c r="K7" s="799"/>
      <c r="L7" s="799"/>
      <c r="M7" s="799"/>
      <c r="N7" s="799"/>
      <c r="O7" s="799"/>
      <c r="P7" s="799"/>
      <c r="Q7" s="799"/>
      <c r="R7" s="799"/>
    </row>
    <row r="8" spans="1:29">
      <c r="A8" s="2441"/>
      <c r="B8" s="323" t="s">
        <v>2257</v>
      </c>
      <c r="C8" s="3481" t="s">
        <v>3553</v>
      </c>
      <c r="D8" s="2468"/>
      <c r="E8" s="2468"/>
      <c r="F8" s="2472"/>
      <c r="G8" s="2472"/>
      <c r="H8" s="799"/>
      <c r="I8" s="799"/>
      <c r="J8" s="799"/>
      <c r="K8" s="799"/>
      <c r="L8" s="799"/>
      <c r="M8" s="799"/>
      <c r="N8" s="799"/>
      <c r="O8" s="799"/>
      <c r="P8" s="799"/>
      <c r="Q8" s="799"/>
      <c r="R8" s="799"/>
    </row>
    <row r="9" spans="1:29">
      <c r="A9" s="2441"/>
      <c r="B9" s="323" t="s">
        <v>2261</v>
      </c>
      <c r="C9" s="3480" t="s">
        <v>3554</v>
      </c>
      <c r="D9" s="2463"/>
      <c r="E9" s="2468"/>
      <c r="F9" s="2472"/>
      <c r="G9" s="2472"/>
      <c r="H9" s="799"/>
      <c r="I9" s="799"/>
      <c r="J9" s="799"/>
      <c r="K9" s="799"/>
      <c r="L9" s="799"/>
      <c r="M9" s="799"/>
      <c r="N9" s="799"/>
      <c r="O9" s="799"/>
      <c r="P9" s="799"/>
      <c r="Q9" s="799"/>
      <c r="R9" s="799"/>
    </row>
    <row r="10" spans="1:29" s="2478" customFormat="1" ht="15" thickBot="1">
      <c r="A10" s="2442"/>
      <c r="B10" s="2473" t="s">
        <v>2262</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2279</v>
      </c>
      <c r="B13" s="2481"/>
      <c r="C13" s="2481"/>
      <c r="D13" s="2479"/>
      <c r="E13" s="2481"/>
      <c r="F13" s="2481"/>
      <c r="G13" s="2481"/>
    </row>
    <row r="14" spans="1:29" ht="15" thickBot="1">
      <c r="A14" s="2491"/>
      <c r="B14" s="2491"/>
      <c r="C14" s="2492" t="s">
        <v>2263</v>
      </c>
      <c r="D14" s="2463"/>
      <c r="E14" s="2493"/>
      <c r="F14" s="2493"/>
      <c r="G14" s="2459" t="s">
        <v>2264</v>
      </c>
    </row>
    <row r="15" spans="1:29" ht="25.5">
      <c r="A15" s="2443" t="s">
        <v>2265</v>
      </c>
      <c r="B15" s="2494" t="s">
        <v>2248</v>
      </c>
      <c r="C15" s="2495" t="str">
        <f>C3</f>
        <v>较好</v>
      </c>
      <c r="D15" s="2463"/>
      <c r="E15" s="2444" t="s">
        <v>2266</v>
      </c>
      <c r="F15" s="2494" t="s">
        <v>2267</v>
      </c>
      <c r="G15" s="2496" t="str">
        <f>G3</f>
        <v>估价对象位于XX开发区，园区建设成熟度XX，产业集聚程度XX</v>
      </c>
    </row>
    <row r="16" spans="1:29" ht="38.25">
      <c r="A16" s="2445"/>
      <c r="B16" s="2497" t="s">
        <v>2250</v>
      </c>
      <c r="C16" s="2498" t="str">
        <f>C4</f>
        <v>较差</v>
      </c>
      <c r="D16" s="2463"/>
      <c r="E16" s="2446"/>
      <c r="F16" s="2499" t="s">
        <v>2251</v>
      </c>
      <c r="G16" s="2500" t="str">
        <f>G4</f>
        <v>估价对象周边道路状况、公共交通通达情况、停车便捷程度，综合评价交通便捷度较好</v>
      </c>
    </row>
    <row r="17" spans="1:18">
      <c r="A17" s="2445"/>
      <c r="B17" s="2497" t="s">
        <v>2253</v>
      </c>
      <c r="C17" s="2498" t="str">
        <f>C5</f>
        <v>较差</v>
      </c>
      <c r="D17" s="2468"/>
      <c r="E17" s="2446"/>
      <c r="F17" s="2499" t="s">
        <v>2268</v>
      </c>
      <c r="G17" s="2501"/>
    </row>
    <row r="18" spans="1:18" ht="25.5">
      <c r="A18" s="2445"/>
      <c r="B18" s="2499" t="s">
        <v>2256</v>
      </c>
      <c r="C18" s="2500" t="str">
        <f>C6</f>
        <v>一般</v>
      </c>
      <c r="D18" s="2468"/>
      <c r="E18" s="2446"/>
      <c r="F18" s="2499" t="s">
        <v>2259</v>
      </c>
      <c r="G18" s="2500" t="str">
        <f>G7</f>
        <v>该园区内是否有污染型企业，绿化情况，卫生条件，整体环境状况判断</v>
      </c>
    </row>
    <row r="19" spans="1:18" ht="25.5">
      <c r="A19" s="2445"/>
      <c r="B19" s="2499" t="s">
        <v>2269</v>
      </c>
      <c r="C19" s="2501"/>
      <c r="D19" s="2463"/>
      <c r="E19" s="2446"/>
      <c r="F19" s="323" t="s">
        <v>2254</v>
      </c>
      <c r="G19" s="2500" t="str">
        <f>G5</f>
        <v>估价对象所在区域公共配套设施齐备情况</v>
      </c>
    </row>
    <row r="20" spans="1:18">
      <c r="A20" s="2445"/>
      <c r="B20" s="2499" t="s">
        <v>2270</v>
      </c>
      <c r="C20" s="2498" t="str">
        <f>C9</f>
        <v>较好</v>
      </c>
      <c r="D20" s="2468"/>
      <c r="E20" s="2446"/>
      <c r="F20" s="323" t="s">
        <v>2257</v>
      </c>
      <c r="G20" s="2500" t="str">
        <f>G6</f>
        <v>估价对象所在区域基础设施水平</v>
      </c>
    </row>
    <row r="21" spans="1:18">
      <c r="A21" s="2445"/>
      <c r="B21" s="323" t="s">
        <v>2254</v>
      </c>
      <c r="C21" s="2500" t="str">
        <f>C7</f>
        <v>一般</v>
      </c>
      <c r="D21" s="2463"/>
      <c r="E21" s="2446"/>
      <c r="F21" s="2499" t="s">
        <v>2271</v>
      </c>
      <c r="G21" s="2502"/>
    </row>
    <row r="22" spans="1:18" ht="13.5" customHeight="1">
      <c r="A22" s="2445"/>
      <c r="B22" s="323" t="s">
        <v>2257</v>
      </c>
      <c r="C22" s="2500" t="str">
        <f>C8</f>
        <v>七通</v>
      </c>
      <c r="D22" s="2463"/>
      <c r="E22" s="2446"/>
      <c r="F22" s="2499" t="s">
        <v>2262</v>
      </c>
      <c r="G22" s="2501"/>
    </row>
    <row r="23" spans="1:18" s="799" customFormat="1" ht="15" thickBot="1">
      <c r="A23" s="2445"/>
      <c r="B23" s="2499" t="s">
        <v>2271</v>
      </c>
      <c r="C23" s="2502"/>
      <c r="D23" s="1741"/>
      <c r="E23" s="2447"/>
      <c r="F23" s="2503" t="s">
        <v>2272</v>
      </c>
      <c r="G23" s="2504"/>
      <c r="H23" s="2488"/>
      <c r="I23" s="2489"/>
      <c r="J23" s="2488"/>
      <c r="K23" s="2488"/>
      <c r="L23" s="2489"/>
      <c r="M23" s="2488"/>
      <c r="N23" s="2488"/>
      <c r="O23" s="2489"/>
      <c r="P23" s="2488"/>
      <c r="Q23" s="2488"/>
      <c r="R23" s="2490"/>
    </row>
    <row r="24" spans="1:18" s="799" customFormat="1" ht="15" thickBot="1">
      <c r="A24" s="2448"/>
      <c r="B24" s="2503" t="s">
        <v>2273</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3" sqref="C2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48478.680000000095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45253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49386</v>
      </c>
      <c r="C5" s="2509">
        <f ca="1">IF(B5=D14,结果表!H102,ROUND(B5*10000/$B$1,0))</f>
        <v>10187</v>
      </c>
      <c r="D5" s="2509" t="e">
        <f ca="1">ROUND(B5*10000/$B$2,0)</f>
        <v>#DIV/0!</v>
      </c>
      <c r="E5" s="2683"/>
      <c r="F5" s="2684"/>
      <c r="G5" s="2684"/>
      <c r="H5" s="2685"/>
      <c r="I5" s="2685"/>
      <c r="J5" s="2685"/>
      <c r="K5" s="2685"/>
    </row>
    <row r="6" spans="1:11" ht="16.5">
      <c r="A6" s="2509" t="s">
        <v>656</v>
      </c>
      <c r="B6" s="2509">
        <f>SUM(G14:G23)</f>
        <v>0</v>
      </c>
      <c r="C6" s="2509">
        <f ca="1">IF(B6=G14,结果表!H108,ROUND(B6*10000/$B$1,0))</f>
        <v>14260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3352</v>
      </c>
      <c r="D10" s="2509" t="s">
        <v>3353</v>
      </c>
      <c r="E10" s="3438"/>
      <c r="F10" s="3442" t="s">
        <v>3354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'数据-汇总表'!F27</f>
        <v>17509.599999999999</v>
      </c>
      <c r="C14" s="2515"/>
      <c r="D14" s="2515">
        <f ca="1">结果表!H101</f>
        <v>26835</v>
      </c>
      <c r="E14" s="2515">
        <f ca="1">ROUND(D14*10000/B14,0)</f>
        <v>15326</v>
      </c>
      <c r="F14" s="2515" t="e">
        <f ca="1">ROUND(D14*10000/C14,0)</f>
        <v>#DIV/0!</v>
      </c>
      <c r="G14" s="1331"/>
      <c r="H14" s="2515"/>
      <c r="I14" s="2515"/>
      <c r="J14" s="2684"/>
      <c r="K14" s="2685"/>
    </row>
    <row r="15" spans="1:11" ht="16.5">
      <c r="A15" s="2514" t="s">
        <v>649</v>
      </c>
      <c r="B15" s="2516">
        <f>[2]系统读取表!B14</f>
        <v>30969.080000000093</v>
      </c>
      <c r="C15" s="2516"/>
      <c r="D15" s="2516">
        <f ca="1">[2]系统读取表!D14</f>
        <v>22551</v>
      </c>
      <c r="E15" s="2515">
        <f t="shared" ref="E15:E23" ca="1" si="0">ROUND(D15*10000/B15,0)</f>
        <v>7282</v>
      </c>
      <c r="F15" s="2515" t="e">
        <f t="shared" ref="F15:F23" ca="1"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37" sqref="I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3520</v>
      </c>
      <c r="H1" s="1750" t="str">
        <f>IF(G1="现房","——","估价对象范围")</f>
        <v>——</v>
      </c>
      <c r="I1" s="1751" t="s">
        <v>3565</v>
      </c>
    </row>
    <row r="2" spans="1:12" ht="21.75" customHeight="1" thickBot="1">
      <c r="A2" s="3613" t="str">
        <f>项目基本情况!S2</f>
        <v>北京市石景山区秀府西街5号院12号楼房地产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4" t="s">
        <v>1264</v>
      </c>
      <c r="B4" s="1755" t="s">
        <v>1265</v>
      </c>
      <c r="C4" s="1756" t="s">
        <v>3566</v>
      </c>
      <c r="D4" s="1756" t="s">
        <v>3567</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1267</v>
      </c>
      <c r="B5" s="3580">
        <v>25</v>
      </c>
      <c r="C5" s="3596"/>
      <c r="D5" s="3616"/>
      <c r="E5" s="131" t="s">
        <v>1268</v>
      </c>
      <c r="F5" s="1757"/>
      <c r="G5" s="1757"/>
      <c r="H5" s="1757"/>
      <c r="I5" s="1373"/>
    </row>
    <row r="6" spans="1:12" ht="12.75">
      <c r="A6" s="3593"/>
      <c r="B6" s="3580"/>
      <c r="C6" s="3597"/>
      <c r="D6" s="3616"/>
      <c r="E6" s="131" t="s">
        <v>1269</v>
      </c>
      <c r="F6" s="1757"/>
      <c r="G6" s="1757"/>
      <c r="H6" s="1757"/>
      <c r="I6" s="1373"/>
    </row>
    <row r="7" spans="1:12" ht="12.75">
      <c r="A7" s="3593"/>
      <c r="B7" s="3580"/>
      <c r="C7" s="3598"/>
      <c r="D7" s="3616"/>
      <c r="E7" s="131" t="s">
        <v>1270</v>
      </c>
      <c r="F7" s="1757"/>
      <c r="G7" s="1757"/>
      <c r="H7" s="1757"/>
      <c r="I7" s="1373"/>
    </row>
    <row r="8" spans="1:12" ht="12.75">
      <c r="A8" s="3593" t="s">
        <v>1271</v>
      </c>
      <c r="B8" s="3580">
        <v>15</v>
      </c>
      <c r="C8" s="3596"/>
      <c r="D8" s="3616"/>
      <c r="E8" s="131" t="s">
        <v>1272</v>
      </c>
      <c r="F8" s="1757"/>
      <c r="G8" s="1757"/>
      <c r="H8" s="1757"/>
      <c r="I8" s="1373"/>
    </row>
    <row r="9" spans="1:12" ht="12.75">
      <c r="A9" s="3593"/>
      <c r="B9" s="3580"/>
      <c r="C9" s="3598"/>
      <c r="D9" s="3616"/>
      <c r="E9" s="131" t="s">
        <v>1273</v>
      </c>
      <c r="F9" s="1757"/>
      <c r="G9" s="1757"/>
      <c r="H9" s="1757"/>
      <c r="I9" s="1373"/>
    </row>
    <row r="10" spans="1:12" ht="12.75">
      <c r="A10" s="3593" t="s">
        <v>1274</v>
      </c>
      <c r="B10" s="3580">
        <v>15</v>
      </c>
      <c r="C10" s="3596"/>
      <c r="D10" s="3616"/>
      <c r="E10" s="131" t="s">
        <v>1275</v>
      </c>
      <c r="F10" s="1757"/>
      <c r="G10" s="1757"/>
      <c r="H10" s="1757"/>
      <c r="I10" s="1373"/>
    </row>
    <row r="11" spans="1:12" ht="12.75">
      <c r="A11" s="3593"/>
      <c r="B11" s="3580"/>
      <c r="C11" s="3598"/>
      <c r="D11" s="3616"/>
      <c r="E11" s="131" t="s">
        <v>1276</v>
      </c>
      <c r="F11" s="1757"/>
      <c r="G11" s="1757"/>
      <c r="H11" s="1757"/>
      <c r="I11" s="1373"/>
    </row>
    <row r="12" spans="1:12" ht="12.75">
      <c r="A12" s="3593" t="s">
        <v>1277</v>
      </c>
      <c r="B12" s="3580">
        <v>15</v>
      </c>
      <c r="C12" s="3596"/>
      <c r="D12" s="3616"/>
      <c r="E12" s="131" t="s">
        <v>1278</v>
      </c>
      <c r="F12" s="1757"/>
      <c r="G12" s="1757"/>
      <c r="H12" s="1757"/>
      <c r="I12" s="1373"/>
    </row>
    <row r="13" spans="1:12" ht="12.75">
      <c r="A13" s="3593"/>
      <c r="B13" s="3580"/>
      <c r="C13" s="3598"/>
      <c r="D13" s="3616"/>
      <c r="E13" s="131" t="s">
        <v>1279</v>
      </c>
      <c r="F13" s="1757"/>
      <c r="G13" s="1757"/>
      <c r="H13" s="1757"/>
      <c r="I13" s="1373"/>
    </row>
    <row r="14" spans="1:12" ht="12.75">
      <c r="A14" s="3593" t="s">
        <v>1280</v>
      </c>
      <c r="B14" s="3580">
        <v>30</v>
      </c>
      <c r="C14" s="3596">
        <v>5</v>
      </c>
      <c r="D14" s="3616">
        <f>10-C14</f>
        <v>5</v>
      </c>
      <c r="E14" s="131" t="s">
        <v>1281</v>
      </c>
      <c r="F14" s="1757"/>
      <c r="G14" s="1757"/>
      <c r="H14" s="1757"/>
      <c r="I14" s="1373"/>
    </row>
    <row r="15" spans="1:12" ht="12.75">
      <c r="A15" s="3593"/>
      <c r="B15" s="3580"/>
      <c r="C15" s="3597"/>
      <c r="D15" s="3616"/>
      <c r="E15" s="131" t="s">
        <v>1282</v>
      </c>
      <c r="F15" s="1757"/>
      <c r="G15" s="1757"/>
      <c r="H15" s="1757"/>
      <c r="I15" s="1373"/>
    </row>
    <row r="16" spans="1:12" ht="12.75">
      <c r="A16" s="3593"/>
      <c r="B16" s="3580"/>
      <c r="C16" s="3598"/>
      <c r="D16" s="3616"/>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03" t="s">
        <v>2130</v>
      </c>
      <c r="F18" s="3604"/>
      <c r="G18" s="3604"/>
      <c r="H18" s="3604"/>
      <c r="I18" s="3604"/>
      <c r="K18" s="302" t="s">
        <v>1288</v>
      </c>
      <c r="L18" s="302">
        <f>IF(C1="",'数据-汇总表'!E3,SUMIF(项目类型,C1,'数据-汇总表'!E17:E26)+SUMIF(项目类型,C1,'数据-汇总表'!I17:I26))</f>
        <v>18818.8</v>
      </c>
      <c r="M18" s="302">
        <f>IF(C1="",'数据-汇总表'!E3,SUMIF(项目类型,C1,'数据-汇总表'!E17:E26))</f>
        <v>18818.8</v>
      </c>
    </row>
    <row r="19" spans="1:36" ht="15">
      <c r="A19" s="1761" t="s">
        <v>1289</v>
      </c>
      <c r="B19" s="1762" t="s">
        <v>1290</v>
      </c>
      <c r="C19" s="134">
        <f ca="1">SUMIF(INDIRECT("'"&amp;C4&amp;"'"&amp;"!A:A"),结果表!B19,INDIRECT("'"&amp;C4&amp;"'"&amp;"!B:B"))</f>
        <v>28181</v>
      </c>
      <c r="D19" s="135">
        <f ca="1">SUMIF(INDIRECT("'"&amp;D4&amp;"'"&amp;"!A:A"),结果表!B19,INDIRECT("'"&amp;D4&amp;"'"&amp;"!B:B"))</f>
        <v>25489</v>
      </c>
      <c r="E19" s="1761" t="s">
        <v>1291</v>
      </c>
      <c r="F19" s="1762" t="s">
        <v>1290</v>
      </c>
      <c r="G19" s="136">
        <f ca="1">ROUND(C19*$C$18+D19*$D$18,0)</f>
        <v>26835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14975</v>
      </c>
      <c r="D20" s="138">
        <f ca="1">SUMIF(INDIRECT("'"&amp;D4&amp;"'"&amp;"!A:A"),结果表!B20,INDIRECT("'"&amp;D4&amp;"'"&amp;"!B:B"))</f>
        <v>13544</v>
      </c>
      <c r="E20" s="1764"/>
      <c r="F20" s="1026" t="s">
        <v>1294</v>
      </c>
      <c r="G20" s="139">
        <f ca="1">ROUND(C20*$C$18+D20*$D$18,0)</f>
        <v>14260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0.10561418651182852</v>
      </c>
      <c r="E22" s="129"/>
      <c r="F22" s="129"/>
      <c r="G22" s="129"/>
      <c r="H22" s="129"/>
      <c r="I22" s="129"/>
    </row>
    <row r="23" spans="1:36" ht="13.5" thickBot="1">
      <c r="A23" s="1747"/>
      <c r="B23" s="1747"/>
      <c r="C23" s="1747"/>
      <c r="D23" s="1747"/>
      <c r="E23" s="129"/>
      <c r="F23" s="129"/>
      <c r="G23" s="129"/>
      <c r="H23" s="129"/>
      <c r="I23" s="129"/>
    </row>
    <row r="24" spans="1:36" ht="14.25">
      <c r="A24" s="3587" t="s">
        <v>1298</v>
      </c>
      <c r="B24" s="1762" t="s">
        <v>1290</v>
      </c>
      <c r="C24" s="136">
        <f>IF(B30=0,0,D30)</f>
        <v>0</v>
      </c>
      <c r="D24" s="1769"/>
      <c r="E24" s="129"/>
      <c r="F24" s="129"/>
      <c r="G24" s="129"/>
      <c r="H24" s="129"/>
      <c r="I24" s="129"/>
    </row>
    <row r="25" spans="1:36" ht="14.25">
      <c r="A25" s="35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26835</v>
      </c>
      <c r="D32" s="1775" t="s">
        <v>3568</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7" t="s">
        <v>1311</v>
      </c>
      <c r="B36" s="1787" t="s">
        <v>1312</v>
      </c>
      <c r="C36" s="145"/>
      <c r="D36" s="1788"/>
      <c r="E36" s="1789"/>
      <c r="F36" s="1790"/>
      <c r="G36" s="129"/>
      <c r="H36" s="129"/>
      <c r="I36" s="129"/>
    </row>
    <row r="37" spans="1:15" ht="15.75" thickBot="1">
      <c r="A37" s="3608"/>
      <c r="B37" s="1674" t="s">
        <v>1313</v>
      </c>
      <c r="C37" s="147"/>
      <c r="D37" s="1139"/>
      <c r="E37" s="1139"/>
      <c r="F37" s="1790"/>
      <c r="G37" s="129"/>
      <c r="H37" s="129"/>
      <c r="I37" s="129"/>
    </row>
    <row r="38" spans="1:15" ht="15.75" thickBot="1">
      <c r="A38" s="360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84" t="s">
        <v>1325</v>
      </c>
      <c r="B45" s="3585"/>
      <c r="C45" s="3586"/>
      <c r="D45" s="155">
        <f ca="1">ROUND(H101*F45,0)</f>
        <v>26835</v>
      </c>
      <c r="E45" s="156" t="s">
        <v>1326</v>
      </c>
      <c r="F45" s="157">
        <v>1</v>
      </c>
      <c r="G45" s="158" t="s">
        <v>1327</v>
      </c>
      <c r="H45" s="129"/>
      <c r="I45" s="129"/>
      <c r="J45" s="3662" t="s">
        <v>1328</v>
      </c>
      <c r="K45" s="3662"/>
      <c r="L45" s="3662"/>
      <c r="M45" s="3662"/>
      <c r="N45" s="3662"/>
      <c r="O45" s="3662"/>
    </row>
    <row r="46" spans="1:15" ht="14.25" hidden="1" customHeight="1">
      <c r="A46" s="3581" t="s">
        <v>1329</v>
      </c>
      <c r="B46" s="3582"/>
      <c r="C46" s="3582"/>
      <c r="D46" s="3582"/>
      <c r="E46" s="3582"/>
      <c r="F46" s="3582"/>
      <c r="G46" s="3583"/>
      <c r="H46" s="1806"/>
      <c r="I46" s="159"/>
      <c r="J46" s="2520">
        <v>1</v>
      </c>
      <c r="K46" s="3643" t="s">
        <v>1330</v>
      </c>
      <c r="L46" s="3643"/>
      <c r="M46" s="3663"/>
      <c r="N46" s="3663"/>
      <c r="O46" s="3663"/>
    </row>
    <row r="47" spans="1:15" ht="12" hidden="1" customHeight="1">
      <c r="A47" s="160" t="s">
        <v>1331</v>
      </c>
      <c r="B47" s="161"/>
      <c r="C47" s="162"/>
      <c r="D47" s="1087" t="s">
        <v>1332</v>
      </c>
      <c r="E47" s="302" t="s">
        <v>1333</v>
      </c>
      <c r="F47" s="163" t="s">
        <v>1334</v>
      </c>
      <c r="G47" s="2543" t="s">
        <v>1335</v>
      </c>
      <c r="H47" s="2544"/>
      <c r="I47" s="159"/>
      <c r="J47" s="2520">
        <v>2</v>
      </c>
      <c r="K47" s="3643" t="s">
        <v>1336</v>
      </c>
      <c r="L47" s="3643"/>
      <c r="M47" s="3664">
        <f>'数据-取费表'!B2</f>
        <v>45253</v>
      </c>
      <c r="N47" s="3664"/>
      <c r="O47" s="3664"/>
    </row>
    <row r="48" spans="1:15" ht="25.5" hidden="1">
      <c r="A48" s="3612" t="s">
        <v>1337</v>
      </c>
      <c r="B48" s="3595"/>
      <c r="C48" s="3595"/>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643" t="s">
        <v>1339</v>
      </c>
      <c r="L48" s="3643"/>
      <c r="M48" s="3665">
        <f ca="1">H101</f>
        <v>26835</v>
      </c>
      <c r="N48" s="3665"/>
      <c r="O48" s="3665"/>
    </row>
    <row r="49" spans="1:35" ht="25.5" hidden="1" customHeight="1">
      <c r="A49" s="2333" t="s">
        <v>1340</v>
      </c>
      <c r="B49" s="3579" t="s">
        <v>1341</v>
      </c>
      <c r="C49" s="3579"/>
      <c r="D49" s="1590">
        <v>0</v>
      </c>
      <c r="E49" s="324" t="s">
        <v>1342</v>
      </c>
      <c r="F49" s="2423" t="s">
        <v>28</v>
      </c>
      <c r="G49" s="3649"/>
      <c r="H49" s="2310" t="s">
        <v>2133</v>
      </c>
      <c r="I49" s="2311"/>
      <c r="J49" s="2520">
        <v>4</v>
      </c>
      <c r="K49" s="3643" t="str">
        <f>IF(项目基本情况!E8="房地产抵押价值","房地产抵押价值","抵押担保权已注销时的房地产抵押价值")</f>
        <v>抵押担保权已注销时的房地产抵押价值</v>
      </c>
      <c r="L49" s="3643"/>
      <c r="M49" s="3665" t="str">
        <f>IF(项目基本情况!E8="房地产抵押价值",H107,H109)</f>
        <v>——</v>
      </c>
      <c r="N49" s="3665"/>
      <c r="O49" s="3665"/>
    </row>
    <row r="50" spans="1:35" ht="25.5" hidden="1" customHeight="1">
      <c r="A50" s="2548"/>
      <c r="B50" s="3579" t="s">
        <v>1343</v>
      </c>
      <c r="C50" s="3579"/>
      <c r="D50" s="2549"/>
      <c r="E50" s="332"/>
      <c r="F50" s="2423"/>
      <c r="G50" s="3650"/>
      <c r="H50" s="2312" t="s">
        <v>2134</v>
      </c>
      <c r="I50" s="2311"/>
      <c r="J50" s="3662" t="s">
        <v>1344</v>
      </c>
      <c r="K50" s="3662"/>
      <c r="L50" s="3662"/>
      <c r="M50" s="3662"/>
      <c r="N50" s="3662"/>
      <c r="O50" s="3662"/>
    </row>
    <row r="51" spans="1:35" ht="20.45" hidden="1" customHeight="1">
      <c r="A51" s="2550"/>
      <c r="B51" s="3579" t="s">
        <v>1345</v>
      </c>
      <c r="C51" s="3579"/>
      <c r="D51" s="1087"/>
      <c r="E51" s="327"/>
      <c r="F51" s="2423"/>
      <c r="G51" s="3651"/>
      <c r="H51" s="2312" t="s">
        <v>2135</v>
      </c>
      <c r="I51" s="2311"/>
      <c r="J51" s="2521" t="s">
        <v>1346</v>
      </c>
      <c r="K51" s="3643" t="s">
        <v>1347</v>
      </c>
      <c r="L51" s="3643"/>
      <c r="M51" s="2521" t="s">
        <v>1348</v>
      </c>
      <c r="N51" s="2521" t="s">
        <v>1349</v>
      </c>
      <c r="O51" s="2521" t="s">
        <v>1350</v>
      </c>
    </row>
    <row r="52" spans="1:35" ht="24" hidden="1" customHeight="1">
      <c r="A52" s="2335" t="s">
        <v>1351</v>
      </c>
      <c r="B52" s="3579" t="s">
        <v>1352</v>
      </c>
      <c r="C52" s="3579"/>
      <c r="D52" s="1087">
        <f ca="1">ROUND(D45*'数据-取费表'!B41/(1+'数据-取费表'!C42),0)</f>
        <v>1431</v>
      </c>
      <c r="E52" s="2334" t="s">
        <v>1353</v>
      </c>
      <c r="F52" s="2551">
        <f>'数据-取费表'!B41</f>
        <v>5.6000000000000001E-2</v>
      </c>
      <c r="G52" s="2552"/>
      <c r="H52" s="2541"/>
      <c r="I52" s="1807"/>
      <c r="J52" s="2520">
        <v>1</v>
      </c>
      <c r="K52" s="3644" t="s">
        <v>1354</v>
      </c>
      <c r="L52" s="3644"/>
      <c r="M52" s="2522" t="b">
        <f>D48</f>
        <v>0</v>
      </c>
      <c r="N52" s="2520" t="str">
        <f>E48</f>
        <v>销售额×税（费）率</v>
      </c>
      <c r="O52" s="2523">
        <f>F48</f>
        <v>5.6000000000000001E-2</v>
      </c>
    </row>
    <row r="53" spans="1:35" ht="12" hidden="1" customHeight="1">
      <c r="A53" s="2335" t="s">
        <v>1355</v>
      </c>
      <c r="B53" s="3605" t="s">
        <v>2283</v>
      </c>
      <c r="C53" s="3606"/>
      <c r="D53" s="1087">
        <f ca="1">ROUND(D45*'数据-取费表'!B41/(1+'数据-取费表'!C42),0)</f>
        <v>1431</v>
      </c>
      <c r="E53" s="2334" t="s">
        <v>1353</v>
      </c>
      <c r="F53" s="2551">
        <f>'数据-取费表'!B41</f>
        <v>5.6000000000000001E-2</v>
      </c>
      <c r="G53" s="2552"/>
      <c r="H53" s="2541"/>
      <c r="I53" s="1807"/>
      <c r="J53" s="2520">
        <v>2</v>
      </c>
      <c r="K53" s="3644" t="s">
        <v>1356</v>
      </c>
      <c r="L53" s="3644"/>
      <c r="M53" s="2522">
        <f t="shared" ref="M53:O54" ca="1" si="0">D55</f>
        <v>13</v>
      </c>
      <c r="N53" s="2520" t="str">
        <f t="shared" si="0"/>
        <v>销售额×税（费）率</v>
      </c>
      <c r="O53" s="2523" t="str">
        <f t="shared" si="0"/>
        <v>免征</v>
      </c>
    </row>
    <row r="54" spans="1:35" ht="12" hidden="1" customHeight="1">
      <c r="A54" s="2335" t="s">
        <v>1357</v>
      </c>
      <c r="B54" s="3605" t="s">
        <v>2284</v>
      </c>
      <c r="C54" s="3606"/>
      <c r="D54" s="1087">
        <f ca="1">C68</f>
        <v>1431</v>
      </c>
      <c r="E54" s="327" t="s">
        <v>1358</v>
      </c>
      <c r="F54" s="2551">
        <f>'数据-取费表'!B41</f>
        <v>5.6000000000000001E-2</v>
      </c>
      <c r="G54" s="2552"/>
      <c r="H54" s="2553"/>
      <c r="I54" s="1807"/>
      <c r="J54" s="2520">
        <v>3</v>
      </c>
      <c r="K54" s="3644" t="s">
        <v>1359</v>
      </c>
      <c r="L54" s="3644"/>
      <c r="M54" s="2522">
        <f t="shared" ca="1" si="0"/>
        <v>15189</v>
      </c>
      <c r="N54" s="2520" t="str">
        <f t="shared" si="0"/>
        <v>增值额×税（费）率</v>
      </c>
      <c r="O54" s="2524" t="str">
        <f t="shared" si="0"/>
        <v>免征</v>
      </c>
    </row>
    <row r="55" spans="1:35" ht="24" hidden="1" customHeight="1">
      <c r="A55" s="3594" t="s">
        <v>1360</v>
      </c>
      <c r="B55" s="3595"/>
      <c r="C55" s="3595"/>
      <c r="D55" s="2324">
        <f ca="1">IF(H55="个人住宅",0,ROUND(D45*I55,0))</f>
        <v>13</v>
      </c>
      <c r="E55" s="2334" t="s">
        <v>1361</v>
      </c>
      <c r="F55" s="2551" t="str">
        <f>IF(H55="正常",I55,"免征")</f>
        <v>免征</v>
      </c>
      <c r="G55" s="2552"/>
      <c r="H55" s="2547"/>
      <c r="I55" s="165">
        <f>'数据-取费表'!B49</f>
        <v>5.0000000000000001E-4</v>
      </c>
      <c r="J55" s="2520">
        <f>IF(H59="非个人房产","",4)</f>
        <v>4</v>
      </c>
      <c r="K55" s="3644" t="str">
        <f>IF(H59="非个人房产","——","个人所得税")</f>
        <v>个人所得税</v>
      </c>
      <c r="L55" s="3644"/>
      <c r="M55" s="2525">
        <f ca="1">D59</f>
        <v>256</v>
      </c>
      <c r="N55" s="2040" t="str">
        <f>E59</f>
        <v>差额计税</v>
      </c>
      <c r="O55" s="2526">
        <f>F59</f>
        <v>0.01</v>
      </c>
    </row>
    <row r="56" spans="1:35" ht="24.75" hidden="1">
      <c r="A56" s="3594" t="s">
        <v>1362</v>
      </c>
      <c r="B56" s="3595"/>
      <c r="C56" s="3595"/>
      <c r="D56" s="2324">
        <f ca="1">IF(H56="个人住宅",D57,D58)</f>
        <v>15189</v>
      </c>
      <c r="E56" s="2334" t="s">
        <v>1363</v>
      </c>
      <c r="F56" s="2551" t="str">
        <f>IF(H56="正常",F58,"免征")</f>
        <v>免征</v>
      </c>
      <c r="G56" s="2554" t="s">
        <v>1364</v>
      </c>
      <c r="H56" s="2555"/>
      <c r="I56" s="1808"/>
      <c r="J56" s="2520" t="str">
        <f>IF(项目基本情况!K6="上海银行",IF(J55="",4,J55+1),"")</f>
        <v/>
      </c>
      <c r="K56" s="3667" t="str">
        <f>IF(项目基本情况!K6="上海银行","其他处置费用","")</f>
        <v/>
      </c>
      <c r="L56" s="3668"/>
      <c r="M56" s="2522" t="str">
        <f>IF(项目基本情况!K6="上海银行",M69,"")</f>
        <v/>
      </c>
      <c r="N56" s="3667" t="str">
        <f>IF(项目基本情况!K6="上海银行","包含处置中涉及的律师、诉讼、拍卖、评估等费用","")</f>
        <v/>
      </c>
      <c r="O56" s="3670"/>
    </row>
    <row r="57" spans="1:35" ht="12.75" hidden="1">
      <c r="A57" s="2335" t="s">
        <v>1340</v>
      </c>
      <c r="B57" s="3605" t="s">
        <v>1365</v>
      </c>
      <c r="C57" s="3606"/>
      <c r="D57" s="1590">
        <v>0</v>
      </c>
      <c r="E57" s="324" t="s">
        <v>1342</v>
      </c>
      <c r="F57" s="302"/>
      <c r="G57" s="2552"/>
      <c r="H57" s="2556"/>
      <c r="I57" s="1808"/>
      <c r="J57" s="3644">
        <f>IF(AND(J55="",J56=""),4,IF(项目基本情况!K6="上海银行",结果表!J56+1,结果表!J55+1))</f>
        <v>5</v>
      </c>
      <c r="K57" s="3644" t="s">
        <v>1366</v>
      </c>
      <c r="L57" s="2527" t="s">
        <v>1367</v>
      </c>
      <c r="M57" s="2528"/>
      <c r="N57" s="2529">
        <f ca="1">SUMIF(M52:M56,"&lt;9e307")</f>
        <v>15458</v>
      </c>
      <c r="O57" s="2530"/>
      <c r="P57" s="2687" t="e">
        <f ca="1">N57/M49</f>
        <v>#VALUE!</v>
      </c>
    </row>
    <row r="58" spans="1:35" ht="24.75" hidden="1">
      <c r="A58" s="2335" t="s">
        <v>1351</v>
      </c>
      <c r="B58" s="3605" t="s">
        <v>1368</v>
      </c>
      <c r="C58" s="3579"/>
      <c r="D58" s="2324">
        <f ca="1">IF(H58="转让取得",C81,C97)</f>
        <v>15189</v>
      </c>
      <c r="E58" s="2334" t="s">
        <v>1363</v>
      </c>
      <c r="F58" s="302" t="s">
        <v>28</v>
      </c>
      <c r="G58" s="2552"/>
      <c r="H58" s="2555"/>
      <c r="I58" s="1808"/>
      <c r="J58" s="3644"/>
      <c r="K58" s="3644"/>
      <c r="L58" s="2527" t="s">
        <v>1369</v>
      </c>
      <c r="M58" s="2531"/>
      <c r="N58" s="2532" t="str">
        <f ca="1">NUMBERSTRING(INT(N57*10000),2)&amp;"元整"</f>
        <v>壹亿伍仟肆佰伍拾捌万元整</v>
      </c>
      <c r="O58" s="2533"/>
    </row>
    <row r="59" spans="1:35" ht="24.75" hidden="1" thickBot="1">
      <c r="A59" s="3647" t="s">
        <v>1370</v>
      </c>
      <c r="B59" s="3648"/>
      <c r="C59" s="3648"/>
      <c r="D59" s="2557">
        <f ca="1">IF(H59="非个人房产","——",IF(H59="个人住宅（满五唯一有凭证）",0,IF(H59="个人其他（无凭证）",ROUND(D45*F59,0),ROUND(C67*F59,0))))</f>
        <v>256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645">
        <f>J57+1</f>
        <v>6</v>
      </c>
      <c r="K59" s="3644" t="s">
        <v>1371</v>
      </c>
      <c r="L59" s="2520" t="s">
        <v>1367</v>
      </c>
      <c r="M59" s="2534"/>
      <c r="N59" s="2535" t="e">
        <f ca="1">M49-N57</f>
        <v>#VALUE!</v>
      </c>
      <c r="O59" s="2536"/>
    </row>
    <row r="60" spans="1:35" ht="12" hidden="1" customHeight="1">
      <c r="A60" s="1809"/>
      <c r="B60" s="1747"/>
      <c r="C60" s="1747"/>
      <c r="D60" s="1747"/>
      <c r="E60" s="1578"/>
      <c r="F60" s="1808"/>
      <c r="G60" s="1808"/>
      <c r="H60" s="1810"/>
      <c r="I60" s="129"/>
      <c r="J60" s="3646"/>
      <c r="K60" s="3644"/>
      <c r="L60" s="2527" t="s">
        <v>1369</v>
      </c>
      <c r="M60" s="2531"/>
      <c r="N60" s="2532" t="e">
        <f ca="1">NUMBERSTRING(INT(N59*10000),2)&amp;"元整"</f>
        <v>#VALUE!</v>
      </c>
      <c r="O60" s="2533"/>
    </row>
    <row r="61" spans="1:35" ht="13.5" hidden="1" thickBot="1">
      <c r="A61" s="3592" t="s">
        <v>1372</v>
      </c>
      <c r="B61" s="3592"/>
      <c r="C61" s="3592"/>
      <c r="D61" s="3592"/>
      <c r="E61" s="3592"/>
      <c r="F61" s="1808"/>
      <c r="G61" s="1808"/>
      <c r="H61" s="1810"/>
      <c r="I61" s="129"/>
      <c r="J61" s="2520">
        <f>J59+1</f>
        <v>7</v>
      </c>
      <c r="K61" s="3644" t="s">
        <v>1373</v>
      </c>
      <c r="L61" s="3644"/>
      <c r="M61" s="2537"/>
      <c r="N61" s="2538" t="e">
        <f ca="1">ROUND(N59*10000/'数据-汇总表'!E3,0)</f>
        <v>#VALUE!</v>
      </c>
      <c r="O61" s="2539"/>
    </row>
    <row r="62" spans="1:35" ht="12.75" hidden="1">
      <c r="A62" s="3610" t="s">
        <v>1374</v>
      </c>
      <c r="B62" s="3611"/>
      <c r="C62" s="2021"/>
      <c r="D62" s="2021" t="s">
        <v>1375</v>
      </c>
      <c r="E62" s="166" t="s">
        <v>1376</v>
      </c>
      <c r="F62" s="1808"/>
      <c r="G62" s="1808"/>
      <c r="H62" s="1810"/>
      <c r="I62" s="129"/>
    </row>
    <row r="63" spans="1:35" ht="12.75" hidden="1">
      <c r="A63" s="173" t="s">
        <v>330</v>
      </c>
      <c r="B63" s="167" t="s">
        <v>1377</v>
      </c>
      <c r="C63" s="2561">
        <f ca="1">ROUND((C64+C65)/(1+'数据-取费表'!C42),0)</f>
        <v>25557</v>
      </c>
      <c r="D63" s="167"/>
      <c r="E63" s="168"/>
      <c r="F63" s="1808"/>
      <c r="G63" s="1808"/>
      <c r="H63" s="1810"/>
      <c r="I63" s="129"/>
      <c r="J63" s="3669" t="s">
        <v>1378</v>
      </c>
      <c r="K63" s="1332" t="s">
        <v>1379</v>
      </c>
      <c r="L63" s="1332" t="e">
        <f>IF(M49&gt;10000,M49*0.5%,IF(AND(M49&gt;1000,M49&lt;=10000),M49*1%,IF(AND(M49&gt;100,M49&lt;=1000),M49*3%,IF(AND(M49&gt;10,M49&lt;=100),M49*5%,M49*8%))))</f>
        <v>#VALUE!</v>
      </c>
      <c r="M63" s="302" t="e">
        <f>ROUND(L63,1)</f>
        <v>#VALUE!</v>
      </c>
      <c r="N63" s="2540"/>
      <c r="Z63" s="1752"/>
      <c r="AI63" s="1753"/>
    </row>
    <row r="64" spans="1:35" ht="14.25" hidden="1" customHeight="1">
      <c r="A64" s="169" t="s">
        <v>325</v>
      </c>
      <c r="B64" s="170" t="s">
        <v>1380</v>
      </c>
      <c r="C64" s="2562">
        <f ca="1">D45</f>
        <v>26835</v>
      </c>
      <c r="D64" s="170" t="s">
        <v>26</v>
      </c>
      <c r="E64" s="172"/>
      <c r="F64" s="1808"/>
      <c r="G64" s="1808"/>
      <c r="H64" s="1810"/>
      <c r="I64" s="129"/>
      <c r="J64" s="3669"/>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1382</v>
      </c>
      <c r="Z64" s="1752"/>
      <c r="AI64" s="1753"/>
    </row>
    <row r="65" spans="1:35" ht="14.25" hidden="1" customHeight="1">
      <c r="A65" s="169" t="s">
        <v>326</v>
      </c>
      <c r="B65" s="170" t="s">
        <v>1383</v>
      </c>
      <c r="C65" s="2563"/>
      <c r="D65" s="170"/>
      <c r="E65" s="172"/>
      <c r="F65" s="1808"/>
      <c r="G65" s="1808"/>
      <c r="H65" s="1810"/>
      <c r="I65" s="129"/>
      <c r="J65" s="3669"/>
      <c r="K65" s="1332" t="s">
        <v>1384</v>
      </c>
      <c r="L65" s="1332" t="e">
        <f>IF(M49&gt;1000,M49*0.1%,IF(AND(M49&gt;500,M49&lt;=1000),M49*0.5%,IF(AND(M49&gt;50,M49&lt;=500),M49*1%,IF(AND(M49&gt;1,M49&lt;=50),M49*1.5%))))</f>
        <v>#VALUE!</v>
      </c>
      <c r="M65" s="302" t="e">
        <f t="shared" si="1"/>
        <v>#VALUE!</v>
      </c>
      <c r="N65" s="2541" t="s">
        <v>1382</v>
      </c>
      <c r="Z65" s="1752"/>
      <c r="AI65" s="1753"/>
    </row>
    <row r="66" spans="1:35" ht="14.25" hidden="1" customHeight="1">
      <c r="A66" s="173" t="s">
        <v>327</v>
      </c>
      <c r="B66" s="174" t="s">
        <v>1385</v>
      </c>
      <c r="C66" s="2564"/>
      <c r="D66" s="174" t="s">
        <v>26</v>
      </c>
      <c r="E66" s="1338" t="s">
        <v>671</v>
      </c>
      <c r="F66" s="1808"/>
      <c r="G66" s="1808"/>
      <c r="H66" s="1810"/>
      <c r="I66" s="129"/>
      <c r="J66" s="3669"/>
      <c r="K66" s="1332" t="s">
        <v>1386</v>
      </c>
      <c r="L66" s="1332" t="e">
        <f>M49*0.5%</f>
        <v>#VALUE!</v>
      </c>
      <c r="M66" s="302" t="e">
        <f>IF(L66&gt;0.5,0.5,ROUND(L66,0))</f>
        <v>#VALUE!</v>
      </c>
      <c r="N66" s="2541" t="s">
        <v>1387</v>
      </c>
      <c r="Z66" s="1752"/>
      <c r="AI66" s="1753"/>
    </row>
    <row r="67" spans="1:35" ht="14.25" hidden="1" customHeight="1">
      <c r="A67" s="173" t="s">
        <v>328</v>
      </c>
      <c r="B67" s="174" t="s">
        <v>1388</v>
      </c>
      <c r="C67" s="2565">
        <f ca="1">C63-C66</f>
        <v>25557</v>
      </c>
      <c r="D67" s="170" t="s">
        <v>26</v>
      </c>
      <c r="E67" s="172"/>
      <c r="F67" s="1808"/>
      <c r="G67" s="1808"/>
      <c r="H67" s="1810"/>
      <c r="I67" s="129"/>
      <c r="J67" s="3669"/>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hidden="1" customHeight="1" thickBot="1">
      <c r="A68" s="176" t="s">
        <v>329</v>
      </c>
      <c r="B68" s="177" t="s">
        <v>1390</v>
      </c>
      <c r="C68" s="2566">
        <f ca="1">IF(C67&lt;=0,0,ROUND(C67*D68,0))</f>
        <v>1431</v>
      </c>
      <c r="D68" s="2567">
        <f>'数据-取费表'!B41</f>
        <v>5.6000000000000001E-2</v>
      </c>
      <c r="E68" s="178"/>
      <c r="F68" s="1808"/>
      <c r="G68" s="1808"/>
      <c r="H68" s="1810"/>
      <c r="I68" s="129"/>
      <c r="J68" s="3669"/>
      <c r="K68" s="1332" t="s">
        <v>1391</v>
      </c>
      <c r="L68" s="1332" t="e">
        <f>IF(M49&gt;10000,M49*0.5%,IF(AND(M49&gt;5000,M49&lt;=10000),M49*1%,IF(AND(M49&gt;1000,M49&lt;=5000),M49*2%,IF(AND(M49&gt;200,M49&lt;=1000),M49*3%,M49*5%))))</f>
        <v>#VALUE!</v>
      </c>
      <c r="M68" s="302" t="e">
        <f>ROUND(L68,1)</f>
        <v>#VALUE!</v>
      </c>
      <c r="N68" s="2540"/>
      <c r="Z68" s="1752"/>
      <c r="AI68" s="1753"/>
    </row>
    <row r="69" spans="1:35" s="1772" customFormat="1" ht="16.5" hidden="1" customHeight="1">
      <c r="A69" s="1811"/>
      <c r="B69" s="1812"/>
      <c r="C69" s="1813"/>
      <c r="D69" s="1814"/>
      <c r="E69" s="1815"/>
      <c r="F69" s="1578"/>
      <c r="G69" s="1578"/>
      <c r="H69" s="1577"/>
      <c r="I69" s="1747"/>
      <c r="J69" s="3669"/>
      <c r="K69" s="1332" t="s">
        <v>1392</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1" t="s">
        <v>1393</v>
      </c>
      <c r="B70" s="3632"/>
      <c r="C70" s="3632"/>
      <c r="D70" s="3632"/>
      <c r="E70" s="3632"/>
      <c r="F70" s="3632"/>
      <c r="G70" s="3632"/>
      <c r="H70" s="363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0" t="s">
        <v>1374</v>
      </c>
      <c r="B71" s="3611"/>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5">
        <f ca="1">ROUND(D45/(1+'数据-取费表'!C42),0)</f>
        <v>25557</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5">
        <f ca="1">C74+C78</f>
        <v>153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1">
        <v>0.05</v>
      </c>
      <c r="E76" s="3605" t="s">
        <v>1401</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3">
        <f ca="1">ROUND(D45*D78/(1+'数据-取费表'!C42),0)</f>
        <v>153</v>
      </c>
      <c r="D78" s="2574">
        <f>'数据-取费表'!B43</f>
        <v>6.000000000000001E-3</v>
      </c>
      <c r="E78" s="3589" t="s">
        <v>1405</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5">
        <f ca="1">C72-C73</f>
        <v>25404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5">
        <f ca="1">IF(C79&lt;=0,0,C79/C73)</f>
        <v>166.0392156862745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6">
        <f ca="1">ROUND(IF(C79&lt;=0,0,IF(C80&gt;=200%,C79*60%-C73*35%,IF(C80&gt;=100%,C79*50%-C73*15%,IF(C80&gt;=50%,C79*40%-C73*5%,IF(C80&lt;50%,C79*30%,0))))),0)</f>
        <v>15189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1" t="s">
        <v>1409</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0" t="s">
        <v>1374</v>
      </c>
      <c r="B84" s="361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5">
        <f ca="1">ROUND(D45/(1+'数据-取费表'!C42),0)</f>
        <v>25557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5">
        <f ca="1">IF(H88="仅含出让金",C87+C90+C91+C92+C93+C94,C87+C91+C92+C93+C94)</f>
        <v>153</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9"/>
      <c r="D88" s="2574"/>
      <c r="E88" s="193" t="s">
        <v>1412</v>
      </c>
      <c r="F88" s="2327"/>
      <c r="G88" s="194" t="s">
        <v>1413</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9"/>
      <c r="D90" s="2574"/>
      <c r="E90" s="193" t="str">
        <f>IF(H88="-","土地取得成本中已包含该笔费用"," ")</f>
        <v xml:space="preserve"> </v>
      </c>
      <c r="F90" s="2327"/>
      <c r="G90" s="3671" t="s">
        <v>2128</v>
      </c>
      <c r="H90" s="3672"/>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3">
        <f>IF(H91="——",成本法!C33,I91)</f>
        <v>0</v>
      </c>
      <c r="D91" s="2574"/>
      <c r="E91" s="3589" t="s">
        <v>1418</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3">
        <f>ROUND((C87+C90+C91)*D92,0)</f>
        <v>0</v>
      </c>
      <c r="D92" s="2580"/>
      <c r="E92" s="3589" t="s">
        <v>1421</v>
      </c>
      <c r="F92" s="3590"/>
      <c r="G92" s="3590"/>
      <c r="H92" s="3599"/>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3">
        <f ca="1">ROUND(D45*D93/(1+'数据-取费表'!C42),0)</f>
        <v>153</v>
      </c>
      <c r="D93" s="2574">
        <f>'数据-取费表'!B43</f>
        <v>6.000000000000001E-3</v>
      </c>
      <c r="E93" s="3589" t="s">
        <v>1405</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9">
        <f>ROUND((C87+C90+C91)*D94,0)</f>
        <v>0</v>
      </c>
      <c r="D94" s="2574">
        <v>0.2</v>
      </c>
      <c r="E94" s="3600" t="s">
        <v>1425</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5">
        <f ca="1">ROUND(C85-C86,0)</f>
        <v>25404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5">
        <f ca="1">IF(C95&lt;=0,0,C95/C86)</f>
        <v>166.0392156862745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6">
        <f ca="1">ROUND(IF(C95&lt;=0,0,IF(C96&gt;=200%,C95*60%-C86*35%,IF(C96&gt;=100%,C95*50%-C86*15%,IF(C96&gt;=50%,C95*40%-C86*5%,IF(C96&lt;50%,C95*30%,0))))),0)</f>
        <v>15189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591"/>
      <c r="E100" s="3574" t="s">
        <v>1428</v>
      </c>
      <c r="F100" s="3574"/>
      <c r="G100" s="3574"/>
      <c r="H100" s="3591"/>
      <c r="I100" s="129"/>
    </row>
    <row r="101" spans="1:35" ht="18.75" customHeight="1">
      <c r="A101" s="3652" t="s">
        <v>1429</v>
      </c>
      <c r="B101" s="3653"/>
      <c r="C101" s="2582" t="str">
        <f>C4</f>
        <v>成本法</v>
      </c>
      <c r="D101" s="2583" t="str">
        <f>D4</f>
        <v>收益法（汇总）</v>
      </c>
      <c r="E101" s="3666" t="s">
        <v>1430</v>
      </c>
      <c r="F101" s="3623"/>
      <c r="G101" s="1827" t="s">
        <v>1431</v>
      </c>
      <c r="H101" s="2592">
        <f ca="1">H118</f>
        <v>26835</v>
      </c>
      <c r="I101" s="129"/>
    </row>
    <row r="102" spans="1:35" ht="18.75" customHeight="1">
      <c r="A102" s="3625" t="s">
        <v>1432</v>
      </c>
      <c r="B102" s="2581" t="s">
        <v>1431</v>
      </c>
      <c r="C102" s="2582">
        <f ca="1">IF(D32="楼面单价",ROUND(C19,0),C19)</f>
        <v>28181</v>
      </c>
      <c r="D102" s="2583">
        <f ca="1">IF(D32="楼面单价",ROUND(D19,0),D19)</f>
        <v>25489</v>
      </c>
      <c r="E102" s="3666"/>
      <c r="F102" s="3623"/>
      <c r="G102" s="1827" t="s">
        <v>1433</v>
      </c>
      <c r="H102" s="2552">
        <f ca="1">I118</f>
        <v>14260</v>
      </c>
      <c r="I102" s="129"/>
    </row>
    <row r="103" spans="1:35" ht="42.75" customHeight="1">
      <c r="A103" s="3625"/>
      <c r="B103" s="2581" t="s">
        <v>1433</v>
      </c>
      <c r="C103" s="2584">
        <f ca="1">C20</f>
        <v>14975</v>
      </c>
      <c r="D103" s="2585">
        <f ca="1">D20</f>
        <v>13544</v>
      </c>
      <c r="E103" s="3660" t="s">
        <v>1434</v>
      </c>
      <c r="F103" s="3661"/>
      <c r="G103" s="1828" t="s">
        <v>1435</v>
      </c>
      <c r="H103" s="2592">
        <f>IF(D36="正常操作",H104+H105+H106,H105+H106)</f>
        <v>0</v>
      </c>
      <c r="I103" s="129"/>
    </row>
    <row r="104" spans="1:35" ht="18.75" customHeight="1">
      <c r="A104" s="3625" t="s">
        <v>1436</v>
      </c>
      <c r="B104" s="2586" t="s">
        <v>1431</v>
      </c>
      <c r="C104" s="2587">
        <f ca="1">H118</f>
        <v>26835</v>
      </c>
      <c r="D104" s="2588"/>
      <c r="E104" s="1674" t="s">
        <v>1437</v>
      </c>
      <c r="F104" s="1666"/>
      <c r="G104" s="1828" t="s">
        <v>1435</v>
      </c>
      <c r="H104" s="2593">
        <f>IF(D36="同一抵押权人同一抵押物续贷",C36&amp;"（续贷，未扣减，详见特别提示）",C36)</f>
        <v>0</v>
      </c>
      <c r="I104" s="129"/>
    </row>
    <row r="105" spans="1:35" ht="18.75" customHeight="1" thickBot="1">
      <c r="A105" s="3626"/>
      <c r="B105" s="2589" t="s">
        <v>1433</v>
      </c>
      <c r="C105" s="2590">
        <f ca="1">I118</f>
        <v>14260</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622" t="str">
        <f>IF(项目基本情况!E8="已注销","——","3.房地产抵押价值")</f>
        <v>3.房地产抵押价值</v>
      </c>
      <c r="F107" s="3623"/>
      <c r="G107" s="1827" t="s">
        <v>1431</v>
      </c>
      <c r="H107" s="2592">
        <f ca="1">IF(E107="——","——",H101-H103)</f>
        <v>26835</v>
      </c>
      <c r="I107" s="129"/>
    </row>
    <row r="108" spans="1:35" ht="18.75" customHeight="1">
      <c r="A108" s="129"/>
      <c r="B108" s="129"/>
      <c r="C108" s="129"/>
      <c r="D108" s="129"/>
      <c r="E108" s="3622"/>
      <c r="F108" s="3623"/>
      <c r="G108" s="1827" t="s">
        <v>1433</v>
      </c>
      <c r="H108" s="2552">
        <f ca="1">IF(H107=H101,H102,ROUND(H107*10000/'数据-汇总表'!E3,0))</f>
        <v>14260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1431</v>
      </c>
      <c r="H109" s="2595" t="str">
        <f>IF(E109="——","——",H101-H105-H106)</f>
        <v>——</v>
      </c>
      <c r="I109" s="129"/>
    </row>
    <row r="110" spans="1:35" ht="18.75" customHeight="1">
      <c r="A110" s="129"/>
      <c r="B110" s="129"/>
      <c r="C110" s="129"/>
      <c r="D110" s="129"/>
      <c r="E110" s="3622"/>
      <c r="F110" s="3623"/>
      <c r="G110" s="1827" t="s">
        <v>1433</v>
      </c>
      <c r="H110" s="2552"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7" t="s">
        <v>1431</v>
      </c>
      <c r="H111" s="2592" t="str">
        <f>IF(E111="——","——",N59)</f>
        <v>——</v>
      </c>
      <c r="I111" s="129"/>
    </row>
    <row r="112" spans="1:35" ht="18.75" customHeight="1" thickBot="1">
      <c r="A112" s="129"/>
      <c r="B112" s="129"/>
      <c r="C112" s="129"/>
      <c r="D112" s="129"/>
      <c r="E112" s="3655"/>
      <c r="F112" s="3656"/>
      <c r="G112" s="1830" t="s">
        <v>1433</v>
      </c>
      <c r="H112" s="2596"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3" t="s">
        <v>1442</v>
      </c>
      <c r="B116" s="3628" t="s">
        <v>1443</v>
      </c>
      <c r="C116" s="3628" t="s">
        <v>1444</v>
      </c>
      <c r="D116" s="3641" t="s">
        <v>1445</v>
      </c>
      <c r="E116" s="3642"/>
      <c r="F116" s="3636" t="s">
        <v>1446</v>
      </c>
      <c r="G116" s="3636"/>
      <c r="H116" s="3593" t="s">
        <v>1447</v>
      </c>
      <c r="I116" s="3593"/>
    </row>
    <row r="117" spans="1:27" ht="18.75" customHeight="1">
      <c r="A117" s="3593"/>
      <c r="B117" s="3629"/>
      <c r="C117" s="3629"/>
      <c r="D117" s="2329" t="s">
        <v>1448</v>
      </c>
      <c r="E117" s="2329" t="s">
        <v>1449</v>
      </c>
      <c r="F117" s="2329" t="s">
        <v>1448</v>
      </c>
      <c r="G117" s="2329" t="s">
        <v>1450</v>
      </c>
      <c r="H117" s="2329" t="s">
        <v>1448</v>
      </c>
      <c r="I117" s="2329" t="s">
        <v>1450</v>
      </c>
    </row>
    <row r="118" spans="1:27" ht="24.75" customHeight="1">
      <c r="A118" s="2597" t="str">
        <f>项目基本情况!S2</f>
        <v>北京市石景山区秀府西街5号院12号楼房地产</v>
      </c>
      <c r="B118" s="2329">
        <f>M18</f>
        <v>18818.8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26835</v>
      </c>
      <c r="I118" s="2329">
        <f ca="1">ROUND(IF(D32="楼面单价",C32,H118*10000/B118),0)</f>
        <v>14260</v>
      </c>
    </row>
    <row r="119" spans="1:27" ht="18.75" customHeight="1">
      <c r="A119" s="3593" t="s">
        <v>1451</v>
      </c>
      <c r="B119" s="3593"/>
      <c r="C119" s="3593"/>
      <c r="D119" s="3633" t="e">
        <f ca="1">NUMBERSTRING(INT(D118*10000),2)&amp;"元整"</f>
        <v>#REF!</v>
      </c>
      <c r="E119" s="3635"/>
      <c r="F119" s="3633" t="e">
        <f ca="1">NUMBERSTRING(INT(F118*10000),2)&amp;"元整"</f>
        <v>#REF!</v>
      </c>
      <c r="G119" s="3635"/>
      <c r="H119" s="3633" t="str">
        <f ca="1">NUMBERSTRING(INT(H118*10000),2)&amp;"元整"</f>
        <v>贰亿陆仟捌佰叁拾伍万元整</v>
      </c>
      <c r="I119" s="3635"/>
    </row>
    <row r="120" spans="1:27" ht="18.75" customHeight="1">
      <c r="A120" s="3657" t="str">
        <f>IF(项目基本情况!B9="房地产市场价值","",MID(E103,3,LEN(E103)-2))</f>
        <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3" t="s">
        <v>1451</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
      </c>
      <c r="B122" s="3624"/>
      <c r="C122" s="3624"/>
      <c r="D122" s="3657">
        <f ca="1">H107</f>
        <v>26835</v>
      </c>
      <c r="E122" s="3658"/>
      <c r="F122" s="3658"/>
      <c r="G122" s="3658"/>
      <c r="H122" s="3658"/>
      <c r="I122" s="3659"/>
      <c r="AA122" s="725"/>
    </row>
    <row r="123" spans="1:27" ht="18.75" customHeight="1">
      <c r="A123" s="3593" t="s">
        <v>1451</v>
      </c>
      <c r="B123" s="3593"/>
      <c r="C123" s="3593"/>
      <c r="D123" s="3633" t="str">
        <f ca="1">NUMBERSTRING(INT(D122*10000),2)&amp;"元整"</f>
        <v>贰亿陆仟捌佰叁拾伍万元整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1451</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
      </c>
      <c r="B126" s="3624"/>
      <c r="C126" s="3624"/>
      <c r="D126" s="3657" t="str">
        <f>H111</f>
        <v>——</v>
      </c>
      <c r="E126" s="3658"/>
      <c r="F126" s="3658"/>
      <c r="G126" s="3658"/>
      <c r="H126" s="3658"/>
      <c r="I126" s="3659"/>
      <c r="AA126" s="725"/>
    </row>
    <row r="127" spans="1:27" ht="18.75" customHeight="1">
      <c r="A127" s="3593" t="s">
        <v>1451</v>
      </c>
      <c r="B127" s="3593"/>
      <c r="C127" s="3593"/>
      <c r="D127" s="3633" t="e">
        <f>NUMBERSTRING(INT(D126*10000),2)&amp;"元整"</f>
        <v>#VALUE!</v>
      </c>
      <c r="E127" s="3634"/>
      <c r="F127" s="3634"/>
      <c r="G127" s="3634"/>
      <c r="H127" s="3634"/>
      <c r="I127" s="3635"/>
      <c r="AA127" s="725"/>
    </row>
    <row r="128" spans="1:27" ht="21.75" customHeight="1">
      <c r="A128" s="3640" t="s">
        <v>1452</v>
      </c>
      <c r="B128" s="3640"/>
      <c r="C128" s="3640"/>
      <c r="D128" s="3640"/>
      <c r="E128" s="3640"/>
      <c r="F128" s="3640"/>
      <c r="G128" s="3640"/>
      <c r="H128" s="3640"/>
      <c r="I128" s="364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北京市石景山区秀府西街5号院12号楼房地产市场价值预评估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46" sqref="I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28181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14975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11699</v>
      </c>
      <c r="D5" s="211" t="s">
        <v>1468</v>
      </c>
      <c r="E5" s="212" t="s">
        <v>1469</v>
      </c>
      <c r="F5" s="212" t="s">
        <v>1470</v>
      </c>
      <c r="G5" s="213"/>
    </row>
    <row r="6" spans="1:9" s="214" customFormat="1" ht="13.5" customHeight="1">
      <c r="A6" s="778" t="s">
        <v>1471</v>
      </c>
      <c r="B6" s="215" t="s">
        <v>1472</v>
      </c>
      <c r="C6" s="216">
        <f>'基准地价修正-商业'!B2+'基准地价修正-办公'!B2</f>
        <v>10988</v>
      </c>
      <c r="D6" s="217"/>
      <c r="E6" s="218"/>
      <c r="F6" s="218"/>
      <c r="G6" s="219"/>
    </row>
    <row r="7" spans="1:9" s="214" customFormat="1" ht="13.5" customHeight="1">
      <c r="A7" s="778" t="s">
        <v>1473</v>
      </c>
      <c r="B7" s="215" t="s">
        <v>1474</v>
      </c>
      <c r="C7" s="220">
        <f>ROUND(C6*F7,0)</f>
        <v>335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376</v>
      </c>
      <c r="D8" s="222"/>
      <c r="E8" s="220"/>
      <c r="F8" s="221"/>
      <c r="G8" s="1856" t="s">
        <v>3563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376</v>
      </c>
      <c r="D10" s="845">
        <f ca="1">IF(B1="",'数据-汇总表'!E6,IF(INDIRECT("'数据-取费表'!c"&amp;$G$1)="住宅",INDIRECT("'数据-取费表'!s"&amp;$G$1),INDIRECT("'数据-取费表'!k"&amp;$G$1)+INDIRECT("'数据-取费表'!s"&amp;$G$1)))</f>
        <v>18818.8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18818.8</v>
      </c>
      <c r="E19" s="211">
        <f>'数据-取费表'!B31</f>
        <v>200</v>
      </c>
      <c r="F19" s="231"/>
      <c r="G19" s="1856" t="s">
        <v>3564</v>
      </c>
    </row>
    <row r="20" spans="1:7" s="214" customFormat="1" ht="13.5" customHeight="1">
      <c r="A20" s="255" t="s">
        <v>1492</v>
      </c>
      <c r="B20" s="210" t="s">
        <v>1493</v>
      </c>
      <c r="C20" s="232">
        <f ca="1">ROUND((C5+C19)*F20,0)</f>
        <v>234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829</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821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2148</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ROUND((C5+C19+C20)*F27*'数据-取费表'!B21/'数据-取费表'!B20,0)</f>
        <v>2148</v>
      </c>
      <c r="D28" s="235"/>
      <c r="E28" s="236"/>
      <c r="F28" s="246"/>
      <c r="G28" s="247"/>
    </row>
    <row r="29" spans="1:7" s="214" customFormat="1" ht="13.5" customHeight="1">
      <c r="A29" s="780"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16164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9225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8468</v>
      </c>
      <c r="D34" s="217"/>
      <c r="E34" s="220"/>
      <c r="F34" s="257">
        <f ca="1">IF('数据-取费表'!B24=0,1,IF(B1="",'数据-取费表'!N16,INDIRECT("'数据-取费表'!n"&amp;$G$1)))</f>
        <v>1</v>
      </c>
      <c r="G34" s="219" t="s">
        <v>1525</v>
      </c>
    </row>
    <row r="35" spans="1:7" ht="13.5" customHeight="1">
      <c r="A35" s="780" t="s">
        <v>351</v>
      </c>
      <c r="B35" s="215" t="s">
        <v>1526</v>
      </c>
      <c r="C35" s="220">
        <f ca="1">ROUND(C34*F35,0)</f>
        <v>254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376</v>
      </c>
      <c r="D37" s="217">
        <f ca="1">D19</f>
        <v>18818.8</v>
      </c>
      <c r="E37" s="249">
        <f>'数据-取费表'!B35</f>
        <v>200</v>
      </c>
      <c r="F37" s="259"/>
      <c r="G37" s="261" t="s">
        <v>1531</v>
      </c>
    </row>
    <row r="38" spans="1:7" ht="13.5" customHeight="1">
      <c r="A38" s="780" t="s">
        <v>354</v>
      </c>
      <c r="B38" s="215" t="s">
        <v>1532</v>
      </c>
      <c r="C38" s="220">
        <f ca="1">ROUND(C34*F38,0)</f>
        <v>127</v>
      </c>
      <c r="D38" s="220"/>
      <c r="E38" s="220"/>
      <c r="F38" s="259">
        <f>'数据-取费表'!B36</f>
        <v>1.4999999999999999E-2</v>
      </c>
      <c r="G38" s="219" t="s">
        <v>1527</v>
      </c>
    </row>
    <row r="39" spans="1:7" s="214" customFormat="1" ht="13.5" customHeight="1">
      <c r="A39" s="255" t="s">
        <v>1533</v>
      </c>
      <c r="B39" s="210" t="s">
        <v>1534</v>
      </c>
      <c r="C39" s="232">
        <f ca="1">ROUND(C33*F20,0)</f>
        <v>185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324</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318</v>
      </c>
      <c r="D42" s="238"/>
      <c r="E42" s="238"/>
      <c r="F42" s="239"/>
      <c r="G42" s="3673" t="s">
        <v>1543</v>
      </c>
    </row>
    <row r="43" spans="1:7" ht="13.5" customHeight="1">
      <c r="A43" s="780" t="s">
        <v>347</v>
      </c>
      <c r="B43" s="215" t="s">
        <v>1544</v>
      </c>
      <c r="C43" s="238">
        <f ca="1">ROUND(IF('数据-取费表'!B22&lt;=1,C39*F22*'数据-取费表'!B21/2,C39*(POWER((1+F22),'数据-取费表'!B21/2)-1)),0)</f>
        <v>6</v>
      </c>
      <c r="D43" s="238"/>
      <c r="E43" s="238"/>
      <c r="F43" s="239"/>
      <c r="G43" s="3674"/>
    </row>
    <row r="44" spans="1:7" ht="13.5" customHeight="1">
      <c r="A44" s="780" t="s">
        <v>348</v>
      </c>
      <c r="B44" s="215" t="s">
        <v>1545</v>
      </c>
      <c r="C44" s="238">
        <f ca="1">ROUND(IF('数据-取费表'!B22&lt;=1,C40*F22*'数据-取费表'!B21/2,C40*(POWER((1+F22),'数据-取费表'!B21/2)-1)),4)</f>
        <v>6.9999999999999999E-4</v>
      </c>
      <c r="D44" s="238"/>
      <c r="E44" s="238"/>
      <c r="F44" s="239"/>
      <c r="G44" s="3675"/>
    </row>
    <row r="45" spans="1:7" s="214" customFormat="1" ht="13.5" customHeight="1">
      <c r="A45" s="255" t="s">
        <v>1546</v>
      </c>
      <c r="B45" s="244" t="s">
        <v>1512</v>
      </c>
      <c r="C45" s="245">
        <f ca="1">C46</f>
        <v>1694</v>
      </c>
      <c r="D45" s="235">
        <f ca="1">C47</f>
        <v>3.5999999999999999E-3</v>
      </c>
      <c r="E45" s="236" t="s">
        <v>1538</v>
      </c>
      <c r="F45" s="246">
        <f ca="1">F27</f>
        <v>0.18</v>
      </c>
      <c r="G45" s="247" t="s">
        <v>1547</v>
      </c>
    </row>
    <row r="46" spans="1:7" s="214" customFormat="1" ht="13.5" customHeight="1">
      <c r="A46" s="780" t="s">
        <v>346</v>
      </c>
      <c r="B46" s="248" t="s">
        <v>1548</v>
      </c>
      <c r="C46" s="249">
        <f ca="1">ROUND((C33+C39)*F27,0)</f>
        <v>1694</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12389</v>
      </c>
      <c r="D49" s="232"/>
      <c r="E49" s="232"/>
      <c r="F49" s="264"/>
      <c r="G49" s="234" t="s">
        <v>1553</v>
      </c>
    </row>
    <row r="50" spans="1:7" s="258" customFormat="1" ht="24">
      <c r="A50" s="255" t="s">
        <v>1554</v>
      </c>
      <c r="B50" s="210" t="s">
        <v>1555</v>
      </c>
      <c r="C50" s="232"/>
      <c r="D50" s="232"/>
      <c r="E50" s="232"/>
      <c r="F50" s="264">
        <f>IF('数据-取费表'!B24=0,'数据-取费表'!N16,1)</f>
        <v>0.97</v>
      </c>
      <c r="G50" s="247" t="s">
        <v>1556</v>
      </c>
    </row>
    <row r="51" spans="1:7" ht="16.5" customHeight="1">
      <c r="A51" s="255" t="s">
        <v>1557</v>
      </c>
      <c r="B51" s="210" t="s">
        <v>1558</v>
      </c>
      <c r="C51" s="232">
        <f ca="1">ROUND(C49*F50,0)</f>
        <v>12017</v>
      </c>
      <c r="D51" s="232"/>
      <c r="E51" s="232"/>
      <c r="F51" s="264"/>
      <c r="G51" s="234" t="s">
        <v>1559</v>
      </c>
    </row>
    <row r="52" spans="1:7" s="208" customFormat="1" ht="16.5" thickBot="1">
      <c r="A52" s="265" t="s">
        <v>1560</v>
      </c>
      <c r="B52" s="266"/>
      <c r="C52" s="267">
        <f ca="1">C31+C51</f>
        <v>28181</v>
      </c>
      <c r="D52" s="266"/>
      <c r="E52" s="266"/>
      <c r="F52" s="266"/>
      <c r="G52" s="268"/>
    </row>
    <row r="55" spans="1:7" ht="15">
      <c r="B55" s="270" t="s">
        <v>1561</v>
      </c>
      <c r="C55" s="271"/>
    </row>
    <row r="56" spans="1:7">
      <c r="B56" s="273" t="s">
        <v>802</v>
      </c>
      <c r="C56" s="275">
        <f ca="1">1-C57</f>
        <v>0.57400000000000007</v>
      </c>
    </row>
    <row r="57" spans="1:7">
      <c r="B57" s="273" t="s">
        <v>803</v>
      </c>
      <c r="C57" s="274">
        <f ca="1">ROUND(C51/C52,3)</f>
        <v>0.42599999999999999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1">
        <f ca="1">ROUND(IF(D2="——",C52/10000,C52/10000-E2),4)</f>
        <v>13058.8374</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6939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3763760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3763760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3763760</v>
      </c>
      <c r="D10" s="845">
        <f ca="1">IF(B1="",'数据-汇总表'!E6,IF(INDIRECT("'数据-取费表'!c"&amp;$G$1)="住宅",INDIRECT("'数据-取费表'!s"&amp;$G$1),INDIRECT("'数据-取费表'!k"&amp;$G$1)+INDIRECT("'数据-取费表'!s"&amp;$G$1)))</f>
        <v>18818.8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3763760</v>
      </c>
      <c r="D19" s="849">
        <f ca="1">D9+D10</f>
        <v>18818.8</v>
      </c>
      <c r="E19" s="211">
        <f>'数据-取费表'!B31</f>
        <v>200</v>
      </c>
      <c r="F19" s="231"/>
      <c r="G19" s="1856"/>
    </row>
    <row r="20" spans="1:7" s="214" customFormat="1" ht="13.5" customHeight="1">
      <c r="A20" s="255" t="s">
        <v>1573</v>
      </c>
      <c r="B20" s="210" t="s">
        <v>1574</v>
      </c>
      <c r="C20" s="232">
        <f ca="1">ROUND((C5+C19)*F20,0)</f>
        <v>150550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533552</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264179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264179</v>
      </c>
      <c r="D24" s="238"/>
      <c r="E24" s="238"/>
      <c r="F24" s="239"/>
      <c r="G24" s="240" t="s">
        <v>1585</v>
      </c>
    </row>
    <row r="25" spans="1:7" s="214" customFormat="1" ht="24">
      <c r="A25" s="780" t="s">
        <v>1475</v>
      </c>
      <c r="B25" s="215" t="s">
        <v>1586</v>
      </c>
      <c r="C25" s="1128">
        <f ca="1">ROUND(IF('数据-取费表'!B22&lt;=1,C20*F22*'数据-取费表'!B22/2,C20*(POWER((1+F22),'数据-取费表'!B22/2)-1)),0)</f>
        <v>5194</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1382053</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ROUND((C5+C19+C20)*F27,0)</f>
        <v>1382053</v>
      </c>
      <c r="D28" s="235"/>
      <c r="E28" s="236"/>
      <c r="F28" s="246"/>
      <c r="G28" s="247"/>
    </row>
    <row r="29" spans="1:7" s="214" customFormat="1" ht="13.5" customHeight="1">
      <c r="A29" s="780"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10400775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92259167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84684600</v>
      </c>
      <c r="D34" s="217"/>
      <c r="E34" s="220"/>
      <c r="F34" s="257"/>
      <c r="G34" s="219"/>
    </row>
    <row r="35" spans="1:7" ht="13.5" customHeight="1">
      <c r="A35" s="780" t="s">
        <v>351</v>
      </c>
      <c r="B35" s="215" t="s">
        <v>1526</v>
      </c>
      <c r="C35" s="220">
        <f ca="1">ROUND(C34*F35,0)</f>
        <v>2540538</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3763760</v>
      </c>
      <c r="D37" s="217">
        <f ca="1">D19</f>
        <v>18818.8</v>
      </c>
      <c r="E37" s="249">
        <f>'数据-取费表'!B35</f>
        <v>200</v>
      </c>
      <c r="F37" s="259"/>
      <c r="G37" s="261"/>
    </row>
    <row r="38" spans="1:7" ht="13.5" customHeight="1">
      <c r="A38" s="780" t="s">
        <v>354</v>
      </c>
      <c r="B38" s="215" t="s">
        <v>1532</v>
      </c>
      <c r="C38" s="220">
        <f ca="1">ROUND(C34*F38,0)</f>
        <v>1270269</v>
      </c>
      <c r="D38" s="220"/>
      <c r="E38" s="220"/>
      <c r="F38" s="259">
        <f>'数据-取费表'!B36</f>
        <v>1.4999999999999999E-2</v>
      </c>
      <c r="G38" s="219" t="s">
        <v>1527</v>
      </c>
    </row>
    <row r="39" spans="1:7" s="214" customFormat="1" ht="13.5" customHeight="1">
      <c r="A39" s="255" t="s">
        <v>1533</v>
      </c>
      <c r="B39" s="210" t="s">
        <v>1534</v>
      </c>
      <c r="C39" s="232">
        <f ca="1">ROUND(C33*F20,0)</f>
        <v>1845183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3246600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3182941</v>
      </c>
      <c r="D42" s="238"/>
      <c r="E42" s="238"/>
      <c r="F42" s="239"/>
      <c r="G42" s="3673" t="s">
        <v>1590</v>
      </c>
    </row>
    <row r="43" spans="1:7" ht="13.5" customHeight="1">
      <c r="A43" s="780" t="s">
        <v>347</v>
      </c>
      <c r="B43" s="215" t="s">
        <v>1544</v>
      </c>
      <c r="C43" s="238">
        <f ca="1">ROUND(IF('数据-取费表'!B22&lt;=1,C39*F22*'数据-取费表'!B20/2,C39*(POWER((1+F22),'数据-取费表'!B20/2)-1)),0)</f>
        <v>63659</v>
      </c>
      <c r="D43" s="238"/>
      <c r="E43" s="238"/>
      <c r="F43" s="239"/>
      <c r="G43" s="3674"/>
    </row>
    <row r="44" spans="1:7" ht="13.5" customHeight="1">
      <c r="A44" s="780" t="s">
        <v>348</v>
      </c>
      <c r="B44" s="215" t="s">
        <v>1545</v>
      </c>
      <c r="C44" s="238">
        <f ca="1">ROUND(IF('数据-取费表'!B22&lt;=1,C40*F22*'数据-取费表'!B20/2,C40*(POWER((1+F22),'数据-取费表'!B20/2)-1)),4)</f>
        <v>6.9999999999999999E-4</v>
      </c>
      <c r="D44" s="238"/>
      <c r="E44" s="238"/>
      <c r="F44" s="239"/>
      <c r="G44" s="3675"/>
    </row>
    <row r="45" spans="1:7" s="214" customFormat="1" ht="13.5" customHeight="1">
      <c r="A45" s="255" t="s">
        <v>1546</v>
      </c>
      <c r="B45" s="244" t="s">
        <v>1512</v>
      </c>
      <c r="C45" s="245">
        <f ca="1">C46</f>
        <v>16938783</v>
      </c>
      <c r="D45" s="235">
        <f ca="1">C47</f>
        <v>3.5999999999999999E-3</v>
      </c>
      <c r="E45" s="236" t="s">
        <v>1538</v>
      </c>
      <c r="F45" s="246">
        <f ca="1">F27</f>
        <v>0.18</v>
      </c>
      <c r="G45" s="247" t="s">
        <v>1547</v>
      </c>
    </row>
    <row r="46" spans="1:7" s="214" customFormat="1" ht="13.5" customHeight="1">
      <c r="A46" s="780" t="s">
        <v>346</v>
      </c>
      <c r="B46" s="248" t="s">
        <v>1548</v>
      </c>
      <c r="C46" s="249">
        <f ca="1">ROUND((C33+C39)*F27,0)</f>
        <v>16938783</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123904741</v>
      </c>
      <c r="D49" s="232"/>
      <c r="E49" s="232"/>
      <c r="F49" s="264"/>
      <c r="G49" s="234" t="s">
        <v>1553</v>
      </c>
    </row>
    <row r="50" spans="1:7" s="258" customFormat="1">
      <c r="A50" s="255" t="s">
        <v>1554</v>
      </c>
      <c r="B50" s="210" t="s">
        <v>1555</v>
      </c>
      <c r="C50" s="232"/>
      <c r="D50" s="232"/>
      <c r="E50" s="232"/>
      <c r="F50" s="264">
        <f>IF('数据-取费表'!B24=0,'数据-取费表'!N16,1)</f>
        <v>0.97</v>
      </c>
      <c r="G50" s="247"/>
    </row>
    <row r="51" spans="1:7" ht="16.5" customHeight="1">
      <c r="A51" s="255" t="s">
        <v>1557</v>
      </c>
      <c r="B51" s="210" t="s">
        <v>1592</v>
      </c>
      <c r="C51" s="232">
        <f ca="1">ROUND(C49*F50,0)</f>
        <v>120187599</v>
      </c>
      <c r="D51" s="232"/>
      <c r="E51" s="232"/>
      <c r="F51" s="264"/>
      <c r="G51" s="234" t="s">
        <v>1559</v>
      </c>
    </row>
    <row r="52" spans="1:7" s="208" customFormat="1" ht="16.5" thickBot="1">
      <c r="A52" s="265" t="s">
        <v>1560</v>
      </c>
      <c r="B52" s="266"/>
      <c r="C52" s="267">
        <f ca="1">C31+C51</f>
        <v>130588374</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8</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18818.8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18818.8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376</v>
      </c>
      <c r="D20" s="846">
        <f ca="1">IF(C1="",'数据-汇总表'!E6,IF(INDIRECT("'数据-取费表'!c"&amp;$K$1)="住宅",INDIRECT("'数据-取费表'!s"&amp;$K$1),INDIRECT("'数据-取费表'!k"&amp;$K$1)+INDIRECT("'数据-取费表'!s"&amp;$K$1)))</f>
        <v>18818.8</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U37" sqref="U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10595.97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6576</v>
      </c>
      <c r="C2" s="1999" t="s">
        <v>1934</v>
      </c>
      <c r="D2" s="2000" t="s">
        <v>1935</v>
      </c>
      <c r="E2" s="3419" t="s">
        <v>673</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9063</v>
      </c>
      <c r="U2" s="1213">
        <f>'数据-取费表'!T22</f>
        <v>924.11</v>
      </c>
      <c r="V2" s="3358">
        <f>ROUND(T2*U2/10000,0)</f>
        <v>838</v>
      </c>
      <c r="W2" s="1216"/>
      <c r="X2" s="1216"/>
      <c r="Y2" s="1216"/>
      <c r="Z2" s="1216"/>
      <c r="AA2" s="1216"/>
      <c r="AB2" s="1216"/>
      <c r="AC2" s="1217"/>
      <c r="AD2" s="1218"/>
      <c r="AE2" s="1218"/>
      <c r="AF2" s="1218"/>
      <c r="AG2" s="1218"/>
      <c r="AH2" s="1218"/>
      <c r="AI2" s="1218"/>
      <c r="AJ2" s="1219"/>
    </row>
    <row r="3" spans="1:36" ht="15.75">
      <c r="A3" s="203" t="s">
        <v>1939</v>
      </c>
      <c r="B3" s="204">
        <f>ROUND(B2*10000/D1,0)</f>
        <v>6206</v>
      </c>
      <c r="C3" s="1999" t="s">
        <v>1940</v>
      </c>
      <c r="D3" s="2000" t="s">
        <v>1941</v>
      </c>
      <c r="E3" s="3417" t="s">
        <v>2435</v>
      </c>
      <c r="F3" s="2004" t="s">
        <v>3555</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6986</v>
      </c>
      <c r="U3" s="1213">
        <f>SUM(产证指标!B7:B10)</f>
        <v>3539.09</v>
      </c>
      <c r="V3" s="3358">
        <f t="shared" ref="V3:V16" si="1">ROUND(T3*U3/10000,0)</f>
        <v>2472</v>
      </c>
      <c r="W3" s="1216"/>
      <c r="X3" s="1216"/>
      <c r="Y3" s="1216"/>
      <c r="Z3" s="1216"/>
      <c r="AA3" s="1216"/>
      <c r="AB3" s="1216"/>
      <c r="AC3" s="1217"/>
      <c r="AD3" s="1218"/>
      <c r="AE3" s="1218"/>
      <c r="AF3" s="1218"/>
      <c r="AG3" s="1218"/>
      <c r="AH3" s="1218"/>
      <c r="AI3" s="1218"/>
      <c r="AJ3" s="1219"/>
    </row>
    <row r="4" spans="1:36" ht="15.75">
      <c r="A4" s="3683"/>
      <c r="B4" s="3684"/>
      <c r="C4" s="3684"/>
      <c r="D4" s="3685"/>
      <c r="E4" s="3685"/>
      <c r="F4" s="3685"/>
      <c r="G4" s="3685"/>
      <c r="H4" s="3685"/>
      <c r="I4" s="3685"/>
      <c r="J4" s="368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5698</v>
      </c>
      <c r="U4" s="1213">
        <f>SUM(产证指标!B11:B14)</f>
        <v>3472.75</v>
      </c>
      <c r="V4" s="3358">
        <f t="shared" si="1"/>
        <v>1979</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5885</v>
      </c>
      <c r="D5" s="1339">
        <f>ROUND(C6*C17+C20,0)</f>
        <v>5885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4838</v>
      </c>
      <c r="U5" s="1213">
        <f>SUM(产证指标!B15:B17)</f>
        <v>2660.02</v>
      </c>
      <c r="V5" s="3358">
        <f t="shared" si="1"/>
        <v>1287</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4407</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八级</v>
      </c>
      <c r="Y7" s="1214" t="s">
        <v>1955</v>
      </c>
      <c r="Z7" s="1215" t="e">
        <f>G3</f>
        <v>#DIV/0!</v>
      </c>
      <c r="AA7" s="1216"/>
      <c r="AB7" s="1216"/>
      <c r="AC7" s="1217"/>
      <c r="AD7" s="1218"/>
      <c r="AE7" s="1218"/>
      <c r="AF7" s="1218"/>
      <c r="AG7" s="1218"/>
      <c r="AH7" s="1218"/>
      <c r="AI7" s="1218"/>
      <c r="AJ7" s="1219"/>
    </row>
    <row r="8" spans="1:36" ht="25.5">
      <c r="A8" s="3296"/>
      <c r="B8" s="170" t="s">
        <v>1956</v>
      </c>
      <c r="C8" s="2026" t="s">
        <v>3556</v>
      </c>
      <c r="D8" s="756" t="s">
        <v>112</v>
      </c>
      <c r="E8" s="757" t="e">
        <f>ROUND(C11/E7,4)</f>
        <v>#DIV/0!</v>
      </c>
      <c r="F8" s="2027" t="s">
        <v>1957</v>
      </c>
      <c r="G8" s="2028"/>
      <c r="H8" s="2028"/>
      <c r="I8" s="2028"/>
      <c r="J8" s="2029"/>
      <c r="K8" s="1119"/>
      <c r="L8" s="2003" t="s">
        <v>1958</v>
      </c>
      <c r="M8" s="864">
        <f>SUMPRODUCT((区片价!B234:B276=I2)*(区片价!C3:G3=E2)*(区片价!C234:G276))</f>
        <v>5850</v>
      </c>
      <c r="N8" s="866">
        <f>SUMPRODUCT((因素修正幅度!B234:B276=I2)*(因素修正幅度!C3:G3=E2)*(因素修正幅度!C234:G276))</f>
        <v>0.15</v>
      </c>
      <c r="O8" s="1119"/>
      <c r="P8" s="1119"/>
      <c r="Q8" s="1119"/>
      <c r="R8" s="1212">
        <v>7</v>
      </c>
      <c r="S8" s="1213"/>
      <c r="T8" s="3358">
        <f t="shared" si="0"/>
        <v>0</v>
      </c>
      <c r="U8" s="1213"/>
      <c r="V8" s="3358">
        <f t="shared" si="1"/>
        <v>0</v>
      </c>
      <c r="W8" s="3680" t="s">
        <v>1959</v>
      </c>
      <c r="X8" s="368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2"/>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v>1</v>
      </c>
      <c r="D12" s="3304" t="s">
        <v>3236</v>
      </c>
      <c r="E12" s="3305" t="s">
        <v>3237</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3239</v>
      </c>
      <c r="G14" s="3309" t="s">
        <v>3239</v>
      </c>
      <c r="H14" s="3309" t="s">
        <v>3239</v>
      </c>
      <c r="I14" s="3309" t="s">
        <v>3239</v>
      </c>
      <c r="J14" s="3309" t="s">
        <v>3239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f>ROUND(G18/I18,2)</f>
        <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3244</v>
      </c>
      <c r="E18" s="3326"/>
      <c r="F18" s="3321" t="s">
        <v>3247</v>
      </c>
      <c r="G18" s="3325">
        <f>ROUND(1-(1/(POWER(1+G24,E18))),4)</f>
        <v>0</v>
      </c>
      <c r="H18" s="3321" t="s">
        <v>3249</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7" t="s">
        <v>3250</v>
      </c>
      <c r="B20" s="167" t="s">
        <v>1993</v>
      </c>
      <c r="C20" s="3322">
        <f>ROUND(IF(F21="与级别开发程度一致",0,(G21-E21)/C21),0)</f>
        <v>35</v>
      </c>
      <c r="D20" s="3338" t="s">
        <v>1997</v>
      </c>
      <c r="E20" s="3339"/>
      <c r="F20" s="3693" t="s">
        <v>1994</v>
      </c>
      <c r="G20" s="3694"/>
      <c r="H20" s="3323" t="s">
        <v>3521</v>
      </c>
      <c r="I20" s="3323" t="s">
        <v>3522</v>
      </c>
      <c r="J20" s="3324" t="s">
        <v>3523</v>
      </c>
      <c r="K20" s="2047" t="s">
        <v>3524</v>
      </c>
      <c r="L20" s="2047" t="s">
        <v>3525</v>
      </c>
      <c r="M20" s="2047" t="s">
        <v>3526</v>
      </c>
      <c r="N20" s="2047" t="s">
        <v>3527</v>
      </c>
      <c r="O20" s="2048" t="s">
        <v>3557</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8"/>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3558</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2001</v>
      </c>
      <c r="E23" s="761">
        <v>44197</v>
      </c>
      <c r="F23" s="2054" t="s">
        <v>2002</v>
      </c>
      <c r="G23" s="762">
        <f>'数据-取费表'!B2</f>
        <v>45253</v>
      </c>
      <c r="H23" s="3340" t="s">
        <v>3252</v>
      </c>
      <c r="I23" s="3341" t="str">
        <f>IF(H23="季度增幅（自定义）",SUMIF(N25:N28,E2,O25:O28),"")</f>
        <v/>
      </c>
      <c r="J23" s="3443" t="s">
        <v>3251</v>
      </c>
      <c r="K23" s="1125"/>
      <c r="L23" s="2055" t="s">
        <v>2003</v>
      </c>
      <c r="M23" s="1328">
        <f>ROUND(SUMIF(地价!B2:G2,E2,地价!B16:G16),0)</f>
        <v>350</v>
      </c>
      <c r="N23" s="2056"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0.95050000000000001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34.090000000000003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3559</v>
      </c>
      <c r="C25" s="771">
        <f>IF(B25="容积率修正",IF(G3&lt;10,D26,J26),C27)</f>
        <v>1.5418000000000001</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3253</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3254</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1.0059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6576</v>
      </c>
      <c r="D30" s="2083"/>
      <c r="E30" s="2046"/>
      <c r="F30" s="2084"/>
      <c r="G30" s="2046"/>
      <c r="H30" s="2046"/>
      <c r="I30" s="2046"/>
      <c r="J30" s="2085"/>
      <c r="K30" s="1119"/>
      <c r="L30" s="3348" t="s">
        <v>1935</v>
      </c>
      <c r="M30" s="3349" t="s">
        <v>1989</v>
      </c>
      <c r="N30" s="3349" t="s">
        <v>1990</v>
      </c>
      <c r="O30" s="3349" t="s">
        <v>1991</v>
      </c>
      <c r="P30" s="3349" t="s">
        <v>1992</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9063</v>
      </c>
      <c r="D33" s="2098">
        <f>'数据-汇总表'!F19</f>
        <v>10595.97</v>
      </c>
      <c r="E33" s="773">
        <f>ROUND(C33*D33/10000,0)</f>
        <v>9603</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1"/>
      <c r="B37" s="2113" t="s">
        <v>2035</v>
      </c>
      <c r="C37" s="175">
        <f>ROUND(D5*C22*C23*C24*C28*F37,0)</f>
        <v>2939</v>
      </c>
      <c r="D37" s="2098"/>
      <c r="E37" s="171">
        <f>ROUND(C37*D37/10000,0)</f>
        <v>0</v>
      </c>
      <c r="F37" s="171">
        <f>SUMIF(修正!A57:A68,G2,修正!B57:B68)</f>
        <v>0.5</v>
      </c>
      <c r="G37" s="171">
        <f>ROUND(IF(E2="工业",C37*$M$42,C37*$M$41),0)</f>
        <v>735</v>
      </c>
      <c r="H37" s="171">
        <f>D37</f>
        <v>0</v>
      </c>
      <c r="I37" s="171">
        <f>ROUND(G37*H37/10000,0)</f>
        <v>0</v>
      </c>
      <c r="J37" s="3009"/>
      <c r="K37" s="3356" t="s">
        <v>3262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2"/>
      <c r="B38" s="2041" t="s">
        <v>2036</v>
      </c>
      <c r="C38" s="175">
        <f>ROUND(D5*C22*C23*C24*C28*F38,0)</f>
        <v>1176</v>
      </c>
      <c r="D38" s="2098"/>
      <c r="E38" s="171">
        <f t="shared" ref="E38:E42" si="4">ROUND(C38*D38/10000,0)</f>
        <v>0</v>
      </c>
      <c r="F38" s="171">
        <f>SUMIF(修正!A57:A68,G2,修正!C57:C68)</f>
        <v>0.2</v>
      </c>
      <c r="G38" s="171">
        <f>ROUND(IF(E2="工业",C38*$M$42,C38*$M$41),0)</f>
        <v>294</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2"/>
      <c r="B39" s="2041" t="s">
        <v>3255</v>
      </c>
      <c r="C39" s="175">
        <f>ROUND(D5*C22*C23*C24*C28*F39,0)</f>
        <v>1176</v>
      </c>
      <c r="D39" s="2098"/>
      <c r="E39" s="171">
        <f t="shared" si="4"/>
        <v>0</v>
      </c>
      <c r="F39" s="171">
        <f>SUMIF(修正!A57:A68,G2,修正!D57:D68)</f>
        <v>0.2</v>
      </c>
      <c r="G39" s="171">
        <f>ROUND(IF(E2="工业",C39*$M$42,C39*$M$41),0)</f>
        <v>294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1176</v>
      </c>
      <c r="D40" s="2098"/>
      <c r="E40" s="171">
        <f t="shared" si="4"/>
        <v>0</v>
      </c>
      <c r="F40" s="175">
        <f>SUMIF(修正!A57:A68,G2,修正!E57:E68)</f>
        <v>0.2</v>
      </c>
      <c r="G40" s="171">
        <f>ROUND(IF(E2="工业",C40*$M$42,C40*$M$41),0)</f>
        <v>294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3548</v>
      </c>
      <c r="D50" s="1065">
        <f t="shared" ref="D50:D58" si="7">SUMIF($J$49:$N$49,C50,J50:N50)</f>
        <v>-2.2499999999999999E-2</v>
      </c>
      <c r="E50" s="744">
        <f>ROUND(SUM(D50:D58),4)</f>
        <v>5.8999999999999999E-3</v>
      </c>
      <c r="F50" s="1814">
        <f>IF(E2="商业",SUMIF(L1:L12,G2,N1:N12),"——")</f>
        <v>0.15</v>
      </c>
      <c r="G50" s="1063">
        <v>2.2499999999999999E-2</v>
      </c>
      <c r="H50" s="1066">
        <f t="shared" ref="H50:H58" si="8">IFERROR(ROUNDDOWN($F$50*I50/2,4),"——")</f>
        <v>2.2499999999999999E-2</v>
      </c>
      <c r="I50" s="3364">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3551</v>
      </c>
      <c r="D51" s="1065">
        <f t="shared" si="7"/>
        <v>0</v>
      </c>
      <c r="E51" s="745"/>
      <c r="F51" s="1814"/>
      <c r="G51" s="1063">
        <v>1.6500000000000001E-2</v>
      </c>
      <c r="H51" s="1066">
        <f t="shared" si="8"/>
        <v>1.6500000000000001E-2</v>
      </c>
      <c r="I51" s="3364">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t="s">
        <v>3546</v>
      </c>
      <c r="D52" s="1065">
        <f t="shared" si="7"/>
        <v>8.9999999999999993E-3</v>
      </c>
      <c r="E52" s="745"/>
      <c r="F52" s="1814"/>
      <c r="G52" s="1063">
        <v>8.9999999999999993E-3</v>
      </c>
      <c r="H52" s="1066">
        <f t="shared" si="8"/>
        <v>8.9999999999999993E-3</v>
      </c>
      <c r="I52" s="3364">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3551</v>
      </c>
      <c r="D53" s="1065">
        <f t="shared" si="7"/>
        <v>0</v>
      </c>
      <c r="E53" s="745"/>
      <c r="F53" s="1814"/>
      <c r="G53" s="1063">
        <v>3.7000000000000002E-3</v>
      </c>
      <c r="H53" s="1066">
        <f t="shared" si="8"/>
        <v>3.7000000000000002E-3</v>
      </c>
      <c r="I53" s="3364">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3551</v>
      </c>
      <c r="D54" s="1065">
        <f t="shared" si="7"/>
        <v>0</v>
      </c>
      <c r="E54" s="745"/>
      <c r="F54" s="1814"/>
      <c r="G54" s="1063">
        <v>6.0000000000000001E-3</v>
      </c>
      <c r="H54" s="1066">
        <f t="shared" si="8"/>
        <v>6.0000000000000001E-3</v>
      </c>
      <c r="I54" s="3364">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3546</v>
      </c>
      <c r="D55" s="1065">
        <f t="shared" si="7"/>
        <v>3.7000000000000002E-3</v>
      </c>
      <c r="E55" s="745"/>
      <c r="F55" s="1814"/>
      <c r="G55" s="1063">
        <v>3.7000000000000002E-3</v>
      </c>
      <c r="H55" s="1066">
        <f t="shared" si="8"/>
        <v>3.7000000000000002E-3</v>
      </c>
      <c r="I55" s="3364">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3551</v>
      </c>
      <c r="D56" s="1065">
        <f t="shared" si="7"/>
        <v>0</v>
      </c>
      <c r="E56" s="745"/>
      <c r="F56" s="1814"/>
      <c r="G56" s="1063">
        <v>3.7000000000000002E-3</v>
      </c>
      <c r="H56" s="1066">
        <f t="shared" si="8"/>
        <v>3.7000000000000002E-3</v>
      </c>
      <c r="I56" s="3364">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3560</v>
      </c>
      <c r="D57" s="1065">
        <f t="shared" si="7"/>
        <v>1.2E-2</v>
      </c>
      <c r="E57" s="745"/>
      <c r="F57" s="1814"/>
      <c r="G57" s="1063">
        <v>6.0000000000000001E-3</v>
      </c>
      <c r="H57" s="1066">
        <f t="shared" si="8"/>
        <v>6.0000000000000001E-3</v>
      </c>
      <c r="I57" s="3364">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3546</v>
      </c>
      <c r="D58" s="1065">
        <f t="shared" si="7"/>
        <v>3.7000000000000002E-3</v>
      </c>
      <c r="E58" s="746"/>
      <c r="F58" s="1814"/>
      <c r="G58" s="1063">
        <v>3.7000000000000002E-3</v>
      </c>
      <c r="H58" s="1066">
        <f t="shared" si="8"/>
        <v>3.7000000000000002E-3</v>
      </c>
      <c r="I58" s="3365">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3269</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3273</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3274</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3275</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9" t="s">
        <v>3290</v>
      </c>
      <c r="B103" s="3689"/>
      <c r="C103" s="3689"/>
      <c r="D103" s="3689"/>
      <c r="E103" s="3689"/>
      <c r="F103" s="3689"/>
      <c r="G103" s="3689"/>
      <c r="H103" s="3689"/>
      <c r="I103" s="3689"/>
      <c r="J103" s="3689"/>
      <c r="K103" s="3387"/>
      <c r="L103" s="3387"/>
      <c r="M103" s="3387"/>
      <c r="N103" s="3387"/>
    </row>
    <row r="104" spans="1:14">
      <c r="A104" s="3690" t="s">
        <v>3291</v>
      </c>
      <c r="B104" s="3690" t="s">
        <v>3292</v>
      </c>
      <c r="C104" s="3388" t="s">
        <v>3293</v>
      </c>
      <c r="D104" s="3389"/>
      <c r="E104" s="3389"/>
      <c r="F104" s="3389"/>
      <c r="G104" s="3389"/>
      <c r="H104" s="3389"/>
      <c r="I104" s="3389"/>
      <c r="J104" s="3390"/>
      <c r="K104" s="3391"/>
      <c r="L104" s="3391"/>
      <c r="M104" s="3391"/>
      <c r="N104" s="3391"/>
    </row>
    <row r="105" spans="1:14">
      <c r="A105" s="3690"/>
      <c r="B105" s="3690"/>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676"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3264</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8"/>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9" t="s">
        <v>3307</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t="e">
        <f>G3</f>
        <v>#DIV/0!</v>
      </c>
      <c r="C116" s="3397" t="s">
        <v>3309</v>
      </c>
      <c r="D116" s="3398" t="e">
        <f>SUMPRODUCT((A118:A122=F116)*(B117:M117=H116)*B118:M122)</f>
        <v>#DIV/0!</v>
      </c>
      <c r="E116" s="2000" t="s">
        <v>3310</v>
      </c>
      <c r="F116" s="3399" t="str">
        <f>E2</f>
        <v>商业</v>
      </c>
      <c r="G116" s="2000" t="s">
        <v>3311</v>
      </c>
      <c r="H116" s="3399" t="str">
        <f>G2</f>
        <v>八级</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3325</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3326</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3327</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2608</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X30" sqref="X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6913.630000000001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4412</v>
      </c>
      <c r="C2" s="1999" t="s">
        <v>1934</v>
      </c>
      <c r="D2" s="2000" t="s">
        <v>1935</v>
      </c>
      <c r="E2" s="3419" t="s">
        <v>21</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9140</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6382</v>
      </c>
      <c r="C3" s="1999" t="s">
        <v>1940</v>
      </c>
      <c r="D3" s="2000" t="s">
        <v>1941</v>
      </c>
      <c r="E3" s="3417" t="s">
        <v>3561</v>
      </c>
      <c r="F3" s="2004" t="s">
        <v>3562</v>
      </c>
      <c r="G3" s="752">
        <f>IF(F3="宗地容积率",'数据-汇总表'!I4,IF(F3="估价对象容积率",'数据-汇总表'!I6,'数据-汇总表'!I7))</f>
        <v>1.6</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7045</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83"/>
      <c r="B4" s="3684"/>
      <c r="C4" s="3684"/>
      <c r="D4" s="3685"/>
      <c r="E4" s="3685"/>
      <c r="F4" s="3685"/>
      <c r="G4" s="3685"/>
      <c r="H4" s="3685"/>
      <c r="I4" s="3685"/>
      <c r="J4" s="368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5747</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5855</v>
      </c>
      <c r="D5" s="1339">
        <f>ROUND(C6*C17+C20,0)</f>
        <v>5855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4879</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4445</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3233</v>
      </c>
      <c r="B7" s="3459"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3469" t="s">
        <v>1954</v>
      </c>
      <c r="X7" s="1214" t="str">
        <f>G2</f>
        <v>八级</v>
      </c>
      <c r="Y7" s="1214" t="s">
        <v>1955</v>
      </c>
      <c r="Z7" s="1215">
        <f>G3</f>
        <v>1.6</v>
      </c>
      <c r="AA7" s="1216"/>
      <c r="AB7" s="1216"/>
      <c r="AC7" s="1217"/>
      <c r="AD7" s="1218"/>
      <c r="AE7" s="1218"/>
      <c r="AF7" s="1218"/>
      <c r="AG7" s="1218"/>
      <c r="AH7" s="1218"/>
      <c r="AI7" s="1218"/>
      <c r="AJ7" s="1219"/>
    </row>
    <row r="8" spans="1:36" ht="25.5">
      <c r="A8" s="3296"/>
      <c r="B8" s="170" t="s">
        <v>1956</v>
      </c>
      <c r="C8" s="2026" t="s">
        <v>3556</v>
      </c>
      <c r="D8" s="756" t="s">
        <v>112</v>
      </c>
      <c r="E8" s="757" t="e">
        <f>ROUND(C11/E7,4)</f>
        <v>#DIV/0!</v>
      </c>
      <c r="F8" s="2027" t="s">
        <v>1957</v>
      </c>
      <c r="G8" s="2028"/>
      <c r="H8" s="2028"/>
      <c r="I8" s="2028"/>
      <c r="J8" s="2029"/>
      <c r="K8" s="1119"/>
      <c r="L8" s="2003" t="s">
        <v>1958</v>
      </c>
      <c r="M8" s="864">
        <f>SUMPRODUCT((区片价!B234:B276=I2)*(区片价!C3:G3=E2)*(区片价!C234:G276))</f>
        <v>5820</v>
      </c>
      <c r="N8" s="866">
        <f>SUMPRODUCT((因素修正幅度!B234:B276=I2)*(因素修正幅度!C3:G3=E2)*(因素修正幅度!C234:G276))</f>
        <v>0.15</v>
      </c>
      <c r="O8" s="1119"/>
      <c r="P8" s="1119"/>
      <c r="Q8" s="1119"/>
      <c r="R8" s="1212">
        <v>7</v>
      </c>
      <c r="S8" s="1213"/>
      <c r="T8" s="3358">
        <f t="shared" si="0"/>
        <v>0</v>
      </c>
      <c r="U8" s="1213"/>
      <c r="V8" s="3358">
        <f t="shared" si="1"/>
        <v>0</v>
      </c>
      <c r="W8" s="3680" t="s">
        <v>1959</v>
      </c>
      <c r="X8" s="368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2"/>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v>1</v>
      </c>
      <c r="D12" s="3304" t="s">
        <v>3236</v>
      </c>
      <c r="E12" s="3305" t="s">
        <v>3237</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3457" t="s">
        <v>1984</v>
      </c>
      <c r="C14" s="2041" t="s">
        <v>1985</v>
      </c>
      <c r="D14" s="1350" t="s">
        <v>1986</v>
      </c>
      <c r="E14" s="27" t="s">
        <v>1987</v>
      </c>
      <c r="F14" s="3309" t="s">
        <v>3239</v>
      </c>
      <c r="G14" s="3309" t="s">
        <v>3239</v>
      </c>
      <c r="H14" s="3309" t="s">
        <v>3239</v>
      </c>
      <c r="I14" s="3309" t="s">
        <v>3239</v>
      </c>
      <c r="J14" s="3309" t="s">
        <v>3239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3458"/>
      <c r="C15" s="2043"/>
      <c r="D15" s="2044"/>
      <c r="E15" s="2045"/>
      <c r="F15" s="3310" t="s">
        <v>3240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f>ROUND(G18/I18,2)</f>
        <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456"/>
      <c r="C18" s="3325"/>
      <c r="D18" s="3320" t="s">
        <v>3244</v>
      </c>
      <c r="E18" s="3326"/>
      <c r="F18" s="3321" t="s">
        <v>3247</v>
      </c>
      <c r="G18" s="3325">
        <f>ROUND(1-(1/(POWER(1+G24,E18))),4)</f>
        <v>0</v>
      </c>
      <c r="H18" s="3321" t="s">
        <v>3249</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7" t="s">
        <v>3250</v>
      </c>
      <c r="B20" s="167" t="s">
        <v>1993</v>
      </c>
      <c r="C20" s="3322">
        <f>ROUND(IF(F21="与级别开发程度一致",0,(G21-E21)/C21),0)</f>
        <v>35</v>
      </c>
      <c r="D20" s="3338" t="s">
        <v>1997</v>
      </c>
      <c r="E20" s="3339"/>
      <c r="F20" s="3693" t="s">
        <v>1994</v>
      </c>
      <c r="G20" s="3694"/>
      <c r="H20" s="3323" t="s">
        <v>3521</v>
      </c>
      <c r="I20" s="3323" t="s">
        <v>3522</v>
      </c>
      <c r="J20" s="3324" t="s">
        <v>3523</v>
      </c>
      <c r="K20" s="2047" t="s">
        <v>3524</v>
      </c>
      <c r="L20" s="2047" t="s">
        <v>3525</v>
      </c>
      <c r="M20" s="2047" t="s">
        <v>3526</v>
      </c>
      <c r="N20" s="2047" t="s">
        <v>3527</v>
      </c>
      <c r="O20" s="2048" t="s">
        <v>3557</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8"/>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3558</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2001</v>
      </c>
      <c r="E23" s="761">
        <v>44197</v>
      </c>
      <c r="F23" s="2054" t="s">
        <v>2002</v>
      </c>
      <c r="G23" s="762">
        <f>'数据-取费表'!B2</f>
        <v>45253</v>
      </c>
      <c r="H23" s="3340" t="s">
        <v>3252</v>
      </c>
      <c r="I23" s="3341" t="str">
        <f>IF(H23="季度增幅（自定义）",SUMIF(N25:N28,E2,O25:O28),"")</f>
        <v/>
      </c>
      <c r="J23" s="3443" t="s">
        <v>3251</v>
      </c>
      <c r="K23" s="1125"/>
      <c r="L23" s="2055" t="s">
        <v>2003</v>
      </c>
      <c r="M23" s="1328">
        <f>ROUND(SUMIF(地价!B2:G2,E2,地价!B16:G16),0)</f>
        <v>350</v>
      </c>
      <c r="N23" s="2056"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0.97250000000000003</v>
      </c>
      <c r="D24" s="2060" t="s">
        <v>2006</v>
      </c>
      <c r="E24" s="1335">
        <f>存贷款利率!E24/100</f>
        <v>4.3499999999999997E-2</v>
      </c>
      <c r="F24" s="2060" t="s">
        <v>1998</v>
      </c>
      <c r="G24" s="768">
        <f>SUMIF(M30:Q30,E2,M33:Q33)</f>
        <v>5.5E-2</v>
      </c>
      <c r="H24" s="2060" t="s">
        <v>2007</v>
      </c>
      <c r="I24" s="769">
        <f>SUMIF('数据-取费表'!C6:C15,E2,'数据-取费表'!F6:F15)/COUNTIF('数据-取费表'!C6:C15,E2)</f>
        <v>44.09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3331</v>
      </c>
      <c r="C25" s="3465">
        <f>IF(B25="容积率修正",IF(G3&lt;10,D26,J26),C27)</f>
        <v>1.0764</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3253</v>
      </c>
      <c r="D26" s="3464">
        <f>IF(E26=G26,F26,IF(G3&lt;10,ROUND(F26+(H26-F26)*(G3-E26)/(G26-E26),4),"——"))</f>
        <v>1.0764</v>
      </c>
      <c r="E26" s="752">
        <f>ROUNDDOWN(G3,1)</f>
        <v>1.6</v>
      </c>
      <c r="F26" s="34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752">
        <f>ROUNDUP(G3,1)</f>
        <v>1.6</v>
      </c>
      <c r="H26" s="34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1.0764</v>
      </c>
      <c r="I26" s="3342" t="s">
        <v>3254</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1.0125999999999999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4412</v>
      </c>
      <c r="D30" s="2083"/>
      <c r="E30" s="2046"/>
      <c r="F30" s="2084"/>
      <c r="G30" s="2046"/>
      <c r="H30" s="2046"/>
      <c r="I30" s="2046"/>
      <c r="J30" s="2085"/>
      <c r="K30" s="1119"/>
      <c r="L30" s="3348" t="s">
        <v>1935</v>
      </c>
      <c r="M30" s="3349" t="s">
        <v>1989</v>
      </c>
      <c r="N30" s="3349" t="s">
        <v>1990</v>
      </c>
      <c r="O30" s="3349" t="s">
        <v>1991</v>
      </c>
      <c r="P30" s="3349" t="s">
        <v>1992</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6381</v>
      </c>
      <c r="D33" s="2098">
        <f>'数据-汇总表'!F20</f>
        <v>6913.630000000001</v>
      </c>
      <c r="E33" s="773">
        <f>ROUND(C33*D33/10000,0)</f>
        <v>4412</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1595</v>
      </c>
      <c r="D34" s="2103"/>
      <c r="E34" s="773">
        <f>ROUND(IF(B25="楼层修正",SUM(V2:V16)*M40,C34*D34/10000),0)</f>
        <v>0</v>
      </c>
      <c r="F34" s="2104" t="s">
        <v>2031</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1"/>
      <c r="B37" s="2113" t="s">
        <v>2035</v>
      </c>
      <c r="C37" s="175">
        <f>ROUND(D5*C22*C23*C24*C28*F37,0)</f>
        <v>2964</v>
      </c>
      <c r="D37" s="2098"/>
      <c r="E37" s="171">
        <f>ROUND(C37*D37/10000,0)</f>
        <v>0</v>
      </c>
      <c r="F37" s="171">
        <f>SUMIF(修正!A57:A68,G2,修正!B57:B68)</f>
        <v>0.5</v>
      </c>
      <c r="G37" s="171">
        <f>ROUND(IF(E2="工业",C37*$M$42,C37*$M$41),0)</f>
        <v>741</v>
      </c>
      <c r="H37" s="171">
        <f>D37</f>
        <v>0</v>
      </c>
      <c r="I37" s="171">
        <f>ROUND(G37*H37/10000,0)</f>
        <v>0</v>
      </c>
      <c r="J37" s="3009"/>
      <c r="K37" s="3356" t="s">
        <v>3262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2"/>
      <c r="B38" s="2041" t="s">
        <v>2036</v>
      </c>
      <c r="C38" s="175">
        <f>ROUND(D5*C22*C23*C24*C28*F38,0)</f>
        <v>1186</v>
      </c>
      <c r="D38" s="2098"/>
      <c r="E38" s="171">
        <f t="shared" ref="E38:E42" si="4">ROUND(C38*D38/10000,0)</f>
        <v>0</v>
      </c>
      <c r="F38" s="171">
        <f>SUMIF(修正!A57:A68,G2,修正!C57:C68)</f>
        <v>0.2</v>
      </c>
      <c r="G38" s="171">
        <f>ROUND(IF(E2="工业",C38*$M$42,C38*$M$41),0)</f>
        <v>297</v>
      </c>
      <c r="H38" s="171">
        <f t="shared" ref="H38:H42" si="5">D38</f>
        <v>0</v>
      </c>
      <c r="I38" s="171">
        <f t="shared" ref="I38:I42" si="6">ROUND(G38*H38/10000,0)</f>
        <v>0</v>
      </c>
      <c r="J38" s="3472"/>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2"/>
      <c r="B39" s="2041" t="s">
        <v>3255</v>
      </c>
      <c r="C39" s="175">
        <f>ROUND(D5*C22*C23*C24*C28*F39,0)</f>
        <v>1186</v>
      </c>
      <c r="D39" s="2098"/>
      <c r="E39" s="171">
        <f t="shared" si="4"/>
        <v>0</v>
      </c>
      <c r="F39" s="171">
        <f>SUMIF(修正!A57:A68,G2,修正!D57:D68)</f>
        <v>0.2</v>
      </c>
      <c r="G39" s="171">
        <f>ROUND(IF(E2="工业",C39*$M$42,C39*$M$41),0)</f>
        <v>297</v>
      </c>
      <c r="H39" s="171">
        <f t="shared" si="5"/>
        <v>0</v>
      </c>
      <c r="I39" s="171">
        <f t="shared" si="6"/>
        <v>0</v>
      </c>
      <c r="J39" s="347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1186</v>
      </c>
      <c r="D40" s="2098"/>
      <c r="E40" s="171">
        <f t="shared" si="4"/>
        <v>0</v>
      </c>
      <c r="F40" s="175">
        <f>SUMIF(修正!A57:A68,G2,修正!E57:E68)</f>
        <v>0.2</v>
      </c>
      <c r="G40" s="171">
        <f>ROUND(IF(E2="工业",C40*$M$42,C40*$M$41),0)</f>
        <v>297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3548</v>
      </c>
      <c r="D50" s="1065">
        <f t="shared" ref="D50:D58" si="7">SUMIF($J$49:$N$49,C50,J50:N50)</f>
        <v>-2.2499999999999999E-2</v>
      </c>
      <c r="E50" s="744">
        <f>ROUND(SUM(D50:D58),4)</f>
        <v>5.8999999999999999E-3</v>
      </c>
      <c r="F50" s="1814" t="str">
        <f>IF(E2="商业",SUMIF(L1:L12,G2,N1:N12),"——")</f>
        <v>——</v>
      </c>
      <c r="G50" s="1063">
        <v>2.2499999999999999E-2</v>
      </c>
      <c r="H50" s="1066" t="str">
        <f t="shared" ref="H50:H58" si="8">IFERROR(ROUNDDOWN($F$50*I50/2,4),"——")</f>
        <v>——</v>
      </c>
      <c r="I50" s="3364">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3551</v>
      </c>
      <c r="D51" s="1065">
        <f t="shared" si="7"/>
        <v>0</v>
      </c>
      <c r="E51" s="745"/>
      <c r="F51" s="1814"/>
      <c r="G51" s="1063">
        <v>1.6500000000000001E-2</v>
      </c>
      <c r="H51" s="1066" t="str">
        <f t="shared" si="8"/>
        <v>——</v>
      </c>
      <c r="I51" s="3364">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t="s">
        <v>3546</v>
      </c>
      <c r="D52" s="1065">
        <f t="shared" si="7"/>
        <v>8.9999999999999993E-3</v>
      </c>
      <c r="E52" s="745"/>
      <c r="F52" s="1814"/>
      <c r="G52" s="1063">
        <v>8.9999999999999993E-3</v>
      </c>
      <c r="H52" s="1066" t="str">
        <f t="shared" si="8"/>
        <v>——</v>
      </c>
      <c r="I52" s="3364">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3551</v>
      </c>
      <c r="D53" s="1065">
        <f t="shared" si="7"/>
        <v>0</v>
      </c>
      <c r="E53" s="745"/>
      <c r="F53" s="1814"/>
      <c r="G53" s="1063">
        <v>3.7000000000000002E-3</v>
      </c>
      <c r="H53" s="1066" t="str">
        <f t="shared" si="8"/>
        <v>——</v>
      </c>
      <c r="I53" s="3364">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3551</v>
      </c>
      <c r="D54" s="1065">
        <f t="shared" si="7"/>
        <v>0</v>
      </c>
      <c r="E54" s="745"/>
      <c r="F54" s="1814"/>
      <c r="G54" s="1063">
        <v>6.0000000000000001E-3</v>
      </c>
      <c r="H54" s="1066" t="str">
        <f t="shared" si="8"/>
        <v>——</v>
      </c>
      <c r="I54" s="3364">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3546</v>
      </c>
      <c r="D55" s="1065">
        <f t="shared" si="7"/>
        <v>3.7000000000000002E-3</v>
      </c>
      <c r="E55" s="745"/>
      <c r="F55" s="1814"/>
      <c r="G55" s="1063">
        <v>3.7000000000000002E-3</v>
      </c>
      <c r="H55" s="1066" t="str">
        <f t="shared" si="8"/>
        <v>——</v>
      </c>
      <c r="I55" s="3364">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3551</v>
      </c>
      <c r="D56" s="1065">
        <f t="shared" si="7"/>
        <v>0</v>
      </c>
      <c r="E56" s="745"/>
      <c r="F56" s="1814"/>
      <c r="G56" s="1063">
        <v>3.7000000000000002E-3</v>
      </c>
      <c r="H56" s="1066" t="str">
        <f t="shared" si="8"/>
        <v>——</v>
      </c>
      <c r="I56" s="3364">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3560</v>
      </c>
      <c r="D57" s="1065">
        <f t="shared" si="7"/>
        <v>1.2E-2</v>
      </c>
      <c r="E57" s="745"/>
      <c r="F57" s="1814"/>
      <c r="G57" s="1063">
        <v>6.0000000000000001E-3</v>
      </c>
      <c r="H57" s="1066" t="str">
        <f t="shared" si="8"/>
        <v>——</v>
      </c>
      <c r="I57" s="3364">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3546</v>
      </c>
      <c r="D58" s="1065">
        <f t="shared" si="7"/>
        <v>3.7000000000000002E-3</v>
      </c>
      <c r="E58" s="746"/>
      <c r="F58" s="1814"/>
      <c r="G58" s="1063">
        <v>3.7000000000000002E-3</v>
      </c>
      <c r="H58" s="1066" t="str">
        <f t="shared" si="8"/>
        <v>——</v>
      </c>
      <c r="I58" s="3365">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1.0125999999999999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t="s">
        <v>3548</v>
      </c>
      <c r="D61" s="1065">
        <f t="shared" ref="D61:D69" si="12">SUMIF($J$60:$N$60,C61,J61:N61)</f>
        <v>-1.8700000000000001E-2</v>
      </c>
      <c r="E61" s="744">
        <f>ROUND(SUM(D61:D69),4)</f>
        <v>1.26E-2</v>
      </c>
      <c r="F61" s="1814">
        <f>IF(E2="办公",SUMIF(L1:L12,G2,N1:N12),"——")</f>
        <v>0.15</v>
      </c>
      <c r="G61" s="1063">
        <v>1.8700000000000001E-2</v>
      </c>
      <c r="H61" s="1066">
        <f t="shared" ref="H61:H69" si="13">IFERROR(ROUNDDOWN($F$61*I61/2,4),"——")</f>
        <v>1.8700000000000001E-2</v>
      </c>
      <c r="I61" s="3364">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t="s">
        <v>3551</v>
      </c>
      <c r="D62" s="1065">
        <f t="shared" si="12"/>
        <v>0</v>
      </c>
      <c r="E62" s="745"/>
      <c r="F62" s="1814"/>
      <c r="G62" s="1063">
        <v>1.95E-2</v>
      </c>
      <c r="H62" s="1066">
        <f t="shared" si="13"/>
        <v>1.95E-2</v>
      </c>
      <c r="I62" s="3364">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t="s">
        <v>3546</v>
      </c>
      <c r="D63" s="1065">
        <f t="shared" si="12"/>
        <v>8.2000000000000007E-3</v>
      </c>
      <c r="E63" s="745"/>
      <c r="F63" s="1814"/>
      <c r="G63" s="1063">
        <v>8.2000000000000007E-3</v>
      </c>
      <c r="H63" s="1066">
        <f t="shared" si="13"/>
        <v>8.2000000000000007E-3</v>
      </c>
      <c r="I63" s="3364">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3551</v>
      </c>
      <c r="D64" s="1065">
        <f t="shared" si="12"/>
        <v>0</v>
      </c>
      <c r="E64" s="745"/>
      <c r="F64" s="1814"/>
      <c r="G64" s="1063">
        <v>3.7000000000000002E-3</v>
      </c>
      <c r="H64" s="1066">
        <f t="shared" si="13"/>
        <v>3.7000000000000002E-3</v>
      </c>
      <c r="I64" s="3364">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3551</v>
      </c>
      <c r="D65" s="1065">
        <f t="shared" si="12"/>
        <v>0</v>
      </c>
      <c r="E65" s="745"/>
      <c r="F65" s="1814"/>
      <c r="G65" s="1063">
        <v>3.7000000000000002E-3</v>
      </c>
      <c r="H65" s="1066">
        <f t="shared" si="13"/>
        <v>3.7000000000000002E-3</v>
      </c>
      <c r="I65" s="3364">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3546</v>
      </c>
      <c r="D66" s="1065">
        <f t="shared" si="12"/>
        <v>4.4999999999999997E-3</v>
      </c>
      <c r="E66" s="745"/>
      <c r="F66" s="1814"/>
      <c r="G66" s="1063">
        <v>4.4999999999999997E-3</v>
      </c>
      <c r="H66" s="1066">
        <f t="shared" si="13"/>
        <v>4.4999999999999997E-3</v>
      </c>
      <c r="I66" s="3364">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t="s">
        <v>3551</v>
      </c>
      <c r="D67" s="1065">
        <f t="shared" si="12"/>
        <v>0</v>
      </c>
      <c r="E67" s="745"/>
      <c r="F67" s="1814"/>
      <c r="G67" s="1063">
        <v>4.4999999999999997E-3</v>
      </c>
      <c r="H67" s="1066">
        <f t="shared" si="13"/>
        <v>4.4999999999999997E-3</v>
      </c>
      <c r="I67" s="3364">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3560</v>
      </c>
      <c r="D68" s="1065">
        <f t="shared" si="12"/>
        <v>1.34E-2</v>
      </c>
      <c r="E68" s="745"/>
      <c r="F68" s="1814"/>
      <c r="G68" s="1063">
        <v>6.7000000000000002E-3</v>
      </c>
      <c r="H68" s="1066">
        <f t="shared" si="13"/>
        <v>6.7000000000000002E-3</v>
      </c>
      <c r="I68" s="3364">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t="s">
        <v>3546</v>
      </c>
      <c r="D69" s="1065">
        <f t="shared" si="12"/>
        <v>5.1999999999999998E-3</v>
      </c>
      <c r="E69" s="746"/>
      <c r="F69" s="1814"/>
      <c r="G69" s="1063">
        <v>5.1999999999999998E-3</v>
      </c>
      <c r="H69" s="1066">
        <f t="shared" si="13"/>
        <v>5.1999999999999998E-3</v>
      </c>
      <c r="I69" s="3365">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3265</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2043</v>
      </c>
      <c r="B92" s="3363"/>
      <c r="C92" s="3363" t="s">
        <v>2045</v>
      </c>
      <c r="D92" s="3363" t="s">
        <v>2046</v>
      </c>
      <c r="E92" s="3345" t="s">
        <v>2047</v>
      </c>
      <c r="F92" s="3378" t="s">
        <v>3279</v>
      </c>
      <c r="G92" s="3363" t="s">
        <v>1988</v>
      </c>
      <c r="H92" s="3385" t="s">
        <v>3283</v>
      </c>
      <c r="I92" s="3363" t="s">
        <v>2050</v>
      </c>
      <c r="J92" s="3386" t="s">
        <v>1720</v>
      </c>
      <c r="K92" s="3386" t="s">
        <v>1721</v>
      </c>
      <c r="L92" s="3386" t="s">
        <v>3287</v>
      </c>
      <c r="M92" s="3386" t="s">
        <v>1723</v>
      </c>
      <c r="N92" s="3386" t="s">
        <v>1724</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2052</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2053</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2055</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2056</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2058</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2059</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2060</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9" t="s">
        <v>3290</v>
      </c>
      <c r="B103" s="3689"/>
      <c r="C103" s="3689"/>
      <c r="D103" s="3689"/>
      <c r="E103" s="3689"/>
      <c r="F103" s="3689"/>
      <c r="G103" s="3689"/>
      <c r="H103" s="3689"/>
      <c r="I103" s="3689"/>
      <c r="J103" s="3689"/>
      <c r="K103" s="3470"/>
      <c r="L103" s="3470"/>
      <c r="M103" s="3470"/>
      <c r="N103" s="3470"/>
    </row>
    <row r="104" spans="1:14">
      <c r="A104" s="3690" t="s">
        <v>3291</v>
      </c>
      <c r="B104" s="3690" t="s">
        <v>3292</v>
      </c>
      <c r="C104" s="3388" t="s">
        <v>3293</v>
      </c>
      <c r="D104" s="3389"/>
      <c r="E104" s="3389"/>
      <c r="F104" s="3389"/>
      <c r="G104" s="3389"/>
      <c r="H104" s="3389"/>
      <c r="I104" s="3389"/>
      <c r="J104" s="3390"/>
      <c r="K104" s="3391"/>
      <c r="L104" s="3391"/>
      <c r="M104" s="3391"/>
      <c r="N104" s="3391"/>
    </row>
    <row r="105" spans="1:14">
      <c r="A105" s="3690"/>
      <c r="B105" s="3690"/>
      <c r="C105" s="3471" t="s">
        <v>1960</v>
      </c>
      <c r="D105" s="3471" t="s">
        <v>1961</v>
      </c>
      <c r="E105" s="3471" t="s">
        <v>1962</v>
      </c>
      <c r="F105" s="3471" t="s">
        <v>1963</v>
      </c>
      <c r="G105" s="3471" t="s">
        <v>1964</v>
      </c>
      <c r="H105" s="3471" t="s">
        <v>1965</v>
      </c>
      <c r="I105" s="3471" t="s">
        <v>1966</v>
      </c>
      <c r="J105" s="3471" t="s">
        <v>1967</v>
      </c>
      <c r="K105" s="3471" t="s">
        <v>1968</v>
      </c>
      <c r="L105" s="3471" t="s">
        <v>1969</v>
      </c>
      <c r="M105" s="3471" t="s">
        <v>1970</v>
      </c>
      <c r="N105" s="3471" t="s">
        <v>1971</v>
      </c>
    </row>
    <row r="106" spans="1:14">
      <c r="A106" s="3676" t="s">
        <v>3306</v>
      </c>
      <c r="B106" s="3471">
        <v>1</v>
      </c>
      <c r="C106" s="3471">
        <v>1.5206</v>
      </c>
      <c r="D106" s="3471">
        <v>1.5206</v>
      </c>
      <c r="E106" s="3471">
        <v>1.5019</v>
      </c>
      <c r="F106" s="3471">
        <v>1.5019</v>
      </c>
      <c r="G106" s="3471">
        <v>1.5019</v>
      </c>
      <c r="H106" s="3471">
        <v>1.5019</v>
      </c>
      <c r="I106" s="3471">
        <v>1.5019</v>
      </c>
      <c r="J106" s="3471">
        <v>1.5418000000000001</v>
      </c>
      <c r="K106" s="3471">
        <v>1.5418000000000001</v>
      </c>
      <c r="L106" s="3471">
        <v>1.5418000000000001</v>
      </c>
      <c r="M106" s="3471">
        <v>1.5418000000000001</v>
      </c>
      <c r="N106" s="3471">
        <v>1.5418000000000001</v>
      </c>
    </row>
    <row r="107" spans="1:14">
      <c r="A107" s="3677"/>
      <c r="B107" s="3471">
        <v>2</v>
      </c>
      <c r="C107" s="3471">
        <v>1.2072000000000001</v>
      </c>
      <c r="D107" s="3471">
        <v>1.2072000000000001</v>
      </c>
      <c r="E107" s="3471">
        <v>1.1838</v>
      </c>
      <c r="F107" s="3471">
        <v>1.1838</v>
      </c>
      <c r="G107" s="3471">
        <v>1.1838</v>
      </c>
      <c r="H107" s="3471">
        <v>1.1838</v>
      </c>
      <c r="I107" s="3471">
        <v>1.1838</v>
      </c>
      <c r="J107" s="3471">
        <v>1.1883999999999999</v>
      </c>
      <c r="K107" s="3471">
        <v>1.1883999999999999</v>
      </c>
      <c r="L107" s="3471">
        <v>1.1883999999999999</v>
      </c>
      <c r="M107" s="3471">
        <v>1.1883999999999999</v>
      </c>
      <c r="N107" s="3471">
        <v>1.1883999999999999</v>
      </c>
    </row>
    <row r="108" spans="1:14">
      <c r="A108" s="3677"/>
      <c r="B108" s="3471">
        <v>3</v>
      </c>
      <c r="C108" s="3471">
        <v>1.0430999999999999</v>
      </c>
      <c r="D108" s="3471">
        <v>1.0430999999999999</v>
      </c>
      <c r="E108" s="3471">
        <v>1.0004999999999999</v>
      </c>
      <c r="F108" s="3471">
        <v>1.0004999999999999</v>
      </c>
      <c r="G108" s="3471">
        <v>1.0004999999999999</v>
      </c>
      <c r="H108" s="3471">
        <v>1.0004999999999999</v>
      </c>
      <c r="I108" s="3471">
        <v>1.0004999999999999</v>
      </c>
      <c r="J108" s="3471">
        <v>0.96940000000000004</v>
      </c>
      <c r="K108" s="3471">
        <v>0.96940000000000004</v>
      </c>
      <c r="L108" s="3471">
        <v>0.96940000000000004</v>
      </c>
      <c r="M108" s="3471">
        <v>0.96940000000000004</v>
      </c>
      <c r="N108" s="3471">
        <v>0.96940000000000004</v>
      </c>
    </row>
    <row r="109" spans="1:14">
      <c r="A109" s="3677"/>
      <c r="B109" s="3471">
        <v>4</v>
      </c>
      <c r="C109" s="3471">
        <v>0.94389999999999996</v>
      </c>
      <c r="D109" s="3471">
        <v>0.94389999999999996</v>
      </c>
      <c r="E109" s="3471">
        <v>0.88239999999999996</v>
      </c>
      <c r="F109" s="3471">
        <v>0.88239999999999996</v>
      </c>
      <c r="G109" s="3471">
        <v>0.88239999999999996</v>
      </c>
      <c r="H109" s="3471">
        <v>0.88239999999999996</v>
      </c>
      <c r="I109" s="3471">
        <v>0.88239999999999996</v>
      </c>
      <c r="J109" s="3471">
        <v>0.82299999999999995</v>
      </c>
      <c r="K109" s="3471">
        <v>0.82299999999999995</v>
      </c>
      <c r="L109" s="3471">
        <v>0.82299999999999995</v>
      </c>
      <c r="M109" s="3471">
        <v>0.82299999999999995</v>
      </c>
      <c r="N109" s="3471">
        <v>0.82299999999999995</v>
      </c>
    </row>
    <row r="110" spans="1:14">
      <c r="A110" s="3677"/>
      <c r="B110" s="3471">
        <v>5</v>
      </c>
      <c r="C110" s="3471">
        <v>0.89959999999999996</v>
      </c>
      <c r="D110" s="3471">
        <v>0.89959999999999996</v>
      </c>
      <c r="E110" s="3471">
        <v>0.84799999999999998</v>
      </c>
      <c r="F110" s="3471">
        <v>0.84799999999999998</v>
      </c>
      <c r="G110" s="3471">
        <v>0.84799999999999998</v>
      </c>
      <c r="H110" s="3471">
        <v>0.84799999999999998</v>
      </c>
      <c r="I110" s="3471">
        <v>0.84799999999999998</v>
      </c>
      <c r="J110" s="3471">
        <v>0.74980000000000002</v>
      </c>
      <c r="K110" s="3471">
        <v>0.74980000000000002</v>
      </c>
      <c r="L110" s="3471">
        <v>0.74980000000000002</v>
      </c>
      <c r="M110" s="3471">
        <v>0.74980000000000002</v>
      </c>
      <c r="N110" s="3471">
        <v>0.74980000000000002</v>
      </c>
    </row>
    <row r="111" spans="1:14">
      <c r="A111" s="3677"/>
      <c r="B111" s="3471"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78"/>
      <c r="B112" s="3471">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79" t="s">
        <v>3307</v>
      </c>
      <c r="B113" s="3679"/>
      <c r="C113" s="3679"/>
      <c r="D113" s="3679"/>
      <c r="E113" s="3679"/>
      <c r="F113" s="3679"/>
      <c r="G113" s="3679"/>
      <c r="H113" s="3679"/>
      <c r="I113" s="3679"/>
      <c r="J113" s="3679"/>
      <c r="K113" s="3468"/>
      <c r="L113" s="3468"/>
      <c r="M113" s="3468"/>
      <c r="N113" s="3468"/>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1.6</v>
      </c>
      <c r="C116" s="3397" t="s">
        <v>3309</v>
      </c>
      <c r="D116" s="3398">
        <f>SUMPRODUCT((A118:A122=F116)*(B117:M117=H116)*B118:M122)</f>
        <v>0.80889999999999995</v>
      </c>
      <c r="E116" s="2000" t="s">
        <v>1935</v>
      </c>
      <c r="F116" s="3399" t="str">
        <f>E2</f>
        <v>办公</v>
      </c>
      <c r="G116" s="2000" t="s">
        <v>1936</v>
      </c>
      <c r="H116" s="3399" t="str">
        <f>G2</f>
        <v>八级</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1989</v>
      </c>
      <c r="B118" s="3385">
        <f>ROUND(0.9968-0.011*B116,4)</f>
        <v>0.97919999999999996</v>
      </c>
      <c r="C118" s="3385">
        <f>B118</f>
        <v>0.97919999999999996</v>
      </c>
      <c r="D118" s="3385">
        <f>ROUND(0.949-0.014*B116,4)</f>
        <v>0.92659999999999998</v>
      </c>
      <c r="E118" s="3385">
        <f>D118</f>
        <v>0.92659999999999998</v>
      </c>
      <c r="F118" s="3385">
        <f>E118</f>
        <v>0.92659999999999998</v>
      </c>
      <c r="G118" s="3385">
        <f>F118</f>
        <v>0.92659999999999998</v>
      </c>
      <c r="H118" s="3385">
        <f>G118</f>
        <v>0.92659999999999998</v>
      </c>
      <c r="I118" s="3385">
        <f>ROUND(0.8486-0.018*B116,4)</f>
        <v>0.81979999999999997</v>
      </c>
      <c r="J118" s="3385">
        <f t="shared" ref="J118:M122" si="35">I118</f>
        <v>0.81979999999999997</v>
      </c>
      <c r="K118" s="3385">
        <f t="shared" si="35"/>
        <v>0.81979999999999997</v>
      </c>
      <c r="L118" s="3385">
        <f t="shared" si="35"/>
        <v>0.81979999999999997</v>
      </c>
      <c r="M118" s="3408">
        <f t="shared" si="35"/>
        <v>0.81979999999999997</v>
      </c>
      <c r="N118" s="3395"/>
    </row>
    <row r="119" spans="1:14">
      <c r="A119" s="3407" t="s">
        <v>1990</v>
      </c>
      <c r="B119" s="3385">
        <f>ROUND(0.993-0.0112*B116,4)</f>
        <v>0.97509999999999997</v>
      </c>
      <c r="C119" s="3385">
        <f>B119</f>
        <v>0.97509999999999997</v>
      </c>
      <c r="D119" s="3385">
        <f>ROUND(0.9415-0.0142*B116,4)</f>
        <v>0.91879999999999995</v>
      </c>
      <c r="E119" s="3385">
        <f t="shared" ref="E119:H120" si="36">D119</f>
        <v>0.91879999999999995</v>
      </c>
      <c r="F119" s="3385">
        <f t="shared" si="36"/>
        <v>0.91879999999999995</v>
      </c>
      <c r="G119" s="3385">
        <f t="shared" si="36"/>
        <v>0.91879999999999995</v>
      </c>
      <c r="H119" s="3385">
        <f t="shared" si="36"/>
        <v>0.91879999999999995</v>
      </c>
      <c r="I119" s="3385">
        <f>ROUND(0.838-0.0182*B116,4)</f>
        <v>0.80889999999999995</v>
      </c>
      <c r="J119" s="3385">
        <f t="shared" si="35"/>
        <v>0.80889999999999995</v>
      </c>
      <c r="K119" s="3385">
        <f t="shared" si="35"/>
        <v>0.80889999999999995</v>
      </c>
      <c r="L119" s="3385">
        <f t="shared" si="35"/>
        <v>0.80889999999999995</v>
      </c>
      <c r="M119" s="3408">
        <f t="shared" si="35"/>
        <v>0.80889999999999995</v>
      </c>
      <c r="N119" s="3395"/>
    </row>
    <row r="120" spans="1:14">
      <c r="A120" s="3407" t="s">
        <v>1991</v>
      </c>
      <c r="B120" s="3385">
        <f>ROUND(0.9448-0.0115*B116,4)</f>
        <v>0.9264</v>
      </c>
      <c r="C120" s="3385">
        <f>B120</f>
        <v>0.9264</v>
      </c>
      <c r="D120" s="3385">
        <f>ROUND(0.937-0.0145*B116,4)</f>
        <v>0.91379999999999995</v>
      </c>
      <c r="E120" s="3385">
        <f t="shared" si="36"/>
        <v>0.91379999999999995</v>
      </c>
      <c r="F120" s="3385">
        <f t="shared" si="36"/>
        <v>0.91379999999999995</v>
      </c>
      <c r="G120" s="3385">
        <f t="shared" si="36"/>
        <v>0.91379999999999995</v>
      </c>
      <c r="H120" s="3385">
        <f t="shared" si="36"/>
        <v>0.91379999999999995</v>
      </c>
      <c r="I120" s="3385">
        <f>ROUND(0.7965-0.0185*B116,4)</f>
        <v>0.76690000000000003</v>
      </c>
      <c r="J120" s="3385">
        <f t="shared" si="35"/>
        <v>0.76690000000000003</v>
      </c>
      <c r="K120" s="3385">
        <f t="shared" si="35"/>
        <v>0.76690000000000003</v>
      </c>
      <c r="L120" s="3385">
        <f t="shared" si="35"/>
        <v>0.76690000000000003</v>
      </c>
      <c r="M120" s="3408">
        <f t="shared" si="35"/>
        <v>0.76690000000000003</v>
      </c>
      <c r="N120" s="3395"/>
    </row>
    <row r="121" spans="1:14" ht="13.5" thickBot="1">
      <c r="A121" s="3409" t="s">
        <v>1992</v>
      </c>
      <c r="B121" s="3410">
        <f>ROUND(0.7836-0.012*B116,4)</f>
        <v>0.76439999999999997</v>
      </c>
      <c r="C121" s="3410">
        <f>B121</f>
        <v>0.76439999999999997</v>
      </c>
      <c r="D121" s="3410">
        <f>ROUND(0.753-0.015*B116,4)</f>
        <v>0.72899999999999998</v>
      </c>
      <c r="E121" s="3410">
        <f>D121</f>
        <v>0.72899999999999998</v>
      </c>
      <c r="F121" s="3410">
        <f>E121</f>
        <v>0.72899999999999998</v>
      </c>
      <c r="G121" s="3410">
        <f>ROUND(0.6612-0.018*B116,4)</f>
        <v>0.63239999999999996</v>
      </c>
      <c r="H121" s="3410">
        <f>G121</f>
        <v>0.63239999999999996</v>
      </c>
      <c r="I121" s="3410">
        <f>ROUND(0.5905-0.019*B116,4)</f>
        <v>0.56010000000000004</v>
      </c>
      <c r="J121" s="3410">
        <f t="shared" si="35"/>
        <v>0.56010000000000004</v>
      </c>
      <c r="K121" s="3410">
        <f t="shared" si="35"/>
        <v>0.56010000000000004</v>
      </c>
      <c r="L121" s="3410">
        <f t="shared" si="35"/>
        <v>0.56010000000000004</v>
      </c>
      <c r="M121" s="3411">
        <f t="shared" si="35"/>
        <v>0.56010000000000004</v>
      </c>
      <c r="N121" s="3395"/>
    </row>
    <row r="122" spans="1:14">
      <c r="A122" s="3412" t="s">
        <v>2608</v>
      </c>
      <c r="B122" s="3385">
        <f>ROUND(0.9404-0.0106*B116,4)</f>
        <v>0.9234</v>
      </c>
      <c r="C122" s="3385">
        <f>B122</f>
        <v>0.9234</v>
      </c>
      <c r="D122" s="3385">
        <f>ROUND(0.8955-0.0135*B116,4)</f>
        <v>0.87390000000000001</v>
      </c>
      <c r="E122" s="3385">
        <f t="shared" ref="E122:H122" si="37">D122</f>
        <v>0.87390000000000001</v>
      </c>
      <c r="F122" s="3385">
        <f t="shared" si="37"/>
        <v>0.87390000000000001</v>
      </c>
      <c r="G122" s="3385">
        <f t="shared" si="37"/>
        <v>0.87390000000000001</v>
      </c>
      <c r="H122" s="3385">
        <f t="shared" si="37"/>
        <v>0.87390000000000001</v>
      </c>
      <c r="I122" s="3385">
        <f>ROUND(0.7632-0.0166*B116,4)</f>
        <v>0.73660000000000003</v>
      </c>
      <c r="J122" s="3385">
        <f t="shared" si="35"/>
        <v>0.73660000000000003</v>
      </c>
      <c r="K122" s="3385">
        <f t="shared" si="35"/>
        <v>0.73660000000000003</v>
      </c>
      <c r="L122" s="3385">
        <f t="shared" si="35"/>
        <v>0.73660000000000003</v>
      </c>
      <c r="M122" s="3408">
        <f t="shared" si="35"/>
        <v>0.73660000000000003</v>
      </c>
      <c r="N122" s="339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25489</v>
      </c>
      <c r="C2" s="1872" t="s">
        <v>1650</v>
      </c>
      <c r="D2" s="1873" t="s">
        <v>1651</v>
      </c>
      <c r="E2" s="2604">
        <f>SUM(E6:E13)</f>
        <v>18818.800000000003</v>
      </c>
      <c r="F2" s="2704"/>
      <c r="G2" s="1489"/>
      <c r="H2" s="1489"/>
      <c r="I2" s="1489"/>
      <c r="J2" s="1489"/>
      <c r="K2" s="1489"/>
      <c r="L2" s="1489"/>
      <c r="M2" s="1489"/>
      <c r="N2" s="1489"/>
      <c r="O2" s="1489"/>
      <c r="P2" s="1489"/>
      <c r="Q2" s="1489"/>
      <c r="R2" s="1489"/>
      <c r="S2" s="1489"/>
    </row>
    <row r="3" spans="1:22" ht="15.75">
      <c r="A3" s="1870" t="s">
        <v>686</v>
      </c>
      <c r="B3" s="2598">
        <f ca="1">ROUND(B2*10000/E2,0)</f>
        <v>13544</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95" t="s">
        <v>1653</v>
      </c>
      <c r="C5" s="3696"/>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收益法-商业</v>
      </c>
      <c r="B6" s="2599">
        <f ca="1">IF(F6="是",'数据-取费表'!AO6,0)</f>
        <v>14905</v>
      </c>
      <c r="C6" s="1872" t="s">
        <v>1650</v>
      </c>
      <c r="D6" s="2706"/>
      <c r="E6" s="2603">
        <f>IF(OR(A6=0,F6="否"),0,'数据-取费表'!K6+'数据-取费表'!S6)</f>
        <v>11388.24</v>
      </c>
      <c r="F6" s="1876" t="s">
        <v>1656</v>
      </c>
      <c r="G6" s="1489"/>
      <c r="H6" s="1489"/>
      <c r="I6" s="1489"/>
      <c r="J6" s="1489"/>
      <c r="K6" s="1489"/>
      <c r="L6" s="1489"/>
      <c r="M6" s="1489"/>
      <c r="N6" s="1489"/>
      <c r="O6" s="1489"/>
      <c r="P6" s="1489"/>
      <c r="Q6" s="1489"/>
      <c r="R6" s="1489"/>
      <c r="S6" s="1489"/>
    </row>
    <row r="7" spans="1:22">
      <c r="A7" s="2601" t="str">
        <f>'数据-取费表'!AN7</f>
        <v>收益法-办公</v>
      </c>
      <c r="B7" s="2599">
        <f ca="1">IF(F7="是",'数据-取费表'!AO7,0)</f>
        <v>10584</v>
      </c>
      <c r="C7" s="1872" t="s">
        <v>1650</v>
      </c>
      <c r="D7" s="2706"/>
      <c r="E7" s="2603">
        <f>IF(OR(A7=0,F7="否"),0,'数据-取费表'!K7+'数据-取费表'!S7)</f>
        <v>7430.5600000000013</v>
      </c>
      <c r="F7" s="1876" t="s">
        <v>1656</v>
      </c>
      <c r="G7" s="1489"/>
      <c r="H7" s="1489"/>
      <c r="I7" s="1489"/>
      <c r="J7" s="1489"/>
      <c r="K7" s="1489"/>
      <c r="L7" s="1489"/>
      <c r="M7" s="1489"/>
      <c r="N7" s="1489"/>
      <c r="O7" s="1489"/>
      <c r="P7" s="1489"/>
      <c r="Q7" s="1489"/>
      <c r="R7" s="1489"/>
      <c r="S7" s="1489"/>
    </row>
    <row r="8" spans="1:22">
      <c r="A8" s="2601">
        <f>'数据-取费表'!AN8</f>
        <v>0</v>
      </c>
      <c r="B8" s="2599">
        <f>IF(F8="是",'数据-取费表'!AO8,0)</f>
        <v>0</v>
      </c>
      <c r="C8" s="1872" t="s">
        <v>1650</v>
      </c>
      <c r="D8" s="2706"/>
      <c r="E8" s="2603">
        <f>IF(OR(A8=0,F8="否"),0,'数据-取费表'!K8+'数据-取费表'!S8)</f>
        <v>0</v>
      </c>
      <c r="F8" s="1876"/>
      <c r="G8" s="1489"/>
      <c r="H8" s="1489"/>
      <c r="I8" s="1489"/>
      <c r="J8" s="1489"/>
      <c r="K8" s="1489"/>
      <c r="L8" s="1489"/>
      <c r="M8" s="1489"/>
      <c r="N8" s="1489"/>
      <c r="O8" s="1489"/>
      <c r="P8" s="1489"/>
      <c r="Q8" s="1489"/>
      <c r="R8" s="1489"/>
      <c r="S8" s="1489"/>
    </row>
    <row r="9" spans="1:22">
      <c r="A9" s="2601">
        <f>'数据-取费表'!AN9</f>
        <v>0</v>
      </c>
      <c r="B9" s="2599">
        <f>IF(F9="是",'数据-取费表'!AO9,0)</f>
        <v>0</v>
      </c>
      <c r="C9" s="1872" t="s">
        <v>1650</v>
      </c>
      <c r="D9" s="2706"/>
      <c r="E9" s="2603">
        <f>IF(OR(A9=0,F9="否"),0,'数据-取费表'!K9+'数据-取费表'!S9)</f>
        <v>0</v>
      </c>
      <c r="F9" s="1876"/>
      <c r="G9" s="1489"/>
      <c r="H9" s="1489"/>
      <c r="I9" s="1489"/>
      <c r="J9" s="1489"/>
      <c r="K9" s="1489"/>
      <c r="L9" s="1489"/>
      <c r="M9" s="1489"/>
      <c r="N9" s="1489"/>
      <c r="O9" s="1489"/>
      <c r="P9" s="1489"/>
      <c r="Q9" s="1489"/>
      <c r="R9" s="1489"/>
      <c r="S9" s="1489"/>
    </row>
    <row r="10" spans="1:22">
      <c r="A10" s="2601">
        <f>'数据-取费表'!AN10</f>
        <v>0</v>
      </c>
      <c r="B10" s="2599">
        <f>IF(F10="是",'数据-取费表'!AO10,0)</f>
        <v>0</v>
      </c>
      <c r="C10" s="1872" t="s">
        <v>1650</v>
      </c>
      <c r="D10" s="2706"/>
      <c r="E10" s="2603">
        <f>IF(OR(A10=0,F10="否"),0,'数据-取费表'!K10+'数据-取费表'!S10)</f>
        <v>0</v>
      </c>
      <c r="F10" s="1876"/>
      <c r="G10" s="1489"/>
      <c r="H10" s="1489"/>
      <c r="I10" s="1489"/>
      <c r="J10" s="1489"/>
      <c r="K10" s="1489"/>
      <c r="L10" s="1489"/>
      <c r="M10" s="1489"/>
      <c r="N10" s="1489"/>
      <c r="O10" s="1489"/>
      <c r="P10" s="1489"/>
      <c r="Q10" s="1489"/>
      <c r="R10" s="1489"/>
      <c r="S10" s="1489"/>
    </row>
    <row r="11" spans="1:22">
      <c r="A11" s="2601">
        <f>'数据-取费表'!AN11</f>
        <v>0</v>
      </c>
      <c r="B11" s="2599">
        <f>IF(F11="是",'数据-取费表'!AO11,0)</f>
        <v>0</v>
      </c>
      <c r="C11" s="1872" t="s">
        <v>1650</v>
      </c>
      <c r="D11" s="2706"/>
      <c r="E11" s="2603">
        <f>IF(OR(A11=0,F11="否"),0,'数据-取费表'!K11+'数据-取费表'!S11)</f>
        <v>0</v>
      </c>
      <c r="F11" s="1876"/>
      <c r="G11" s="1489"/>
      <c r="H11" s="1489"/>
      <c r="I11" s="1489"/>
      <c r="J11" s="1489"/>
      <c r="K11" s="1489"/>
      <c r="L11" s="1489"/>
      <c r="M11" s="1489"/>
      <c r="N11" s="1489"/>
      <c r="O11" s="1489"/>
      <c r="P11" s="1489"/>
      <c r="Q11" s="1489"/>
      <c r="R11" s="1489"/>
      <c r="S11" s="1489"/>
    </row>
    <row r="12" spans="1:22">
      <c r="A12" s="2601">
        <f>'数据-取费表'!AN12</f>
        <v>0</v>
      </c>
      <c r="B12" s="2599">
        <f>IF(F12="是",'数据-取费表'!AO12,0)</f>
        <v>0</v>
      </c>
      <c r="C12" s="1872" t="s">
        <v>1650</v>
      </c>
      <c r="D12" s="2706"/>
      <c r="E12" s="260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2">
        <f>'数据-取费表'!AN13</f>
        <v>0</v>
      </c>
      <c r="B13" s="2599">
        <f>IF(F13="是",'数据-取费表'!AO13,0)</f>
        <v>0</v>
      </c>
      <c r="C13" s="1877" t="s">
        <v>1650</v>
      </c>
      <c r="D13" s="2707"/>
      <c r="E13" s="260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3" sqref="K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34.090000000000003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14905</v>
      </c>
      <c r="C2" s="1387" t="s">
        <v>805</v>
      </c>
      <c r="D2" s="1387"/>
      <c r="E2" s="1388"/>
      <c r="F2" s="1389"/>
      <c r="G2" s="2703"/>
      <c r="H2" s="2692"/>
      <c r="I2" s="2692"/>
      <c r="J2" s="2692"/>
      <c r="K2" s="2693"/>
      <c r="L2" s="2692"/>
      <c r="M2" s="2692"/>
    </row>
    <row r="3" spans="1:37" ht="18" customHeight="1" thickBot="1">
      <c r="A3" s="1390" t="s">
        <v>806</v>
      </c>
      <c r="B3" s="1391">
        <f ca="1">IF(ISERROR(B2*10000/F43),0,ROUND(B2*10000/F43,0))</f>
        <v>14067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1020</v>
      </c>
      <c r="D5" s="1364" t="s">
        <v>693</v>
      </c>
      <c r="E5" s="1071"/>
      <c r="F5" s="1072"/>
      <c r="G5" s="1384"/>
      <c r="H5" s="299">
        <v>1</v>
      </c>
      <c r="I5" s="300" t="s">
        <v>692</v>
      </c>
      <c r="J5" s="1070">
        <f ca="1">J6+J10+J12</f>
        <v>0</v>
      </c>
      <c r="K5" s="1364" t="s">
        <v>693</v>
      </c>
      <c r="L5" s="1071"/>
      <c r="M5" s="1072"/>
    </row>
    <row r="6" spans="1:37" ht="18" customHeight="1">
      <c r="A6" s="1069" t="s">
        <v>398</v>
      </c>
      <c r="B6" s="3699" t="s">
        <v>694</v>
      </c>
      <c r="C6" s="1074">
        <f ca="1">ROUND(F6*F8*F7*(1-F9)/10000,0)</f>
        <v>1019</v>
      </c>
      <c r="D6" s="155" t="s">
        <v>2108</v>
      </c>
      <c r="E6" s="302" t="s">
        <v>696</v>
      </c>
      <c r="F6" s="303">
        <f ca="1">INDIRECT("'数据-取费表'!u"&amp;$G$1)</f>
        <v>3.1</v>
      </c>
      <c r="G6" s="1384"/>
      <c r="H6" s="1069" t="s">
        <v>398</v>
      </c>
      <c r="I6" s="3699" t="s">
        <v>694</v>
      </c>
      <c r="J6" s="301">
        <f ca="1">ROUND(M6*M8*M7*(1-M9)/10000,0)</f>
        <v>0</v>
      </c>
      <c r="K6" s="155" t="s">
        <v>2107</v>
      </c>
      <c r="L6" s="302" t="s">
        <v>696</v>
      </c>
      <c r="M6" s="303">
        <f ca="1">INDIRECT("'数据-取费表'!z"&amp;$G$1)</f>
        <v>0</v>
      </c>
    </row>
    <row r="7" spans="1:37" ht="18" customHeight="1">
      <c r="A7" s="1073"/>
      <c r="B7" s="3700"/>
      <c r="C7" s="1075"/>
      <c r="D7" s="307"/>
      <c r="E7" s="1076" t="s">
        <v>697</v>
      </c>
      <c r="F7" s="303">
        <f ca="1">IF(INDIRECT("'数据-取费表'!ah"&amp;$G$1)="",INDIRECT("'数据-取费表'!k"&amp;$G$1),INDIRECT("'数据-取费表'!ah"&amp;$G$1))</f>
        <v>10595.97</v>
      </c>
      <c r="G7" s="1384"/>
      <c r="H7" s="304"/>
      <c r="I7" s="3700"/>
      <c r="J7" s="306"/>
      <c r="K7" s="307"/>
      <c r="L7" s="302" t="s">
        <v>697</v>
      </c>
      <c r="M7" s="303">
        <f ca="1">F7</f>
        <v>10595.97</v>
      </c>
    </row>
    <row r="8" spans="1:37" ht="18" customHeight="1">
      <c r="A8" s="304"/>
      <c r="B8" s="3700"/>
      <c r="C8" s="306"/>
      <c r="D8" s="307"/>
      <c r="E8" s="302" t="s">
        <v>698</v>
      </c>
      <c r="F8" s="303">
        <f ca="1">INDIRECT("'数据-取费表'!ai"&amp;$G$1)</f>
        <v>365</v>
      </c>
      <c r="G8" s="1384"/>
      <c r="H8" s="304"/>
      <c r="I8" s="3700"/>
      <c r="J8" s="306"/>
      <c r="K8" s="307"/>
      <c r="L8" s="302" t="s">
        <v>698</v>
      </c>
      <c r="M8" s="303">
        <f ca="1">INDIRECT("'数据-取费表'!ai"&amp;$G$1)</f>
        <v>365</v>
      </c>
    </row>
    <row r="9" spans="1:37" ht="18" customHeight="1">
      <c r="A9" s="304"/>
      <c r="B9" s="3701"/>
      <c r="C9" s="306"/>
      <c r="D9" s="307"/>
      <c r="E9" s="302" t="s">
        <v>699</v>
      </c>
      <c r="F9" s="312">
        <f ca="1">INDIRECT("'数据-取费表'!w"&amp;$G$1)</f>
        <v>0.15</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3539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7398</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5125</v>
      </c>
      <c r="D14" s="1345" t="s">
        <v>708</v>
      </c>
      <c r="E14" s="1342"/>
      <c r="F14" s="319"/>
      <c r="G14" s="1384"/>
      <c r="H14" s="982" t="s">
        <v>398</v>
      </c>
      <c r="I14" s="302" t="s">
        <v>709</v>
      </c>
      <c r="J14" s="21">
        <f ca="1">C29</f>
        <v>7627</v>
      </c>
      <c r="K14" s="12"/>
      <c r="L14" s="807"/>
      <c r="M14" s="808"/>
    </row>
    <row r="15" spans="1:37" s="1397" customFormat="1" ht="18" customHeight="1" thickBot="1">
      <c r="A15" s="982" t="s">
        <v>399</v>
      </c>
      <c r="B15" s="302" t="s">
        <v>710</v>
      </c>
      <c r="C15" s="21">
        <f ca="1">ROUND(C14*F15,0)</f>
        <v>154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76</v>
      </c>
      <c r="K16" s="1087" t="s">
        <v>715</v>
      </c>
      <c r="L16" s="1088"/>
      <c r="M16" s="1072"/>
    </row>
    <row r="17" spans="1:37" s="1397" customFormat="1" ht="18" customHeight="1">
      <c r="A17" s="982" t="s">
        <v>681</v>
      </c>
      <c r="B17" s="302" t="s">
        <v>716</v>
      </c>
      <c r="C17" s="21">
        <f ca="1">ROUND(F17*(F43+INDIRECT("'数据-取费表'!S"&amp;$G$1))/10000,0)</f>
        <v>228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5584</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112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76.27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-76</v>
      </c>
      <c r="K25" s="1095" t="s">
        <v>753</v>
      </c>
      <c r="L25" s="1096"/>
      <c r="M25" s="1097"/>
    </row>
    <row r="26" spans="1:37">
      <c r="A26" s="982" t="s">
        <v>397</v>
      </c>
      <c r="B26" s="302" t="s">
        <v>754</v>
      </c>
      <c r="C26" s="21">
        <f ca="1">ROUND((C19+C20)*F26,0)</f>
        <v>1139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7627</v>
      </c>
      <c r="D29" s="1092"/>
      <c r="E29" s="1090"/>
      <c r="F29" s="1093"/>
      <c r="G29" s="1396"/>
      <c r="H29" s="334" t="s">
        <v>396</v>
      </c>
      <c r="I29" s="335" t="s">
        <v>768</v>
      </c>
      <c r="J29" s="336">
        <f ca="1">ROUND(J26/(1+F40)^F41,0)</f>
        <v>0</v>
      </c>
      <c r="K29" s="337" t="s">
        <v>769</v>
      </c>
      <c r="L29" s="338"/>
      <c r="M29" s="339">
        <f ca="1">INDIRECT("'数据-取费表'!k"&amp;$G$1)</f>
        <v>10595.97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170.81</v>
      </c>
      <c r="D31" s="1345" t="s">
        <v>720</v>
      </c>
      <c r="E31" s="1344"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IF(项目基本情况!B11="自然人","——",ROUND(C6*F32/(1+'数据-取费表'!C42),2))</f>
        <v>54.35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116.46</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76.27</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11.1</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10.199999999999999</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752</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14646</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34.090000000000003</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13822</v>
      </c>
      <c r="D43" s="337" t="s">
        <v>777</v>
      </c>
      <c r="E43" s="338" t="s">
        <v>778</v>
      </c>
      <c r="F43" s="339">
        <f ca="1">INDIRECT("'数据-取费表'!k"&amp;$G$1)</f>
        <v>10595.97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-15897</v>
      </c>
      <c r="D46" s="1406" t="str">
        <f>C2</f>
        <v>万元</v>
      </c>
      <c r="E46" s="1400"/>
      <c r="F46" s="1400"/>
      <c r="I46" s="1407" t="s">
        <v>810</v>
      </c>
      <c r="J46" s="1408"/>
      <c r="K46" s="1409"/>
      <c r="L46" s="1410">
        <f ca="1">IF(M47="住宅",0,IF(L48&gt;J51,L60,J60))</f>
        <v>259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3540</v>
      </c>
      <c r="K47" s="1416" t="s">
        <v>816</v>
      </c>
      <c r="L47" s="1417">
        <f ca="1">INDIRECT("'数据-取费表'!d"&amp;$G$1)</f>
        <v>40</v>
      </c>
      <c r="M47" s="1380" t="str">
        <f>IF(ISNUMBER(FIND("住宅",C1)),"住宅","非住宅")</f>
        <v>非住宅</v>
      </c>
      <c r="O47" s="1418" t="s">
        <v>403</v>
      </c>
      <c r="P47" s="1419" t="s">
        <v>817</v>
      </c>
      <c r="Q47" s="1420">
        <f ca="1">C40+J29</f>
        <v>14646</v>
      </c>
      <c r="R47" s="1420" t="s">
        <v>818</v>
      </c>
    </row>
    <row r="48" spans="1:18" s="1384" customFormat="1" ht="28.5" thickBot="1">
      <c r="A48" s="1110" t="s">
        <v>438</v>
      </c>
      <c r="B48" s="300" t="s">
        <v>692</v>
      </c>
      <c r="C48" s="1359">
        <f ca="1">C49+C53+C55</f>
        <v>0</v>
      </c>
      <c r="D48" s="1112"/>
      <c r="E48" s="1113"/>
      <c r="F48" s="962"/>
      <c r="G48" s="722"/>
      <c r="H48" s="723"/>
      <c r="I48" s="1421" t="s">
        <v>819</v>
      </c>
      <c r="J48" s="1422" t="s">
        <v>3541</v>
      </c>
      <c r="K48" s="1423" t="s">
        <v>820</v>
      </c>
      <c r="L48" s="1424">
        <f ca="1">INDIRECT("'数据-取费表'!f"&amp;$G$1)</f>
        <v>34.090000000000003</v>
      </c>
      <c r="O48" s="1418" t="s">
        <v>404</v>
      </c>
      <c r="P48" s="1419" t="s">
        <v>821</v>
      </c>
      <c r="Q48" s="1420">
        <f ca="1">J60</f>
        <v>259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2021</v>
      </c>
      <c r="K49" s="1423" t="s">
        <v>824</v>
      </c>
      <c r="L49" s="1427"/>
      <c r="O49" s="1428" t="s">
        <v>405</v>
      </c>
      <c r="P49" s="1419" t="s">
        <v>825</v>
      </c>
      <c r="Q49" s="1420">
        <f ca="1">C29</f>
        <v>7627</v>
      </c>
      <c r="R49" s="1420" t="s">
        <v>818</v>
      </c>
    </row>
    <row r="50" spans="1:18" s="1384" customFormat="1" ht="13.5" thickBot="1">
      <c r="A50" s="976"/>
      <c r="B50" s="979"/>
      <c r="C50" s="1118"/>
      <c r="D50" s="953"/>
      <c r="E50" s="1056" t="s">
        <v>697</v>
      </c>
      <c r="F50" s="1057">
        <f ca="1">F7</f>
        <v>10595.97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4066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34.090000000000003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34.090000000000003</v>
      </c>
      <c r="K53" s="3697" t="s">
        <v>837</v>
      </c>
      <c r="L53" s="3698"/>
      <c r="O53" s="1418" t="s">
        <v>409</v>
      </c>
      <c r="P53" s="1419" t="s">
        <v>838</v>
      </c>
      <c r="Q53" s="1420">
        <f ca="1">Q47+Q48</f>
        <v>14905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7398</v>
      </c>
      <c r="D56" s="1447"/>
      <c r="E56" s="1448"/>
      <c r="F56" s="1440"/>
      <c r="I56" s="1449" t="s">
        <v>842</v>
      </c>
      <c r="J56" s="1450" t="s">
        <v>3519</v>
      </c>
      <c r="K56" s="1421" t="s">
        <v>843</v>
      </c>
      <c r="L56" s="1424" t="str">
        <f ca="1">IF(L48&lt;J51,"——",L48-J53)</f>
        <v>——</v>
      </c>
      <c r="O56" s="1418" t="s">
        <v>403</v>
      </c>
      <c r="P56" s="1419" t="s">
        <v>817</v>
      </c>
      <c r="Q56" s="1420">
        <f ca="1">C40+J29</f>
        <v>14646</v>
      </c>
      <c r="R56" s="1420" t="s">
        <v>818</v>
      </c>
    </row>
    <row r="57" spans="1:18" s="1384" customFormat="1" ht="24.75" thickBot="1">
      <c r="A57" s="1451"/>
      <c r="B57" s="950" t="s">
        <v>767</v>
      </c>
      <c r="C57" s="238">
        <f ca="1">C29</f>
        <v>7627</v>
      </c>
      <c r="D57" s="1452"/>
      <c r="E57" s="1453"/>
      <c r="F57" s="1454"/>
      <c r="I57" s="1455" t="s">
        <v>844</v>
      </c>
      <c r="J57" s="1456">
        <f ca="1">IF(OR(M47="住宅",J51&lt;L48,J56="是"),"——",J51-L48)</f>
        <v>23.909999999999997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14646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76.27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11.1</v>
      </c>
      <c r="D65" s="964" t="s">
        <v>743</v>
      </c>
      <c r="E65" s="950" t="s">
        <v>744</v>
      </c>
      <c r="F65" s="330">
        <f t="shared" ca="1" si="0"/>
        <v>1.5E-3</v>
      </c>
      <c r="I65" s="1462" t="s">
        <v>867</v>
      </c>
      <c r="J65" s="1463">
        <v>40</v>
      </c>
      <c r="K65" s="1463">
        <v>30</v>
      </c>
      <c r="L65" s="1463">
        <v>50</v>
      </c>
      <c r="M65" s="1465">
        <v>0.02</v>
      </c>
      <c r="O65" s="1418" t="s">
        <v>403</v>
      </c>
      <c r="P65" s="1419" t="s">
        <v>868</v>
      </c>
      <c r="Q65" s="1420">
        <f ca="1">C40+J29</f>
        <v>14646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-87</v>
      </c>
      <c r="D67" s="963" t="s">
        <v>753</v>
      </c>
      <c r="E67" s="968"/>
      <c r="F67" s="969"/>
      <c r="O67" s="1428" t="s">
        <v>405</v>
      </c>
      <c r="P67" s="1419" t="s">
        <v>850</v>
      </c>
      <c r="Q67" s="1466">
        <f ca="1">L51</f>
        <v>4066</v>
      </c>
      <c r="R67" s="1420" t="s">
        <v>870</v>
      </c>
    </row>
    <row r="68" spans="1:18" s="1384" customFormat="1" ht="16.5" thickBot="1">
      <c r="A68" s="947" t="s">
        <v>395</v>
      </c>
      <c r="B68" s="948" t="s">
        <v>774</v>
      </c>
      <c r="C68" s="301">
        <f ca="1">ROUND(C67*(1-((1+F70)/(1+F68))^F69)/(F68-F70),0)</f>
        <v>-1251</v>
      </c>
      <c r="D68" s="965" t="s">
        <v>758</v>
      </c>
      <c r="E68" s="950" t="s">
        <v>759</v>
      </c>
      <c r="F68" s="312">
        <f ca="1">F40</f>
        <v>0.06</v>
      </c>
      <c r="O68" s="1428" t="s">
        <v>406</v>
      </c>
      <c r="P68" s="1467" t="s">
        <v>871</v>
      </c>
      <c r="Q68" s="1420">
        <f ca="1">ROUND(Q69-Q70*Q71,0)</f>
        <v>234</v>
      </c>
      <c r="R68" s="1420" t="s">
        <v>414</v>
      </c>
    </row>
    <row r="69" spans="1:18" s="1384" customFormat="1" ht="13.5" thickBot="1">
      <c r="A69" s="951"/>
      <c r="B69" s="952"/>
      <c r="C69" s="306"/>
      <c r="D69" s="970" t="s">
        <v>762</v>
      </c>
      <c r="E69" s="950" t="s">
        <v>763</v>
      </c>
      <c r="F69" s="333">
        <f ca="1">F41</f>
        <v>34.090000000000003</v>
      </c>
      <c r="O69" s="1428" t="s">
        <v>411</v>
      </c>
      <c r="P69" s="1467" t="s">
        <v>872</v>
      </c>
      <c r="Q69" s="1420">
        <f ca="1">C39</f>
        <v>752</v>
      </c>
      <c r="R69" s="1420" t="s">
        <v>818</v>
      </c>
    </row>
    <row r="70" spans="1:18" s="1384" customFormat="1" ht="13.5" thickBot="1">
      <c r="A70" s="954"/>
      <c r="B70" s="955"/>
      <c r="C70" s="310"/>
      <c r="D70" s="966"/>
      <c r="E70" s="950" t="s">
        <v>766</v>
      </c>
      <c r="F70" s="1054"/>
      <c r="O70" s="1428" t="s">
        <v>412</v>
      </c>
      <c r="P70" s="1467" t="s">
        <v>873</v>
      </c>
      <c r="Q70" s="1420">
        <f ca="1">C13</f>
        <v>7398</v>
      </c>
      <c r="R70" s="1420" t="s">
        <v>818</v>
      </c>
    </row>
    <row r="71" spans="1:18" s="1384" customFormat="1" ht="13.5" thickBot="1">
      <c r="A71" s="971" t="s">
        <v>396</v>
      </c>
      <c r="B71" s="972" t="s">
        <v>776</v>
      </c>
      <c r="C71" s="336">
        <f ca="1">ROUND(C68*10000/F71,0)</f>
        <v>-1181</v>
      </c>
      <c r="D71" s="973" t="s">
        <v>777</v>
      </c>
      <c r="E71" s="974" t="s">
        <v>778</v>
      </c>
      <c r="F71" s="339">
        <f ca="1">F43</f>
        <v>10595.97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518</v>
      </c>
      <c r="D75" s="1384"/>
      <c r="E75" s="1384"/>
      <c r="F75" s="1384"/>
      <c r="K75" s="1402"/>
      <c r="L75" s="1384"/>
      <c r="O75" s="1418" t="s">
        <v>409</v>
      </c>
      <c r="P75" s="1419" t="s">
        <v>838</v>
      </c>
      <c r="Q75" s="1420">
        <f ca="1">Q65+Q66</f>
        <v>14646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0.31100000000000005</v>
      </c>
    </row>
    <row r="80" spans="1:18">
      <c r="B80" s="340" t="s">
        <v>800</v>
      </c>
      <c r="C80" s="274">
        <f ca="1">ROUND(C75/C39,3)</f>
        <v>0.68899999999999995</v>
      </c>
    </row>
    <row r="81" spans="2:3">
      <c r="B81" s="270" t="s">
        <v>801</v>
      </c>
      <c r="C81" s="238"/>
    </row>
    <row r="82" spans="2:3">
      <c r="B82" s="273" t="s">
        <v>802</v>
      </c>
      <c r="C82" s="275">
        <f ca="1">1-C83</f>
        <v>0.495</v>
      </c>
    </row>
    <row r="83" spans="2:3">
      <c r="B83" s="273" t="s">
        <v>803</v>
      </c>
      <c r="C83" s="274">
        <f ca="1">ROUND(C13/C40,3)</f>
        <v>0.505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9" t="s">
        <v>694</v>
      </c>
      <c r="C6" s="1074">
        <f ca="1">ROUND(F6*F8*F7*(1-F9),0)</f>
        <v>0</v>
      </c>
      <c r="D6" s="155" t="s">
        <v>2105</v>
      </c>
      <c r="E6" s="302" t="s">
        <v>696</v>
      </c>
      <c r="F6" s="303">
        <f ca="1">INDIRECT("'数据-取费表'!u"&amp;$G$1)</f>
        <v>0</v>
      </c>
      <c r="G6" s="1384"/>
      <c r="H6" s="1069" t="s">
        <v>398</v>
      </c>
      <c r="I6" s="3699" t="s">
        <v>694</v>
      </c>
      <c r="J6" s="301">
        <f ca="1">ROUND(M6*M8*M7*(1-M9),0)</f>
        <v>0</v>
      </c>
      <c r="K6" s="1376" t="s">
        <v>2106</v>
      </c>
      <c r="L6" s="302" t="s">
        <v>696</v>
      </c>
      <c r="M6" s="303">
        <f ca="1">INDIRECT("'数据-取费表'!z"&amp;$G$1)</f>
        <v>0</v>
      </c>
    </row>
    <row r="7" spans="1:37" ht="18" customHeight="1">
      <c r="A7" s="1073"/>
      <c r="B7" s="3700"/>
      <c r="C7" s="1075"/>
      <c r="D7" s="307"/>
      <c r="E7" s="1076" t="s">
        <v>697</v>
      </c>
      <c r="F7" s="303">
        <f ca="1">IF(INDIRECT("'数据-取费表'!ah"&amp;$G$1)="",INDIRECT("'数据-取费表'!k"&amp;$G$1),INDIRECT("'数据-取费表'!ah"&amp;$G$1))</f>
        <v>0</v>
      </c>
      <c r="G7" s="1384"/>
      <c r="H7" s="304"/>
      <c r="I7" s="3700"/>
      <c r="J7" s="306"/>
      <c r="K7" s="307"/>
      <c r="L7" s="302" t="s">
        <v>697</v>
      </c>
      <c r="M7" s="303">
        <f ca="1">F7</f>
        <v>0</v>
      </c>
    </row>
    <row r="8" spans="1:37" ht="18" customHeight="1">
      <c r="A8" s="304"/>
      <c r="B8" s="3700"/>
      <c r="C8" s="306"/>
      <c r="D8" s="307"/>
      <c r="E8" s="302" t="s">
        <v>698</v>
      </c>
      <c r="F8" s="303">
        <f ca="1">INDIRECT("'数据-取费表'!ai"&amp;$G$1)</f>
        <v>0</v>
      </c>
      <c r="G8" s="1384"/>
      <c r="H8" s="304"/>
      <c r="I8" s="3700"/>
      <c r="J8" s="306"/>
      <c r="K8" s="307"/>
      <c r="L8" s="302" t="s">
        <v>698</v>
      </c>
      <c r="M8" s="303">
        <f ca="1">INDIRECT("'数据-取费表'!ai"&amp;$G$1)</f>
        <v>0</v>
      </c>
    </row>
    <row r="9" spans="1:37" ht="18" customHeight="1">
      <c r="A9" s="304"/>
      <c r="B9" s="3701"/>
      <c r="C9" s="306"/>
      <c r="D9" s="307"/>
      <c r="E9" s="302" t="s">
        <v>699</v>
      </c>
      <c r="F9" s="312">
        <f ca="1">INDIRECT("'数据-取费表'!w"&amp;$G$1)</f>
        <v>0</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t="e">
        <f ca="1">ROUND((C68-C40)/10000,4)</f>
        <v>#DIV/0!</v>
      </c>
      <c r="D45" s="3429"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7" t="s">
        <v>837</v>
      </c>
      <c r="L53" s="369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3355</v>
      </c>
      <c r="E2" s="3441"/>
      <c r="F2" s="2843"/>
      <c r="G2" s="2844"/>
      <c r="H2" s="2845"/>
      <c r="I2" s="2846"/>
      <c r="J2" s="3708" t="s">
        <v>2313</v>
      </c>
      <c r="K2" s="3709"/>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10" t="s">
        <v>2323</v>
      </c>
      <c r="K3" s="3711"/>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10" t="s">
        <v>2325</v>
      </c>
      <c r="K4" s="3711"/>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16" t="s">
        <v>2329</v>
      </c>
      <c r="B6" s="3717"/>
      <c r="C6" s="3718"/>
      <c r="D6" s="2867"/>
      <c r="E6" s="2868"/>
      <c r="F6" s="2869"/>
      <c r="G6" s="2870"/>
      <c r="H6" s="2845"/>
      <c r="I6" s="2846"/>
      <c r="J6" s="3702">
        <v>1</v>
      </c>
      <c r="K6" s="3703"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02"/>
      <c r="K7" s="3704"/>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19" t="s">
        <v>2343</v>
      </c>
      <c r="C8" s="3720"/>
      <c r="D8" s="2886" t="s">
        <v>2344</v>
      </c>
      <c r="E8" s="2887" t="s">
        <v>2345</v>
      </c>
      <c r="F8" s="2888" t="s">
        <v>2346</v>
      </c>
      <c r="G8" s="2889"/>
      <c r="H8" s="2845"/>
      <c r="I8" s="2846"/>
      <c r="J8" s="3702"/>
      <c r="K8" s="3704"/>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19" t="s">
        <v>2349</v>
      </c>
      <c r="C9" s="3720"/>
      <c r="D9" s="2886">
        <f>ROUND(D6*E9,0)</f>
        <v>0</v>
      </c>
      <c r="E9" s="2890"/>
      <c r="F9" s="2891" t="s">
        <v>2350</v>
      </c>
      <c r="G9" s="2870"/>
      <c r="H9" s="2845"/>
      <c r="I9" s="2846"/>
      <c r="J9" s="3702"/>
      <c r="K9" s="3704"/>
      <c r="L9" s="2880" t="s">
        <v>2351</v>
      </c>
      <c r="M9" s="2881"/>
      <c r="N9" s="2857"/>
      <c r="O9" s="2882"/>
      <c r="P9" s="2882"/>
      <c r="Q9" s="2883">
        <v>365</v>
      </c>
      <c r="R9" s="2884">
        <f t="shared" si="0"/>
        <v>0</v>
      </c>
      <c r="S9" s="2838"/>
      <c r="T9" s="2838"/>
      <c r="U9" s="2838"/>
      <c r="V9" s="2846"/>
    </row>
    <row r="10" spans="1:22" s="2850" customFormat="1" ht="13.15" customHeight="1">
      <c r="A10" s="2885">
        <v>2</v>
      </c>
      <c r="B10" s="3719" t="s">
        <v>2352</v>
      </c>
      <c r="C10" s="3720"/>
      <c r="D10" s="2886">
        <f>ROUND(D6*E10,0)</f>
        <v>0</v>
      </c>
      <c r="E10" s="2890"/>
      <c r="F10" s="2891" t="s">
        <v>2353</v>
      </c>
      <c r="G10" s="2870"/>
      <c r="H10" s="2845"/>
      <c r="I10" s="2846"/>
      <c r="J10" s="3702"/>
      <c r="K10" s="3704"/>
      <c r="L10" s="2880" t="s">
        <v>2354</v>
      </c>
      <c r="M10" s="2881"/>
      <c r="N10" s="2857"/>
      <c r="O10" s="2882"/>
      <c r="P10" s="2882"/>
      <c r="Q10" s="2883">
        <v>365</v>
      </c>
      <c r="R10" s="2884">
        <f t="shared" si="0"/>
        <v>0</v>
      </c>
      <c r="S10" s="2838"/>
      <c r="T10" s="2838"/>
      <c r="U10" s="2838"/>
      <c r="V10" s="2846"/>
    </row>
    <row r="11" spans="1:22" s="2850" customFormat="1" ht="13.15" customHeight="1">
      <c r="A11" s="2885">
        <v>3</v>
      </c>
      <c r="B11" s="3719" t="s">
        <v>2355</v>
      </c>
      <c r="C11" s="3720"/>
      <c r="D11" s="2886">
        <f>D12+D14+D15+D16</f>
        <v>0</v>
      </c>
      <c r="E11" s="2892" t="e">
        <f>D11/D6</f>
        <v>#DIV/0!</v>
      </c>
      <c r="F11" s="2888"/>
      <c r="G11" s="2889"/>
      <c r="H11" s="2845"/>
      <c r="I11" s="2846"/>
      <c r="J11" s="3702"/>
      <c r="K11" s="3704"/>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12" t="s">
        <v>2358</v>
      </c>
      <c r="C12" s="3713"/>
      <c r="D12" s="2894">
        <f>ROUND(D13*1.2%*(1-30%),0)</f>
        <v>0</v>
      </c>
      <c r="E12" s="2895">
        <v>1.2E-2</v>
      </c>
      <c r="F12" s="2888" t="s">
        <v>2359</v>
      </c>
      <c r="G12" s="2889"/>
      <c r="H12" s="2845"/>
      <c r="I12" s="2846"/>
      <c r="J12" s="3702"/>
      <c r="K12" s="3704"/>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02"/>
      <c r="K13" s="3704"/>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12" t="s">
        <v>2364</v>
      </c>
      <c r="C14" s="3713"/>
      <c r="D14" s="2894">
        <f>ROUND(E14*B5/10000,0)</f>
        <v>0</v>
      </c>
      <c r="E14" s="2883"/>
      <c r="F14" s="2888" t="s">
        <v>2365</v>
      </c>
      <c r="G14" s="2889"/>
      <c r="H14" s="2845"/>
      <c r="I14" s="2846"/>
      <c r="J14" s="3702"/>
      <c r="K14" s="3705"/>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12" t="s">
        <v>2368</v>
      </c>
      <c r="C15" s="3713"/>
      <c r="D15" s="2894">
        <f>ROUND(D6*E15,0)</f>
        <v>0</v>
      </c>
      <c r="E15" s="2895">
        <v>5.5E-2</v>
      </c>
      <c r="F15" s="2888" t="s">
        <v>2369</v>
      </c>
      <c r="G15" s="2870"/>
      <c r="H15" s="2845"/>
      <c r="I15" s="2846"/>
      <c r="J15" s="3702">
        <v>2</v>
      </c>
      <c r="K15" s="3703"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12" t="s">
        <v>2377</v>
      </c>
      <c r="C16" s="3713"/>
      <c r="D16" s="2905">
        <f>D6*E16</f>
        <v>0</v>
      </c>
      <c r="E16" s="2906"/>
      <c r="F16" s="2891" t="s">
        <v>2378</v>
      </c>
      <c r="G16" s="2870"/>
      <c r="H16" s="2845"/>
      <c r="I16" s="2846"/>
      <c r="J16" s="3702"/>
      <c r="K16" s="3704"/>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14" t="s">
        <v>2380</v>
      </c>
      <c r="C17" s="3715"/>
      <c r="D17" s="2908">
        <f>ROUND(D6*E17,0)</f>
        <v>0</v>
      </c>
      <c r="E17" s="2909"/>
      <c r="F17" s="2910" t="s">
        <v>2381</v>
      </c>
      <c r="G17" s="2870"/>
      <c r="H17" s="2845"/>
      <c r="I17" s="2846"/>
      <c r="J17" s="3702"/>
      <c r="K17" s="3704"/>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02"/>
      <c r="K18" s="3704"/>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02"/>
      <c r="K19" s="3705"/>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2">
        <v>3</v>
      </c>
      <c r="K20" s="3703"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02"/>
      <c r="K21" s="3704"/>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02"/>
      <c r="K22" s="3704"/>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02"/>
      <c r="K23" s="3704"/>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02"/>
      <c r="K24" s="3705"/>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06">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0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08" t="s">
        <v>2313</v>
      </c>
      <c r="K32" s="3709"/>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10" t="s">
        <v>2323</v>
      </c>
      <c r="K33" s="3711"/>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10" t="s">
        <v>2325</v>
      </c>
      <c r="K34" s="371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02">
        <v>1</v>
      </c>
      <c r="K36" s="3703"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02"/>
      <c r="K37" s="3704"/>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2"/>
      <c r="K38" s="3704"/>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02"/>
      <c r="K39" s="3704"/>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02"/>
      <c r="K40" s="3705"/>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6">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0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view="pageBreakPreview" topLeftCell="A10" zoomScale="80" zoomScaleNormal="70" zoomScaleSheetLayoutView="80" workbookViewId="0">
      <selection activeCell="D69" sqref="D6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23"/>
      <c r="F1" s="1879" t="s">
        <v>3572</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v>
      </c>
      <c r="C3" s="354" t="s">
        <v>1767</v>
      </c>
      <c r="D3" s="353">
        <f>IF(D1="",'数据-汇总表'!E3,SUMIF('数据-汇总表'!$C19:$C33,D1,'数据-汇总表'!$E19:$E33))</f>
        <v>10595.97</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40" t="s">
        <v>1769</v>
      </c>
      <c r="D4" s="3741"/>
      <c r="E4" s="3742" t="s">
        <v>1770</v>
      </c>
      <c r="F4" s="3743"/>
      <c r="G4" s="3740" t="s">
        <v>1771</v>
      </c>
      <c r="H4" s="3741"/>
      <c r="I4" s="3740" t="s">
        <v>1772</v>
      </c>
      <c r="J4" s="3741"/>
      <c r="K4" s="559" t="s">
        <v>1773</v>
      </c>
      <c r="L4" s="2712"/>
      <c r="M4" s="2713"/>
      <c r="N4" s="2713"/>
      <c r="O4" s="2713"/>
      <c r="P4" s="3744" t="s">
        <v>1774</v>
      </c>
      <c r="Q4" s="3745"/>
      <c r="R4" s="3750" t="s">
        <v>1770</v>
      </c>
      <c r="S4" s="3751"/>
      <c r="T4" s="3750" t="s">
        <v>1771</v>
      </c>
      <c r="U4" s="3751"/>
      <c r="V4" s="3735" t="s">
        <v>1772</v>
      </c>
      <c r="W4" s="3735"/>
      <c r="X4" s="1355"/>
      <c r="Y4" s="3750" t="s">
        <v>1774</v>
      </c>
      <c r="Z4" s="3751"/>
      <c r="AA4" s="3737" t="s">
        <v>1770</v>
      </c>
      <c r="AB4" s="3735" t="s">
        <v>1771</v>
      </c>
      <c r="AC4" s="3737" t="s">
        <v>1772</v>
      </c>
    </row>
    <row r="5" spans="1:29" ht="15">
      <c r="A5" s="358"/>
      <c r="B5" s="359"/>
      <c r="C5" s="3758" t="s">
        <v>1672</v>
      </c>
      <c r="D5" s="3759"/>
      <c r="E5" s="3765" t="str">
        <f>租金案例!N11</f>
        <v>霁月园</v>
      </c>
      <c r="F5" s="3766"/>
      <c r="G5" s="3758" t="str">
        <f>租金案例!N12</f>
        <v>梅花苑</v>
      </c>
      <c r="H5" s="3759"/>
      <c r="I5" s="3758" t="str">
        <f>租金案例!N13</f>
        <v>绿城西山燕庐</v>
      </c>
      <c r="J5" s="3759"/>
      <c r="K5" s="559"/>
      <c r="L5" s="2712"/>
      <c r="M5" s="2713"/>
      <c r="N5" s="2713"/>
      <c r="O5" s="2713"/>
      <c r="P5" s="3746"/>
      <c r="Q5" s="3747"/>
      <c r="R5" s="3752"/>
      <c r="S5" s="3753"/>
      <c r="T5" s="3752"/>
      <c r="U5" s="3753"/>
      <c r="V5" s="3735"/>
      <c r="W5" s="3735"/>
      <c r="X5" s="1355"/>
      <c r="Y5" s="3752"/>
      <c r="Z5" s="3753"/>
      <c r="AA5" s="3738"/>
      <c r="AB5" s="3735"/>
      <c r="AC5" s="3738"/>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8"/>
      <c r="Q6" s="3749"/>
      <c r="R6" s="3752"/>
      <c r="S6" s="3753"/>
      <c r="T6" s="3754"/>
      <c r="U6" s="3755"/>
      <c r="V6" s="3735"/>
      <c r="W6" s="3735"/>
      <c r="X6" s="1355"/>
      <c r="Y6" s="3754"/>
      <c r="Z6" s="3755"/>
      <c r="AA6" s="3739"/>
      <c r="AB6" s="3735"/>
      <c r="AC6" s="3739"/>
    </row>
    <row r="7" spans="1:29" s="108" customFormat="1" ht="15.75" thickBot="1">
      <c r="A7" s="362" t="s">
        <v>1678</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4"/>
      <c r="M7" s="2715"/>
      <c r="N7" s="2715"/>
      <c r="O7" s="2715"/>
      <c r="P7" s="3760" t="s">
        <v>1679</v>
      </c>
      <c r="Q7" s="3762"/>
      <c r="R7" s="701" t="s">
        <v>14</v>
      </c>
      <c r="S7" s="702">
        <f t="shared" ref="S7:S15" si="0">F7</f>
        <v>100</v>
      </c>
      <c r="T7" s="701" t="s">
        <v>14</v>
      </c>
      <c r="U7" s="702">
        <f t="shared" ref="U7:U15" si="1">H7</f>
        <v>100</v>
      </c>
      <c r="V7" s="701" t="s">
        <v>14</v>
      </c>
      <c r="W7" s="702">
        <f t="shared" ref="W7:W15" si="2">J7</f>
        <v>100</v>
      </c>
      <c r="X7" s="703"/>
      <c r="Y7" s="3760" t="s">
        <v>1679</v>
      </c>
      <c r="Z7" s="3761"/>
      <c r="AA7" s="704">
        <f>D7/F7</f>
        <v>1</v>
      </c>
      <c r="AB7" s="704">
        <f>D7/H7</f>
        <v>1</v>
      </c>
      <c r="AC7" s="704">
        <f>D7/J7</f>
        <v>1</v>
      </c>
    </row>
    <row r="8" spans="1:29" s="108" customFormat="1" ht="15.75" thickBot="1">
      <c r="A8" s="362" t="s">
        <v>1680</v>
      </c>
      <c r="B8" s="363"/>
      <c r="C8" s="368" t="s">
        <v>3578</v>
      </c>
      <c r="D8" s="365">
        <v>100</v>
      </c>
      <c r="E8" s="368" t="s">
        <v>3579</v>
      </c>
      <c r="F8" s="367">
        <f>SUMIF(61:61,E8,62:62)-SUMIF(61:61,C8,62:62)+100</f>
        <v>102</v>
      </c>
      <c r="G8" s="368" t="s">
        <v>3579</v>
      </c>
      <c r="H8" s="365">
        <f>SUMIF(61:61,G8,62:62)-SUMIF(61:61,C8,62:62)+100</f>
        <v>102</v>
      </c>
      <c r="I8" s="368" t="s">
        <v>3579</v>
      </c>
      <c r="J8" s="365">
        <f>SUMIF(61:61,I8,62:62)-SUMIF(61:61,C8,62:62)+100</f>
        <v>102</v>
      </c>
      <c r="K8" s="560"/>
      <c r="L8" s="2714"/>
      <c r="M8" s="2715"/>
      <c r="N8" s="2715"/>
      <c r="O8" s="2715"/>
      <c r="P8" s="3760" t="s">
        <v>1682</v>
      </c>
      <c r="Q8" s="3761"/>
      <c r="R8" s="701" t="s">
        <v>14</v>
      </c>
      <c r="S8" s="702">
        <f t="shared" si="0"/>
        <v>102</v>
      </c>
      <c r="T8" s="701" t="s">
        <v>14</v>
      </c>
      <c r="U8" s="702">
        <f t="shared" si="1"/>
        <v>102</v>
      </c>
      <c r="V8" s="701" t="s">
        <v>14</v>
      </c>
      <c r="W8" s="702">
        <f t="shared" si="2"/>
        <v>102</v>
      </c>
      <c r="X8" s="703"/>
      <c r="Y8" s="3760" t="s">
        <v>1682</v>
      </c>
      <c r="Z8" s="3761"/>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84" t="s">
        <v>3595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f>'数据-取费表'!F6</f>
        <v>34.090000000000003</v>
      </c>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15">
      <c r="A15" s="391" t="s">
        <v>1689</v>
      </c>
      <c r="B15" s="61" t="s">
        <v>1776</v>
      </c>
      <c r="C15" s="1896" t="str">
        <f>估价对象房地状况!C4</f>
        <v>较差</v>
      </c>
      <c r="D15" s="392">
        <v>100</v>
      </c>
      <c r="E15" s="3487" t="s">
        <v>3596</v>
      </c>
      <c r="F15" s="394">
        <f>SUMIF(76:76,E16,77:77)-SUMIF(76:76,C16,77:77)+100</f>
        <v>105</v>
      </c>
      <c r="G15" s="3485" t="s">
        <v>3597</v>
      </c>
      <c r="H15" s="392">
        <f>SUMIF(76:76,G16,77:77)-SUMIF(76:76,C16,77:77)+100</f>
        <v>110</v>
      </c>
      <c r="I15" s="3485" t="s">
        <v>3597</v>
      </c>
      <c r="J15" s="392">
        <f>SUMIF(76:76,I16,77:77)-SUMIF(76:76,C16,77:77)+100</f>
        <v>110</v>
      </c>
      <c r="K15" s="563">
        <v>5</v>
      </c>
      <c r="L15" s="2719"/>
      <c r="M15" s="2713"/>
      <c r="N15" s="2713"/>
      <c r="O15" s="2713"/>
      <c r="P15" s="3726" t="s">
        <v>1690</v>
      </c>
      <c r="Q15" s="1352" t="str">
        <f t="shared" si="6"/>
        <v>商业繁华度</v>
      </c>
      <c r="R15" s="705" t="s">
        <v>14</v>
      </c>
      <c r="S15" s="706">
        <f t="shared" si="0"/>
        <v>105</v>
      </c>
      <c r="T15" s="705" t="s">
        <v>14</v>
      </c>
      <c r="U15" s="706">
        <f t="shared" si="1"/>
        <v>110</v>
      </c>
      <c r="V15" s="705" t="s">
        <v>14</v>
      </c>
      <c r="W15" s="706">
        <f t="shared" si="2"/>
        <v>110</v>
      </c>
      <c r="X15" s="1355"/>
      <c r="Y15" s="3728" t="s">
        <v>1690</v>
      </c>
      <c r="Z15" s="1356" t="str">
        <f t="shared" si="7"/>
        <v>商业繁华度</v>
      </c>
      <c r="AA15" s="1353">
        <f t="shared" si="3"/>
        <v>0.95238095238095233</v>
      </c>
      <c r="AB15" s="1353">
        <f t="shared" si="4"/>
        <v>0.90909090909090906</v>
      </c>
      <c r="AC15" s="1353">
        <f t="shared" si="5"/>
        <v>0.90909090909090906</v>
      </c>
    </row>
    <row r="16" spans="1:29" ht="15.75" thickBot="1">
      <c r="A16" s="379"/>
      <c r="B16" s="397"/>
      <c r="C16" s="398" t="s">
        <v>3548</v>
      </c>
      <c r="D16" s="399"/>
      <c r="E16" s="398" t="s">
        <v>3551</v>
      </c>
      <c r="F16" s="400"/>
      <c r="G16" s="398" t="s">
        <v>3546</v>
      </c>
      <c r="H16" s="401"/>
      <c r="I16" s="398" t="s">
        <v>3546</v>
      </c>
      <c r="J16" s="399"/>
      <c r="K16" s="564"/>
      <c r="L16" s="2719"/>
      <c r="M16" s="2713"/>
      <c r="N16" s="2713"/>
      <c r="O16" s="2713"/>
      <c r="P16" s="3727"/>
      <c r="Q16" s="1352"/>
      <c r="R16" s="705"/>
      <c r="S16" s="706"/>
      <c r="T16" s="705"/>
      <c r="U16" s="706"/>
      <c r="V16" s="705"/>
      <c r="W16" s="706"/>
      <c r="X16" s="1355"/>
      <c r="Y16" s="3729"/>
      <c r="Z16" s="1356"/>
      <c r="AA16" s="1353">
        <v>1</v>
      </c>
      <c r="AB16" s="1353">
        <v>1</v>
      </c>
      <c r="AC16" s="1353">
        <v>1</v>
      </c>
    </row>
    <row r="17" spans="1:29" ht="15">
      <c r="A17" s="379"/>
      <c r="B17" s="402" t="s">
        <v>1258</v>
      </c>
      <c r="C17" s="1900" t="str">
        <f>估价对象房地状况!C6</f>
        <v>一般</v>
      </c>
      <c r="D17" s="401">
        <v>100</v>
      </c>
      <c r="E17" s="3487" t="s">
        <v>3596</v>
      </c>
      <c r="F17" s="404">
        <f>SUMIF(78:78,E18,79:79)-SUMIF(78:78,C18,79:79)+100</f>
        <v>100</v>
      </c>
      <c r="G17" s="3485" t="s">
        <v>3597</v>
      </c>
      <c r="H17" s="406">
        <f>SUMIF(78:78,G18,79:79)-SUMIF(78:78,C18,79:79)+100</f>
        <v>105</v>
      </c>
      <c r="I17" s="3485" t="s">
        <v>3597</v>
      </c>
      <c r="J17" s="406">
        <f>SUMIF(78:78,I18,79:79)-SUMIF(78:78,C18,79:79)+100</f>
        <v>105</v>
      </c>
      <c r="K17" s="563">
        <v>5</v>
      </c>
      <c r="L17" s="2719"/>
      <c r="M17" s="2713"/>
      <c r="N17" s="2713"/>
      <c r="O17" s="2713"/>
      <c r="P17" s="3727"/>
      <c r="Q17" s="1352" t="str">
        <f>B17</f>
        <v>交通便捷度</v>
      </c>
      <c r="R17" s="705" t="s">
        <v>14</v>
      </c>
      <c r="S17" s="706">
        <f>F17</f>
        <v>100</v>
      </c>
      <c r="T17" s="705" t="s">
        <v>14</v>
      </c>
      <c r="U17" s="706">
        <f>H17</f>
        <v>105</v>
      </c>
      <c r="V17" s="705" t="s">
        <v>14</v>
      </c>
      <c r="W17" s="706">
        <f>J17</f>
        <v>105</v>
      </c>
      <c r="X17" s="1355"/>
      <c r="Y17" s="3729"/>
      <c r="Z17" s="1356" t="str">
        <f>Q17</f>
        <v>交通便捷度</v>
      </c>
      <c r="AA17" s="1353">
        <f t="shared" si="3"/>
        <v>1</v>
      </c>
      <c r="AB17" s="1353">
        <f t="shared" si="4"/>
        <v>0.95238095238095233</v>
      </c>
      <c r="AC17" s="1353">
        <f t="shared" si="5"/>
        <v>0.95238095238095233</v>
      </c>
    </row>
    <row r="18" spans="1:29" ht="15.75" thickBot="1">
      <c r="A18" s="379"/>
      <c r="B18" s="407"/>
      <c r="C18" s="1901" t="s">
        <v>3551</v>
      </c>
      <c r="D18" s="401"/>
      <c r="E18" s="398" t="s">
        <v>3551</v>
      </c>
      <c r="F18" s="404"/>
      <c r="G18" s="398" t="s">
        <v>3546</v>
      </c>
      <c r="H18" s="399"/>
      <c r="I18" s="398" t="s">
        <v>3546</v>
      </c>
      <c r="J18" s="399"/>
      <c r="K18" s="564"/>
      <c r="L18" s="2719"/>
      <c r="M18" s="2713"/>
      <c r="N18" s="2713"/>
      <c r="O18" s="2713"/>
      <c r="P18" s="3727"/>
      <c r="Q18" s="1352"/>
      <c r="R18" s="705"/>
      <c r="S18" s="706"/>
      <c r="T18" s="705"/>
      <c r="U18" s="706"/>
      <c r="V18" s="705"/>
      <c r="W18" s="706"/>
      <c r="X18" s="1355"/>
      <c r="Y18" s="3729"/>
      <c r="Z18" s="1356"/>
      <c r="AA18" s="1353">
        <v>1</v>
      </c>
      <c r="AB18" s="1353">
        <v>1</v>
      </c>
      <c r="AC18" s="1353">
        <v>1</v>
      </c>
    </row>
    <row r="19" spans="1:29" ht="15">
      <c r="A19" s="379"/>
      <c r="B19" s="402" t="s">
        <v>1777</v>
      </c>
      <c r="C19" s="1900" t="str">
        <f>估价对象房地状况!C7</f>
        <v>一般</v>
      </c>
      <c r="D19" s="406">
        <v>100</v>
      </c>
      <c r="E19" s="3485" t="s">
        <v>3597</v>
      </c>
      <c r="F19" s="409">
        <f>SUMIF(80:80,E20,81:81)-SUMIF(80:80,C20,81:81)+100</f>
        <v>102</v>
      </c>
      <c r="G19" s="3485" t="s">
        <v>3597</v>
      </c>
      <c r="H19" s="401">
        <f>SUMIF(80:80,G20,81:81)-SUMIF(80:80,C20,81:81)+100</f>
        <v>102</v>
      </c>
      <c r="I19" s="3485" t="s">
        <v>3597</v>
      </c>
      <c r="J19" s="401">
        <f>SUMIF(80:80,I20,81:81)-SUMIF(80:80,C20,81:81)+100</f>
        <v>102</v>
      </c>
      <c r="K19" s="563">
        <v>2</v>
      </c>
      <c r="L19" s="2719"/>
      <c r="M19" s="2713"/>
      <c r="N19" s="2713"/>
      <c r="O19" s="2713"/>
      <c r="P19" s="3727"/>
      <c r="Q19" s="1352" t="str">
        <f>B19</f>
        <v>公共配套设施</v>
      </c>
      <c r="R19" s="705" t="s">
        <v>14</v>
      </c>
      <c r="S19" s="706">
        <f>F19</f>
        <v>102</v>
      </c>
      <c r="T19" s="705" t="s">
        <v>14</v>
      </c>
      <c r="U19" s="706">
        <f>H19</f>
        <v>102</v>
      </c>
      <c r="V19" s="705" t="s">
        <v>14</v>
      </c>
      <c r="W19" s="706">
        <f>J19</f>
        <v>102</v>
      </c>
      <c r="X19" s="1355"/>
      <c r="Y19" s="3729"/>
      <c r="Z19" s="1356" t="str">
        <f>Q19</f>
        <v>公共配套设施</v>
      </c>
      <c r="AA19" s="1353">
        <f t="shared" si="3"/>
        <v>0.98039215686274506</v>
      </c>
      <c r="AB19" s="1353">
        <f t="shared" si="4"/>
        <v>0.98039215686274506</v>
      </c>
      <c r="AC19" s="1353">
        <f t="shared" si="5"/>
        <v>0.98039215686274506</v>
      </c>
    </row>
    <row r="20" spans="1:29" ht="15">
      <c r="A20" s="379"/>
      <c r="B20" s="407"/>
      <c r="C20" s="398" t="s">
        <v>3551</v>
      </c>
      <c r="D20" s="399"/>
      <c r="E20" s="398" t="s">
        <v>3546</v>
      </c>
      <c r="F20" s="400"/>
      <c r="G20" s="398" t="s">
        <v>3546</v>
      </c>
      <c r="H20" s="399"/>
      <c r="I20" s="398" t="s">
        <v>3546</v>
      </c>
      <c r="J20" s="399"/>
      <c r="K20" s="564"/>
      <c r="L20" s="2719"/>
      <c r="M20" s="2713"/>
      <c r="N20" s="2713"/>
      <c r="O20" s="2713"/>
      <c r="P20" s="3727"/>
      <c r="Q20" s="1352"/>
      <c r="R20" s="705"/>
      <c r="S20" s="706"/>
      <c r="T20" s="705"/>
      <c r="U20" s="706"/>
      <c r="V20" s="705"/>
      <c r="W20" s="706"/>
      <c r="X20" s="1355"/>
      <c r="Y20" s="3729"/>
      <c r="Z20" s="1356"/>
      <c r="AA20" s="1353">
        <v>1</v>
      </c>
      <c r="AB20" s="1353">
        <v>1</v>
      </c>
      <c r="AC20" s="1353">
        <v>1</v>
      </c>
    </row>
    <row r="21" spans="1:29" ht="15">
      <c r="A21" s="379"/>
      <c r="B21" s="1131" t="s">
        <v>1778</v>
      </c>
      <c r="C21" s="1900" t="str">
        <f>估价对象房地状况!C8</f>
        <v>七通</v>
      </c>
      <c r="D21" s="406">
        <v>100</v>
      </c>
      <c r="E21" s="408" t="s">
        <v>3582</v>
      </c>
      <c r="F21" s="409">
        <f>SUMIF(82:82,E22,83:83)-SUMIF(82:82,C22,83:83)+100</f>
        <v>100</v>
      </c>
      <c r="G21" s="408" t="s">
        <v>3582</v>
      </c>
      <c r="H21" s="401">
        <f>SUMIF(82:82,G22,83:83)-SUMIF(82:82,C22,83:83)+100</f>
        <v>100</v>
      </c>
      <c r="I21" s="408" t="s">
        <v>3582</v>
      </c>
      <c r="J21" s="401">
        <f>SUMIF(82:82,I22,83:83)-SUMIF(82:82,C22,83:83)+100</f>
        <v>100</v>
      </c>
      <c r="K21" s="563">
        <v>1</v>
      </c>
      <c r="L21" s="2719"/>
      <c r="M21" s="2713"/>
      <c r="N21" s="2713"/>
      <c r="O21" s="2713"/>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t="s">
        <v>3582</v>
      </c>
      <c r="D22" s="399"/>
      <c r="E22" s="398" t="s">
        <v>3582</v>
      </c>
      <c r="F22" s="400"/>
      <c r="G22" s="398" t="s">
        <v>3582</v>
      </c>
      <c r="H22" s="399"/>
      <c r="I22" s="398" t="s">
        <v>3582</v>
      </c>
      <c r="J22" s="399"/>
      <c r="K22" s="1130"/>
      <c r="L22" s="2719"/>
      <c r="M22" s="2713"/>
      <c r="N22" s="2713"/>
      <c r="O22" s="2713"/>
      <c r="P22" s="3727"/>
      <c r="Q22" s="1352"/>
      <c r="R22" s="705"/>
      <c r="S22" s="706"/>
      <c r="T22" s="705"/>
      <c r="U22" s="706"/>
      <c r="V22" s="705"/>
      <c r="W22" s="706"/>
      <c r="X22" s="1355"/>
      <c r="Y22" s="3729"/>
      <c r="Z22" s="1356"/>
      <c r="AA22" s="1353">
        <v>1</v>
      </c>
      <c r="AB22" s="1353">
        <v>1</v>
      </c>
      <c r="AC22" s="1353">
        <v>1</v>
      </c>
    </row>
    <row r="23" spans="1:29" ht="15">
      <c r="A23" s="379"/>
      <c r="B23" s="402" t="s">
        <v>1260</v>
      </c>
      <c r="C23" s="1955" t="str">
        <f>估价对象房地状况!C9</f>
        <v>较好</v>
      </c>
      <c r="D23" s="401">
        <v>100</v>
      </c>
      <c r="E23" s="403" t="s">
        <v>3546</v>
      </c>
      <c r="F23" s="404">
        <f>SUMIF(84:84,E24,85:85)-SUMIF(84:84,C24,85:85)+100</f>
        <v>100</v>
      </c>
      <c r="G23" s="403" t="s">
        <v>3546</v>
      </c>
      <c r="H23" s="401">
        <f>SUMIF(84:84,G24,85:85)-SUMIF(84:84,C24,85:85)+100</f>
        <v>100</v>
      </c>
      <c r="I23" s="403" t="s">
        <v>3546</v>
      </c>
      <c r="J23" s="401">
        <f>SUMIF(84:84,I24,85:85)-SUMIF(84:84,C24,85:85)+100</f>
        <v>100</v>
      </c>
      <c r="K23" s="563">
        <v>2</v>
      </c>
      <c r="L23" s="2719"/>
      <c r="M23" s="2713"/>
      <c r="N23" s="2713"/>
      <c r="O23" s="2713"/>
      <c r="P23" s="3727"/>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t="s">
        <v>3546</v>
      </c>
      <c r="D24" s="399"/>
      <c r="E24" s="1898" t="s">
        <v>3546</v>
      </c>
      <c r="F24" s="400"/>
      <c r="G24" s="1898" t="s">
        <v>3546</v>
      </c>
      <c r="H24" s="399"/>
      <c r="I24" s="1898" t="s">
        <v>3546</v>
      </c>
      <c r="J24" s="399"/>
      <c r="K24" s="564"/>
      <c r="L24" s="2719"/>
      <c r="M24" s="2713"/>
      <c r="N24" s="2713"/>
      <c r="O24" s="2713"/>
      <c r="P24" s="3727"/>
      <c r="Q24" s="1352"/>
      <c r="R24" s="705"/>
      <c r="S24" s="706"/>
      <c r="T24" s="705"/>
      <c r="U24" s="706"/>
      <c r="V24" s="705"/>
      <c r="W24" s="706"/>
      <c r="X24" s="1355"/>
      <c r="Y24" s="3729"/>
      <c r="Z24" s="1356"/>
      <c r="AA24" s="1353">
        <v>1</v>
      </c>
      <c r="AB24" s="1353">
        <v>1</v>
      </c>
      <c r="AC24" s="1353">
        <v>1</v>
      </c>
    </row>
    <row r="25" spans="1:29" ht="15">
      <c r="A25" s="379"/>
      <c r="B25" s="375" t="s">
        <v>1779</v>
      </c>
      <c r="C25" s="565" t="s">
        <v>3600</v>
      </c>
      <c r="D25" s="386">
        <v>100</v>
      </c>
      <c r="E25" s="565" t="s">
        <v>3598</v>
      </c>
      <c r="F25" s="412">
        <f>SUMIF(86:86,E25,87:87)-SUMIF(86:86,C25,87:87)+100</f>
        <v>105</v>
      </c>
      <c r="G25" s="565" t="s">
        <v>3598</v>
      </c>
      <c r="H25" s="386">
        <f>SUMIF(86:86,G25,87:87)-SUMIF(86:86,C25,87:87)+100</f>
        <v>105</v>
      </c>
      <c r="I25" s="565" t="s">
        <v>3598</v>
      </c>
      <c r="J25" s="386">
        <f>SUMIF(86:86,I25,87:87)-SUMIF(86:86,C25,87:87)+100</f>
        <v>105</v>
      </c>
      <c r="K25" s="561">
        <v>5</v>
      </c>
      <c r="L25" s="2719"/>
      <c r="M25" s="2713"/>
      <c r="N25" s="2713"/>
      <c r="O25" s="2713"/>
      <c r="P25" s="3727"/>
      <c r="Q25" s="1352" t="str">
        <f t="shared" ref="Q25:Q46" si="11">B25</f>
        <v>临街状况</v>
      </c>
      <c r="R25" s="705" t="s">
        <v>14</v>
      </c>
      <c r="S25" s="706">
        <f>F25</f>
        <v>105</v>
      </c>
      <c r="T25" s="705" t="s">
        <v>14</v>
      </c>
      <c r="U25" s="706">
        <f>H25</f>
        <v>105</v>
      </c>
      <c r="V25" s="705" t="s">
        <v>14</v>
      </c>
      <c r="W25" s="706">
        <f>J25</f>
        <v>105</v>
      </c>
      <c r="X25" s="1355"/>
      <c r="Y25" s="3729"/>
      <c r="Z25" s="1356" t="str">
        <f>Q25</f>
        <v>临街状况</v>
      </c>
      <c r="AA25" s="1353">
        <f t="shared" si="3"/>
        <v>0.95238095238095233</v>
      </c>
      <c r="AB25" s="1353">
        <f t="shared" si="4"/>
        <v>0.95238095238095233</v>
      </c>
      <c r="AC25" s="1353">
        <f t="shared" si="5"/>
        <v>0.95238095238095233</v>
      </c>
    </row>
    <row r="26" spans="1:29" ht="15">
      <c r="A26" s="379"/>
      <c r="B26" s="1133" t="s">
        <v>1780</v>
      </c>
      <c r="C26" s="3489" t="s">
        <v>3596</v>
      </c>
      <c r="D26" s="386">
        <v>100</v>
      </c>
      <c r="E26" s="3489" t="s">
        <v>3597</v>
      </c>
      <c r="F26" s="412">
        <f>SUMIF(88:88,E26,89:89)-SUMIF(88:88,C26,89:89)+100</f>
        <v>105</v>
      </c>
      <c r="G26" s="3489" t="s">
        <v>3597</v>
      </c>
      <c r="H26" s="386">
        <f>SUMIF(88:88,G26,89:89)-SUMIF(88:88,C26,89:89)+100</f>
        <v>105</v>
      </c>
      <c r="I26" s="3489" t="s">
        <v>3597</v>
      </c>
      <c r="J26" s="386">
        <f>SUMIF(88:88,I26,89:89)-SUMIF(88:88,C26,89:89)+100</f>
        <v>105</v>
      </c>
      <c r="K26" s="562"/>
      <c r="L26" s="2719"/>
      <c r="M26" s="2713"/>
      <c r="N26" s="2713"/>
      <c r="O26" s="2713"/>
      <c r="P26" s="3727"/>
      <c r="Q26" s="1352" t="str">
        <f t="shared" si="11"/>
        <v>平面位置/可视性</v>
      </c>
      <c r="R26" s="705" t="s">
        <v>14</v>
      </c>
      <c r="S26" s="706">
        <f>F26</f>
        <v>105</v>
      </c>
      <c r="T26" s="705" t="s">
        <v>14</v>
      </c>
      <c r="U26" s="706">
        <f>H26</f>
        <v>105</v>
      </c>
      <c r="V26" s="705" t="s">
        <v>14</v>
      </c>
      <c r="W26" s="706">
        <f>J26</f>
        <v>105</v>
      </c>
      <c r="X26" s="1355"/>
      <c r="Y26" s="3729"/>
      <c r="Z26" s="1356" t="str">
        <f>Q26</f>
        <v>平面位置/可视性</v>
      </c>
      <c r="AA26" s="1353">
        <f t="shared" si="3"/>
        <v>0.95238095238095233</v>
      </c>
      <c r="AB26" s="1353">
        <f t="shared" si="4"/>
        <v>0.95238095238095233</v>
      </c>
      <c r="AC26" s="1353">
        <f t="shared" si="5"/>
        <v>0.95238095238095233</v>
      </c>
    </row>
    <row r="27" spans="1:29" s="108" customFormat="1" ht="15">
      <c r="A27" s="382"/>
      <c r="B27" s="402" t="s">
        <v>1781</v>
      </c>
      <c r="C27" s="1956" t="s">
        <v>3604</v>
      </c>
      <c r="D27" s="413">
        <v>100</v>
      </c>
      <c r="E27" s="1956" t="s">
        <v>3551</v>
      </c>
      <c r="F27" s="415">
        <f>SUMIF(90:90,E27,91:91)-SUMIF(90:90,C27,91:91)+100</f>
        <v>105</v>
      </c>
      <c r="G27" s="1956" t="s">
        <v>3602</v>
      </c>
      <c r="H27" s="413">
        <f>SUMIF(90:90,G27,91:91)-SUMIF(90:90,C27,91:91)+100</f>
        <v>110</v>
      </c>
      <c r="I27" s="1956" t="s">
        <v>3602</v>
      </c>
      <c r="J27" s="413">
        <f>SUMIF(90:90,I27,91:91)-SUMIF(90:90,C27,91:91)+100</f>
        <v>110</v>
      </c>
      <c r="K27" s="561">
        <v>5</v>
      </c>
      <c r="L27" s="2714"/>
      <c r="M27" s="2715"/>
      <c r="N27" s="2715"/>
      <c r="O27" s="2715"/>
      <c r="P27" s="3727"/>
      <c r="Q27" s="1343" t="str">
        <f t="shared" si="11"/>
        <v>人流量</v>
      </c>
      <c r="R27" s="701" t="s">
        <v>14</v>
      </c>
      <c r="S27" s="702">
        <f>F27</f>
        <v>105</v>
      </c>
      <c r="T27" s="701" t="s">
        <v>14</v>
      </c>
      <c r="U27" s="702">
        <f>H27</f>
        <v>110</v>
      </c>
      <c r="V27" s="701" t="s">
        <v>14</v>
      </c>
      <c r="W27" s="702">
        <f>J27</f>
        <v>110</v>
      </c>
      <c r="X27" s="703"/>
      <c r="Y27" s="3729"/>
      <c r="Z27" s="52" t="str">
        <f>Q27</f>
        <v>人流量</v>
      </c>
      <c r="AA27" s="1353">
        <f>D27/F27</f>
        <v>0.95238095238095233</v>
      </c>
      <c r="AB27" s="1353">
        <f>D27/H27</f>
        <v>0.90909090909090906</v>
      </c>
      <c r="AC27" s="1353">
        <f>D27/J27</f>
        <v>0.90909090909090906</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7"/>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7"/>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7"/>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30" t="s">
        <v>1695</v>
      </c>
      <c r="Q32" s="1352" t="str">
        <f t="shared" si="11"/>
        <v>商业类型</v>
      </c>
      <c r="R32" s="705" t="s">
        <v>14</v>
      </c>
      <c r="S32" s="706">
        <f t="shared" si="12"/>
        <v>100</v>
      </c>
      <c r="T32" s="705" t="s">
        <v>14</v>
      </c>
      <c r="U32" s="706">
        <f t="shared" si="13"/>
        <v>100</v>
      </c>
      <c r="V32" s="705" t="s">
        <v>14</v>
      </c>
      <c r="W32" s="706">
        <f t="shared" si="14"/>
        <v>100</v>
      </c>
      <c r="X32" s="1355"/>
      <c r="Y32" s="373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8"/>
      <c r="M33" s="2720"/>
      <c r="N33" s="2720"/>
      <c r="O33" s="2720"/>
      <c r="P33" s="3731"/>
      <c r="Q33" s="707" t="str">
        <f t="shared" si="11"/>
        <v>项目建筑规模</v>
      </c>
      <c r="R33" s="708" t="s">
        <v>14</v>
      </c>
      <c r="S33" s="709">
        <f t="shared" si="12"/>
        <v>100</v>
      </c>
      <c r="T33" s="708" t="s">
        <v>14</v>
      </c>
      <c r="U33" s="709">
        <f t="shared" si="13"/>
        <v>100</v>
      </c>
      <c r="V33" s="708" t="s">
        <v>14</v>
      </c>
      <c r="W33" s="709">
        <f t="shared" si="14"/>
        <v>100</v>
      </c>
      <c r="X33" s="710"/>
      <c r="Y33" s="3733"/>
      <c r="Z33" s="711" t="str">
        <f t="shared" si="15"/>
        <v>项目建筑规模</v>
      </c>
      <c r="AA33" s="1353">
        <f t="shared" si="3"/>
        <v>1</v>
      </c>
      <c r="AB33" s="1353">
        <f t="shared" si="4"/>
        <v>1</v>
      </c>
      <c r="AC33" s="1353">
        <f t="shared" si="5"/>
        <v>1</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1785</v>
      </c>
      <c r="C36" s="425">
        <v>0.98</v>
      </c>
      <c r="D36" s="386">
        <v>100</v>
      </c>
      <c r="E36" s="425">
        <v>0.85</v>
      </c>
      <c r="F36" s="412">
        <f>LOOKUP(E36,110:110,111:111)-LOOKUP(C36,110:110,111:111)+100</f>
        <v>100</v>
      </c>
      <c r="G36" s="425">
        <v>0.85</v>
      </c>
      <c r="H36" s="412">
        <f>LOOKUP(G36,110:110,111:111)-LOOKUP(C36,110:110,111:111)+100</f>
        <v>100</v>
      </c>
      <c r="I36" s="425">
        <v>0.85</v>
      </c>
      <c r="J36" s="386">
        <f>LOOKUP(I36,110:110,111:111)-LOOKUP(C36,110:110,111:111)+100</f>
        <v>100</v>
      </c>
      <c r="K36" s="561"/>
      <c r="L36" s="2719"/>
      <c r="M36" s="2713"/>
      <c r="N36" s="2713"/>
      <c r="O36" s="2713"/>
      <c r="P36" s="3731"/>
      <c r="Q36" s="1352" t="str">
        <f t="shared" si="11"/>
        <v>成新度</v>
      </c>
      <c r="R36" s="705" t="s">
        <v>14</v>
      </c>
      <c r="S36" s="706">
        <f t="shared" si="12"/>
        <v>100</v>
      </c>
      <c r="T36" s="705" t="s">
        <v>14</v>
      </c>
      <c r="U36" s="706">
        <f t="shared" si="13"/>
        <v>100</v>
      </c>
      <c r="V36" s="705" t="s">
        <v>14</v>
      </c>
      <c r="W36" s="706">
        <f t="shared" si="14"/>
        <v>100</v>
      </c>
      <c r="X36" s="1355"/>
      <c r="Y36" s="3733"/>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31" t="s">
        <v>1695</v>
      </c>
      <c r="Q38" s="1352" t="str">
        <f t="shared" si="11"/>
        <v>业态</v>
      </c>
      <c r="R38" s="705" t="s">
        <v>14</v>
      </c>
      <c r="S38" s="706">
        <f t="shared" si="12"/>
        <v>100</v>
      </c>
      <c r="T38" s="705" t="s">
        <v>14</v>
      </c>
      <c r="U38" s="706">
        <f t="shared" si="13"/>
        <v>100</v>
      </c>
      <c r="V38" s="705" t="s">
        <v>14</v>
      </c>
      <c r="W38" s="706">
        <f t="shared" si="14"/>
        <v>100</v>
      </c>
      <c r="X38" s="1355"/>
      <c r="Y38" s="373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1707</v>
      </c>
      <c r="B47" s="431"/>
      <c r="C47" s="1154" t="s">
        <v>0</v>
      </c>
      <c r="D47" s="1155"/>
      <c r="E47" s="1156">
        <f>租金案例!O11</f>
        <v>4.7</v>
      </c>
      <c r="F47" s="1157"/>
      <c r="G47" s="1158">
        <f>租金案例!O12</f>
        <v>5.5</v>
      </c>
      <c r="H47" s="1159"/>
      <c r="I47" s="1156">
        <f>租金案例!O13</f>
        <v>6</v>
      </c>
      <c r="J47" s="1159"/>
      <c r="K47" s="714"/>
      <c r="L47" s="2721"/>
      <c r="M47" s="2722"/>
      <c r="N47" s="2713"/>
      <c r="O47" s="2722"/>
      <c r="P47" s="3721" t="str">
        <f>A47</f>
        <v>成交单价（元/平方米）</v>
      </c>
      <c r="Q47" s="3721"/>
      <c r="R47" s="3735">
        <f>E47</f>
        <v>4.7</v>
      </c>
      <c r="S47" s="3735"/>
      <c r="T47" s="3735">
        <f>G47</f>
        <v>5.5</v>
      </c>
      <c r="U47" s="3735"/>
      <c r="V47" s="3735">
        <f>I47</f>
        <v>6</v>
      </c>
      <c r="W47" s="3735"/>
      <c r="X47" s="690"/>
      <c r="Y47" s="712"/>
      <c r="Z47" s="690"/>
      <c r="AA47" s="690"/>
      <c r="AB47" s="690"/>
      <c r="AC47" s="690"/>
    </row>
    <row r="48" spans="1:29" ht="15.75" thickBot="1">
      <c r="A48" s="437" t="s">
        <v>1792</v>
      </c>
      <c r="B48" s="438"/>
      <c r="C48" s="1160">
        <f>R49</f>
        <v>3.9</v>
      </c>
      <c r="D48" s="2317" t="s">
        <v>2137</v>
      </c>
      <c r="E48" s="1161">
        <f>R48</f>
        <v>3.7</v>
      </c>
      <c r="F48" s="2318"/>
      <c r="G48" s="1160">
        <f>T48</f>
        <v>3.8</v>
      </c>
      <c r="H48" s="2318"/>
      <c r="I48" s="1161">
        <f>V48</f>
        <v>4.0999999999999996</v>
      </c>
      <c r="J48" s="2318"/>
      <c r="K48" s="2320">
        <f>F48+H48+J48</f>
        <v>0</v>
      </c>
      <c r="L48" s="2721"/>
      <c r="M48" s="2722"/>
      <c r="N48" s="2713"/>
      <c r="O48" s="2722"/>
      <c r="P48" s="3721" t="str">
        <f>A48</f>
        <v>比较价值（元/平方米）</v>
      </c>
      <c r="Q48" s="3721"/>
      <c r="R48" s="3722">
        <f>IF(F1="售价",ROUND(PRODUCT(R47,AA7:AA46),0),ROUND(PRODUCT(R47,AA7:AA46),1))</f>
        <v>3.7</v>
      </c>
      <c r="S48" s="3722"/>
      <c r="T48" s="3722">
        <f>IF(F1="售价",ROUND(PRODUCT(T47,AB7:AB46),0),ROUND(PRODUCT(T47,AB7:AB46),1))</f>
        <v>3.8</v>
      </c>
      <c r="U48" s="3722"/>
      <c r="V48" s="3722">
        <f>IF(F1="售价",ROUND(PRODUCT(V47,AC7:AC46),0),ROUND(PRODUCT(V47,AC7:AC46),1))</f>
        <v>4.0999999999999996</v>
      </c>
      <c r="W48" s="3722"/>
      <c r="X48" s="690"/>
      <c r="Y48" s="690"/>
      <c r="Z48" s="690"/>
      <c r="AA48" s="690"/>
      <c r="AB48" s="690"/>
      <c r="AC48" s="690"/>
    </row>
    <row r="49" spans="1:29" ht="15.75" thickBot="1">
      <c r="A49" s="441" t="s">
        <v>1793</v>
      </c>
      <c r="B49" s="442"/>
      <c r="C49" s="1163">
        <f>R49</f>
        <v>3.9</v>
      </c>
      <c r="D49" s="1163"/>
      <c r="E49" s="1163"/>
      <c r="F49" s="1163"/>
      <c r="G49" s="1163"/>
      <c r="H49" s="1163"/>
      <c r="I49" s="1163"/>
      <c r="J49" s="1163"/>
      <c r="K49" s="715"/>
      <c r="L49" s="2721"/>
      <c r="M49" s="2722"/>
      <c r="N49" s="2713"/>
      <c r="O49" s="2722"/>
      <c r="P49" s="3723" t="str">
        <f>A49</f>
        <v>估价对象XX用房的比较价值（楼面单价，元/平方米）</v>
      </c>
      <c r="Q49" s="3724"/>
      <c r="R49" s="3725">
        <f>IF(F1="售价",ROUND(IF(D48="简单平均",AVERAGE(R48:V48),R48*F48+T48*H48+V48*J48),0),ROUND(IF(D48="简单平均",AVERAGE(R48:V48),R48*F48+T48*H48+V48*J48),1))</f>
        <v>3.9</v>
      </c>
      <c r="S49" s="3725"/>
      <c r="T49" s="3725"/>
      <c r="U49" s="3725"/>
      <c r="V49" s="3725"/>
      <c r="W49" s="372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0.27027027027027017</v>
      </c>
      <c r="F52" s="449" t="str">
        <f>IF(OR(E52&gt;=0.3,E52&lt;=-0.3),"超过30%","")</f>
        <v/>
      </c>
      <c r="G52" s="448">
        <f>IF(G47&lt;G48,G48/G47-1,G47/G48-1)</f>
        <v>0.44736842105263164</v>
      </c>
      <c r="H52" s="449" t="str">
        <f>IF(OR(G52&gt;=0.3,G52&lt;=-0.3),"超过30%","")</f>
        <v>超过30%</v>
      </c>
      <c r="I52" s="448">
        <f>IF(I47&lt;I48,I48/I47-1,I47/I48-1)</f>
        <v>0.46341463414634165</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2.7027027027026973E-2</v>
      </c>
      <c r="F53" s="449" t="str">
        <f>IF(OR(E53&gt;=0.2,E53&lt;=-0.2),"超过20%","")</f>
        <v/>
      </c>
      <c r="G53" s="448">
        <f>IF(G48&lt;I48,I48/G48-1,G48/I48-1)</f>
        <v>7.8947368421052655E-2</v>
      </c>
      <c r="H53" s="449" t="str">
        <f>IF(OR(G53&gt;=0.2,G53&lt;=-0.2),"超过20%","")</f>
        <v/>
      </c>
      <c r="I53" s="448">
        <f>IF(I48&lt;E48,E48/I48-1,I48/E48-1)</f>
        <v>0.10810810810810789</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0.17021276595744683</v>
      </c>
      <c r="F54" s="449" t="str">
        <f>IF(OR(E54&gt;=0.3,E54&lt;=-0.3),"超过30%","")</f>
        <v/>
      </c>
      <c r="G54" s="448">
        <f>IF(G47&lt;I47,I47/G47-1,G47/I47-1)</f>
        <v>9.0909090909090828E-2</v>
      </c>
      <c r="H54" s="449" t="str">
        <f>IF(OR(G54&gt;=0.3,G54&lt;=-0.3),"超过30%","")</f>
        <v/>
      </c>
      <c r="I54" s="448">
        <f>IF(I47&lt;E47,E47/I47-1,I47/E47-1)</f>
        <v>0.27659574468085091</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83" t="s">
        <v>3594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95</v>
      </c>
      <c r="E79" s="493">
        <f>D79-$K17</f>
        <v>90</v>
      </c>
      <c r="F79" s="493">
        <f>E79-$K17</f>
        <v>85</v>
      </c>
      <c r="G79" s="493">
        <f>F79-$K17</f>
        <v>80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86" t="s">
        <v>3599</v>
      </c>
      <c r="D86" s="3486" t="s">
        <v>3601</v>
      </c>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86" t="s">
        <v>3597</v>
      </c>
      <c r="D88" s="3486" t="s">
        <v>3596</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86" t="s">
        <v>3603</v>
      </c>
      <c r="D90" s="3486" t="s">
        <v>3596</v>
      </c>
      <c r="E90" s="3486" t="s">
        <v>3605</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88" t="s">
        <v>3606</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300</v>
      </c>
      <c r="I103" s="544">
        <v>400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受贵公司委托，我公司对北京市石景山区秀府西街5号院12号楼房地产市场价值进行了预评估。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估价对象为北京市石景山区秀府西街5号院12号楼房地产，为北京景西房地产开发有限公司所有。根据《国有土地使用证》[]，估价对象（分摊）出让国有建设用地使用权面积为0平方米，建筑面积为18818.8平方米。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秀府西街5号院12号楼房地产,属北京景西房地产开发有限公司开发建设的办公项目，该项目尚在开发建设中。根据《国有土地使用证》[]，估价对象（分摊）出让国有建设用地使用权面积为0平方米，规划建筑面积为18818.8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秀府西街5号院12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24" sqref="I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44.09</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10584</v>
      </c>
      <c r="C2" s="1387" t="s">
        <v>805</v>
      </c>
      <c r="D2" s="1387"/>
      <c r="E2" s="1388"/>
      <c r="F2" s="1389"/>
      <c r="G2" s="2703"/>
      <c r="H2" s="2692"/>
      <c r="I2" s="2692"/>
      <c r="J2" s="2692"/>
      <c r="K2" s="2693"/>
      <c r="L2" s="2692"/>
      <c r="M2" s="2692"/>
    </row>
    <row r="3" spans="1:37" ht="18" customHeight="1" thickBot="1">
      <c r="A3" s="1390" t="s">
        <v>806</v>
      </c>
      <c r="B3" s="1391">
        <f ca="1">IF(ISERROR(B2*10000/F43),0,ROUND(B2*10000/F43,0))</f>
        <v>15309</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644</v>
      </c>
      <c r="D5" s="1364" t="s">
        <v>693</v>
      </c>
      <c r="E5" s="1071"/>
      <c r="F5" s="1072"/>
      <c r="G5" s="1384"/>
      <c r="H5" s="299">
        <v>1</v>
      </c>
      <c r="I5" s="300" t="s">
        <v>692</v>
      </c>
      <c r="J5" s="1070">
        <f ca="1">J6+J10+J12</f>
        <v>0</v>
      </c>
      <c r="K5" s="1364" t="s">
        <v>693</v>
      </c>
      <c r="L5" s="1071"/>
      <c r="M5" s="1072"/>
    </row>
    <row r="6" spans="1:37" ht="18" customHeight="1">
      <c r="A6" s="1069" t="s">
        <v>398</v>
      </c>
      <c r="B6" s="3699" t="s">
        <v>694</v>
      </c>
      <c r="C6" s="1074">
        <f ca="1">ROUND(F6*F8*F7*(1-F9)/10000,0)</f>
        <v>643</v>
      </c>
      <c r="D6" s="155" t="s">
        <v>2108</v>
      </c>
      <c r="E6" s="302" t="s">
        <v>696</v>
      </c>
      <c r="F6" s="303">
        <f ca="1">INDIRECT("'数据-取费表'!u"&amp;$G$1)</f>
        <v>3</v>
      </c>
      <c r="G6" s="1384"/>
      <c r="H6" s="1069" t="s">
        <v>398</v>
      </c>
      <c r="I6" s="3699" t="s">
        <v>694</v>
      </c>
      <c r="J6" s="301">
        <f ca="1">ROUND(M6*M8*M7*(1-M9)/10000,0)</f>
        <v>0</v>
      </c>
      <c r="K6" s="155" t="s">
        <v>2107</v>
      </c>
      <c r="L6" s="302" t="s">
        <v>696</v>
      </c>
      <c r="M6" s="303">
        <f ca="1">INDIRECT("'数据-取费表'!z"&amp;$G$1)</f>
        <v>0</v>
      </c>
    </row>
    <row r="7" spans="1:37" ht="18" customHeight="1">
      <c r="A7" s="1073"/>
      <c r="B7" s="3700"/>
      <c r="C7" s="1075"/>
      <c r="D7" s="307"/>
      <c r="E7" s="3454" t="s">
        <v>697</v>
      </c>
      <c r="F7" s="303">
        <f ca="1">IF(INDIRECT("'数据-取费表'!ah"&amp;$G$1)="",INDIRECT("'数据-取费表'!k"&amp;$G$1),INDIRECT("'数据-取费表'!ah"&amp;$G$1))</f>
        <v>6913.630000000001</v>
      </c>
      <c r="G7" s="1384"/>
      <c r="H7" s="304"/>
      <c r="I7" s="3700"/>
      <c r="J7" s="306"/>
      <c r="K7" s="307"/>
      <c r="L7" s="302" t="s">
        <v>697</v>
      </c>
      <c r="M7" s="303">
        <f ca="1">F7</f>
        <v>6913.630000000001</v>
      </c>
    </row>
    <row r="8" spans="1:37" ht="18" customHeight="1">
      <c r="A8" s="304"/>
      <c r="B8" s="3700"/>
      <c r="C8" s="306"/>
      <c r="D8" s="307"/>
      <c r="E8" s="302" t="s">
        <v>698</v>
      </c>
      <c r="F8" s="303">
        <f ca="1">INDIRECT("'数据-取费表'!ai"&amp;$G$1)</f>
        <v>365</v>
      </c>
      <c r="G8" s="1384"/>
      <c r="H8" s="304"/>
      <c r="I8" s="3700"/>
      <c r="J8" s="306"/>
      <c r="K8" s="307"/>
      <c r="L8" s="302" t="s">
        <v>698</v>
      </c>
      <c r="M8" s="303">
        <f ca="1">INDIRECT("'数据-取费表'!ai"&amp;$G$1)</f>
        <v>365</v>
      </c>
    </row>
    <row r="9" spans="1:37" ht="18" customHeight="1">
      <c r="A9" s="304"/>
      <c r="B9" s="3701"/>
      <c r="C9" s="306"/>
      <c r="D9" s="307"/>
      <c r="E9" s="302" t="s">
        <v>699</v>
      </c>
      <c r="F9" s="312">
        <f ca="1">INDIRECT("'数据-取费表'!w"&amp;$G$1)</f>
        <v>0.15</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3539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4626</v>
      </c>
      <c r="D13" s="3451" t="s">
        <v>705</v>
      </c>
      <c r="E13" s="345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3344</v>
      </c>
      <c r="D14" s="3461" t="s">
        <v>708</v>
      </c>
      <c r="E14" s="3460"/>
      <c r="F14" s="319"/>
      <c r="G14" s="1384"/>
      <c r="H14" s="982" t="s">
        <v>398</v>
      </c>
      <c r="I14" s="302" t="s">
        <v>709</v>
      </c>
      <c r="J14" s="21">
        <f ca="1">C29</f>
        <v>4769</v>
      </c>
      <c r="K14" s="3453"/>
      <c r="L14" s="807"/>
      <c r="M14" s="808"/>
    </row>
    <row r="15" spans="1:37" s="1397" customFormat="1" ht="18" customHeight="1" thickBot="1">
      <c r="A15" s="982" t="s">
        <v>399</v>
      </c>
      <c r="B15" s="302" t="s">
        <v>710</v>
      </c>
      <c r="C15" s="21">
        <f ca="1">ROUND(C14*F15,0)</f>
        <v>100</v>
      </c>
      <c r="D15" s="3452" t="s">
        <v>711</v>
      </c>
      <c r="E15" s="3452"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v>
      </c>
      <c r="K16" s="1087" t="s">
        <v>715</v>
      </c>
      <c r="L16" s="3463"/>
      <c r="M16" s="1072"/>
    </row>
    <row r="17" spans="1:37" s="1397" customFormat="1" ht="18" customHeight="1">
      <c r="A17" s="982" t="s">
        <v>681</v>
      </c>
      <c r="B17" s="302" t="s">
        <v>716</v>
      </c>
      <c r="C17" s="21">
        <f ca="1">ROUND(F17*(F43+INDIRECT("'数据-取费表'!S"&amp;$G$1))/10000,0)</f>
        <v>149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1" t="s">
        <v>720</v>
      </c>
      <c r="L17" s="346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50</v>
      </c>
      <c r="D18" s="302" t="s">
        <v>711</v>
      </c>
      <c r="E18" s="302" t="s">
        <v>712</v>
      </c>
      <c r="F18" s="322">
        <f>'数据-取费表'!B36</f>
        <v>1.4999999999999999E-2</v>
      </c>
      <c r="G18" s="1396"/>
      <c r="H18" s="982" t="s">
        <v>397</v>
      </c>
      <c r="I18" s="302" t="s">
        <v>723</v>
      </c>
      <c r="J18" s="21">
        <f ca="1">ROUND(J6*M18/(1+'数据-取费表'!C42),2)</f>
        <v>0</v>
      </c>
      <c r="K18" s="346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3643</v>
      </c>
      <c r="D19" s="131" t="s">
        <v>726</v>
      </c>
      <c r="E19" s="3467"/>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73</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4"/>
      <c r="H22" s="982" t="s">
        <v>402</v>
      </c>
      <c r="I22" s="302" t="s">
        <v>738</v>
      </c>
      <c r="J22" s="21">
        <f ca="1">ROUND(J14*M22,2)</f>
        <v>47.69</v>
      </c>
      <c r="K22" s="3462"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2"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7"/>
      <c r="F25" s="23"/>
      <c r="G25" s="1384"/>
      <c r="H25" s="1079" t="s">
        <v>394</v>
      </c>
      <c r="I25" s="1094" t="s">
        <v>752</v>
      </c>
      <c r="J25" s="310">
        <f ca="1">J5-J16</f>
        <v>-48</v>
      </c>
      <c r="K25" s="1095" t="s">
        <v>753</v>
      </c>
      <c r="L25" s="1096"/>
      <c r="M25" s="1097"/>
    </row>
    <row r="26" spans="1:37">
      <c r="A26" s="982" t="s">
        <v>397</v>
      </c>
      <c r="B26" s="302" t="s">
        <v>754</v>
      </c>
      <c r="C26" s="21">
        <f ca="1">ROUND((C19+C20)*F26,0)</f>
        <v>557</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4769</v>
      </c>
      <c r="D29" s="1092"/>
      <c r="E29" s="1090"/>
      <c r="F29" s="1093"/>
      <c r="G29" s="1396"/>
      <c r="H29" s="334" t="s">
        <v>396</v>
      </c>
      <c r="I29" s="335" t="s">
        <v>768</v>
      </c>
      <c r="J29" s="336">
        <f ca="1">ROUND(J26/(1+F40)^F41,0)</f>
        <v>0</v>
      </c>
      <c r="K29" s="337" t="s">
        <v>769</v>
      </c>
      <c r="L29" s="338"/>
      <c r="M29" s="339">
        <f ca="1">INDIRECT("'数据-取费表'!k"&amp;$G$1)</f>
        <v>6913.630000000001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169</v>
      </c>
      <c r="D30" s="1087" t="s">
        <v>715</v>
      </c>
      <c r="E30" s="3463"/>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107.78</v>
      </c>
      <c r="D31" s="3461" t="s">
        <v>720</v>
      </c>
      <c r="E31" s="3462" t="s">
        <v>770</v>
      </c>
      <c r="F31" s="2315"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397</v>
      </c>
      <c r="B32" s="302" t="s">
        <v>723</v>
      </c>
      <c r="C32" s="21">
        <f ca="1">IF(项目基本情况!B11="自然人","——",ROUND(C6*F32/(1+'数据-取费表'!C42),2))</f>
        <v>34.29</v>
      </c>
      <c r="D32" s="3462"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73.489999999999995</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47.69</v>
      </c>
      <c r="D36" s="3462"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6.94</v>
      </c>
      <c r="D37" s="3462" t="s">
        <v>743</v>
      </c>
      <c r="E37" s="302" t="s">
        <v>744</v>
      </c>
      <c r="F37" s="330">
        <f ca="1">INDIRECT("'数据-取费表'!Al"&amp;$G$1)</f>
        <v>1.5E-3</v>
      </c>
      <c r="G37" s="1384"/>
      <c r="H37" s="2697"/>
      <c r="I37" s="1398"/>
      <c r="J37" s="1399"/>
      <c r="K37" s="2541"/>
      <c r="L37" s="2697"/>
      <c r="M37" s="2697"/>
    </row>
    <row r="38" spans="1:18" ht="18" customHeight="1" thickBot="1">
      <c r="A38" s="1089" t="s">
        <v>683</v>
      </c>
      <c r="B38" s="1090" t="s">
        <v>728</v>
      </c>
      <c r="C38" s="1091">
        <f ca="1">ROUND(C5*F38,2)</f>
        <v>6.44</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752</v>
      </c>
      <c r="C39" s="310">
        <f ca="1">C5-C30</f>
        <v>475</v>
      </c>
      <c r="D39" s="1095" t="s">
        <v>773</v>
      </c>
      <c r="E39" s="1096"/>
      <c r="F39" s="1097"/>
      <c r="G39" s="1384"/>
      <c r="H39" s="2697"/>
      <c r="I39" s="1398"/>
      <c r="J39" s="1399"/>
      <c r="K39" s="2701"/>
      <c r="L39" s="2697"/>
      <c r="M39" s="2697"/>
    </row>
    <row r="40" spans="1:18" ht="18" customHeight="1">
      <c r="A40" s="299" t="s">
        <v>395</v>
      </c>
      <c r="B40" s="300" t="s">
        <v>774</v>
      </c>
      <c r="C40" s="301">
        <f ca="1">ROUND(C39*(1-((1+F42)/(1+F40))^F41)/(F40-F42),0)</f>
        <v>10505</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44.09</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15195</v>
      </c>
      <c r="D43" s="337" t="s">
        <v>777</v>
      </c>
      <c r="E43" s="338" t="s">
        <v>778</v>
      </c>
      <c r="F43" s="339">
        <f ca="1">INDIRECT("'数据-取费表'!k"&amp;$G$1)</f>
        <v>6913.630000000001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-11411</v>
      </c>
      <c r="D46" s="1406" t="str">
        <f>C2</f>
        <v>万元</v>
      </c>
      <c r="E46" s="1400"/>
      <c r="F46" s="1400"/>
      <c r="I46" s="1407" t="s">
        <v>810</v>
      </c>
      <c r="J46" s="1408"/>
      <c r="K46" s="1409"/>
      <c r="L46" s="1410">
        <f ca="1">IF(M47="住宅",0,IF(L48&gt;J51,L60,J60))</f>
        <v>79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3540</v>
      </c>
      <c r="K47" s="1416" t="s">
        <v>816</v>
      </c>
      <c r="L47" s="1417">
        <f ca="1">INDIRECT("'数据-取费表'!d"&amp;$G$1)</f>
        <v>50</v>
      </c>
      <c r="M47" s="1380" t="str">
        <f>IF(ISNUMBER(FIND("住宅",C1)),"住宅","非住宅")</f>
        <v>非住宅</v>
      </c>
      <c r="O47" s="1418" t="s">
        <v>403</v>
      </c>
      <c r="P47" s="1419" t="s">
        <v>817</v>
      </c>
      <c r="Q47" s="1420">
        <f ca="1">C40+J29</f>
        <v>10505</v>
      </c>
      <c r="R47" s="1420" t="s">
        <v>818</v>
      </c>
    </row>
    <row r="48" spans="1:18" s="1384" customFormat="1" ht="28.5" thickBot="1">
      <c r="A48" s="1110" t="s">
        <v>438</v>
      </c>
      <c r="B48" s="300" t="s">
        <v>692</v>
      </c>
      <c r="C48" s="3466">
        <f ca="1">C49+C53+C55</f>
        <v>0</v>
      </c>
      <c r="D48" s="1112"/>
      <c r="E48" s="1113"/>
      <c r="F48" s="962"/>
      <c r="G48" s="722"/>
      <c r="H48" s="723"/>
      <c r="I48" s="1421" t="s">
        <v>819</v>
      </c>
      <c r="J48" s="1422" t="s">
        <v>3541</v>
      </c>
      <c r="K48" s="1423" t="s">
        <v>820</v>
      </c>
      <c r="L48" s="1424">
        <f ca="1">INDIRECT("'数据-取费表'!f"&amp;$G$1)</f>
        <v>44.09</v>
      </c>
      <c r="O48" s="1418" t="s">
        <v>404</v>
      </c>
      <c r="P48" s="1419" t="s">
        <v>821</v>
      </c>
      <c r="Q48" s="1420">
        <f ca="1">J60</f>
        <v>79</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2021</v>
      </c>
      <c r="K49" s="1423" t="s">
        <v>824</v>
      </c>
      <c r="L49" s="1427"/>
      <c r="O49" s="1428" t="s">
        <v>405</v>
      </c>
      <c r="P49" s="1419" t="s">
        <v>825</v>
      </c>
      <c r="Q49" s="1420">
        <f ca="1">C29</f>
        <v>4769</v>
      </c>
      <c r="R49" s="1420" t="s">
        <v>818</v>
      </c>
    </row>
    <row r="50" spans="1:18" s="1384" customFormat="1" ht="13.5" thickBot="1">
      <c r="A50" s="976"/>
      <c r="B50" s="979"/>
      <c r="C50" s="1118"/>
      <c r="D50" s="953"/>
      <c r="E50" s="1056" t="s">
        <v>697</v>
      </c>
      <c r="F50" s="1057">
        <f ca="1">F7</f>
        <v>6913.630000000001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2845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44.09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44.09</v>
      </c>
      <c r="K53" s="3697" t="s">
        <v>837</v>
      </c>
      <c r="L53" s="3698"/>
      <c r="O53" s="1418" t="s">
        <v>409</v>
      </c>
      <c r="P53" s="1419" t="s">
        <v>838</v>
      </c>
      <c r="Q53" s="1420">
        <f ca="1">Q47+Q48</f>
        <v>10584</v>
      </c>
      <c r="R53" s="1420" t="s">
        <v>410</v>
      </c>
    </row>
    <row r="54" spans="1:18" s="1384" customFormat="1" ht="13.5" thickBot="1">
      <c r="A54" s="1153"/>
      <c r="B54" s="1367" t="s">
        <v>679</v>
      </c>
      <c r="C54" s="959"/>
      <c r="D54" s="1366"/>
      <c r="E54" s="345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5"/>
      <c r="F55" s="1440"/>
      <c r="I55" s="1443" t="s">
        <v>840</v>
      </c>
      <c r="J55" s="1444">
        <f ca="1">ROUND(IF(J47="钢混",J57/J50,1-(1-2%)*(J50-J57)/J50),3)</f>
        <v>0.23200000000000001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4626</v>
      </c>
      <c r="D56" s="1447"/>
      <c r="E56" s="1448"/>
      <c r="F56" s="1440"/>
      <c r="I56" s="1449" t="s">
        <v>842</v>
      </c>
      <c r="J56" s="1450" t="s">
        <v>3519</v>
      </c>
      <c r="K56" s="1421" t="s">
        <v>843</v>
      </c>
      <c r="L56" s="1424" t="str">
        <f ca="1">IF(L48&lt;J51,"——",L48-J53)</f>
        <v>——</v>
      </c>
      <c r="O56" s="1418" t="s">
        <v>403</v>
      </c>
      <c r="P56" s="1419" t="s">
        <v>817</v>
      </c>
      <c r="Q56" s="1420">
        <f ca="1">C40+J29</f>
        <v>10505</v>
      </c>
      <c r="R56" s="1420" t="s">
        <v>818</v>
      </c>
    </row>
    <row r="57" spans="1:18" s="1384" customFormat="1" ht="24.75" thickBot="1">
      <c r="A57" s="1451"/>
      <c r="B57" s="950" t="s">
        <v>767</v>
      </c>
      <c r="C57" s="238">
        <f ca="1">C29</f>
        <v>4769</v>
      </c>
      <c r="D57" s="1452"/>
      <c r="E57" s="1453"/>
      <c r="F57" s="1454"/>
      <c r="I57" s="1455" t="s">
        <v>844</v>
      </c>
      <c r="J57" s="1456">
        <f ca="1">IF(OR(M47="住宅",J51&lt;L48,J56="是"),"——",J51-L48)</f>
        <v>13.909999999999997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10505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47.69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6.94</v>
      </c>
      <c r="D65" s="964" t="s">
        <v>743</v>
      </c>
      <c r="E65" s="950" t="s">
        <v>744</v>
      </c>
      <c r="F65" s="330">
        <f t="shared" ca="1" si="0"/>
        <v>1.5E-3</v>
      </c>
      <c r="I65" s="1462" t="s">
        <v>867</v>
      </c>
      <c r="J65" s="1463">
        <v>40</v>
      </c>
      <c r="K65" s="1463">
        <v>30</v>
      </c>
      <c r="L65" s="1463">
        <v>50</v>
      </c>
      <c r="M65" s="1465">
        <v>0.02</v>
      </c>
      <c r="O65" s="1418" t="s">
        <v>403</v>
      </c>
      <c r="P65" s="1419" t="s">
        <v>868</v>
      </c>
      <c r="Q65" s="1420">
        <f ca="1">C40+J29</f>
        <v>10505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v>
      </c>
      <c r="D67" s="963" t="s">
        <v>753</v>
      </c>
      <c r="E67" s="968"/>
      <c r="F67" s="969"/>
      <c r="O67" s="1428" t="s">
        <v>405</v>
      </c>
      <c r="P67" s="1419" t="s">
        <v>850</v>
      </c>
      <c r="Q67" s="1466">
        <f ca="1">L51</f>
        <v>2845</v>
      </c>
      <c r="R67" s="1420" t="s">
        <v>870</v>
      </c>
    </row>
    <row r="68" spans="1:18" s="1384" customFormat="1" ht="16.5" thickBot="1">
      <c r="A68" s="947" t="s">
        <v>395</v>
      </c>
      <c r="B68" s="948" t="s">
        <v>774</v>
      </c>
      <c r="C68" s="301">
        <f ca="1">ROUND(C67*(1-((1+F70)/(1+F68))^F69)/(F68-F70),0)</f>
        <v>-906</v>
      </c>
      <c r="D68" s="965" t="s">
        <v>758</v>
      </c>
      <c r="E68" s="950" t="s">
        <v>759</v>
      </c>
      <c r="F68" s="312">
        <f ca="1">F40</f>
        <v>5.5E-2</v>
      </c>
      <c r="O68" s="1428" t="s">
        <v>406</v>
      </c>
      <c r="P68" s="1467" t="s">
        <v>871</v>
      </c>
      <c r="Q68" s="1420">
        <f ca="1">ROUND(Q69-Q70*Q71,0)</f>
        <v>151</v>
      </c>
      <c r="R68" s="1420" t="s">
        <v>414</v>
      </c>
    </row>
    <row r="69" spans="1:18" s="1384" customFormat="1" ht="13.5" thickBot="1">
      <c r="A69" s="951"/>
      <c r="B69" s="952"/>
      <c r="C69" s="306"/>
      <c r="D69" s="970" t="s">
        <v>762</v>
      </c>
      <c r="E69" s="950" t="s">
        <v>763</v>
      </c>
      <c r="F69" s="333">
        <f ca="1">F41</f>
        <v>44.09</v>
      </c>
      <c r="O69" s="1428" t="s">
        <v>411</v>
      </c>
      <c r="P69" s="1467" t="s">
        <v>872</v>
      </c>
      <c r="Q69" s="1420">
        <f ca="1">C39</f>
        <v>475</v>
      </c>
      <c r="R69" s="1420" t="s">
        <v>818</v>
      </c>
    </row>
    <row r="70" spans="1:18" s="1384" customFormat="1" ht="13.5" thickBot="1">
      <c r="A70" s="954"/>
      <c r="B70" s="955"/>
      <c r="C70" s="310"/>
      <c r="D70" s="966"/>
      <c r="E70" s="950" t="s">
        <v>766</v>
      </c>
      <c r="F70" s="1054"/>
      <c r="O70" s="1428" t="s">
        <v>412</v>
      </c>
      <c r="P70" s="1467" t="s">
        <v>873</v>
      </c>
      <c r="Q70" s="1420">
        <f ca="1">C13</f>
        <v>4626</v>
      </c>
      <c r="R70" s="1420" t="s">
        <v>818</v>
      </c>
    </row>
    <row r="71" spans="1:18" s="1384" customFormat="1" ht="13.5" thickBot="1">
      <c r="A71" s="971" t="s">
        <v>396</v>
      </c>
      <c r="B71" s="972" t="s">
        <v>776</v>
      </c>
      <c r="C71" s="336">
        <f ca="1">ROUND(C68*10000/F71,0)</f>
        <v>-1310</v>
      </c>
      <c r="D71" s="973" t="s">
        <v>777</v>
      </c>
      <c r="E71" s="974" t="s">
        <v>778</v>
      </c>
      <c r="F71" s="339">
        <f ca="1">F43</f>
        <v>6913.630000000001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324</v>
      </c>
      <c r="D75" s="1384"/>
      <c r="E75" s="1384"/>
      <c r="F75" s="1384"/>
      <c r="K75" s="1402"/>
      <c r="L75" s="1384"/>
      <c r="O75" s="1418" t="s">
        <v>409</v>
      </c>
      <c r="P75" s="1419" t="s">
        <v>838</v>
      </c>
      <c r="Q75" s="1420">
        <f ca="1">Q65+Q66</f>
        <v>10505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0.31799999999999995</v>
      </c>
    </row>
    <row r="80" spans="1:18">
      <c r="B80" s="340" t="s">
        <v>800</v>
      </c>
      <c r="C80" s="274">
        <f ca="1">ROUND(C75/C39,3)</f>
        <v>0.68200000000000005</v>
      </c>
    </row>
    <row r="81" spans="2:3">
      <c r="B81" s="270" t="s">
        <v>801</v>
      </c>
      <c r="C81" s="238"/>
    </row>
    <row r="82" spans="2:3">
      <c r="B82" s="273" t="s">
        <v>802</v>
      </c>
      <c r="C82" s="275">
        <f ca="1">1-C83</f>
        <v>0.56000000000000005</v>
      </c>
    </row>
    <row r="83" spans="2:3">
      <c r="B83" s="273" t="s">
        <v>803</v>
      </c>
      <c r="C83" s="274">
        <f ca="1">ROUND(C13/C40,3)</f>
        <v>0.44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S81" sqref="S8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18818.8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40" t="s">
        <v>1666</v>
      </c>
      <c r="D4" s="3741"/>
      <c r="E4" s="3742" t="s">
        <v>1667</v>
      </c>
      <c r="F4" s="3743"/>
      <c r="G4" s="3740" t="s">
        <v>1668</v>
      </c>
      <c r="H4" s="3741"/>
      <c r="I4" s="3740" t="s">
        <v>1669</v>
      </c>
      <c r="J4" s="3741"/>
      <c r="K4" s="1889" t="s">
        <v>1670</v>
      </c>
      <c r="L4" s="2712"/>
      <c r="M4" s="2713"/>
      <c r="N4" s="2713"/>
      <c r="O4" s="2713"/>
      <c r="P4" s="3744" t="s">
        <v>1671</v>
      </c>
      <c r="Q4" s="3745"/>
      <c r="R4" s="3750" t="s">
        <v>1667</v>
      </c>
      <c r="S4" s="3751"/>
      <c r="T4" s="3750" t="s">
        <v>1668</v>
      </c>
      <c r="U4" s="3751"/>
      <c r="V4" s="3735" t="s">
        <v>1669</v>
      </c>
      <c r="W4" s="3735"/>
      <c r="X4" s="1355"/>
      <c r="Y4" s="3750" t="s">
        <v>1671</v>
      </c>
      <c r="Z4" s="3751"/>
      <c r="AA4" s="3737" t="s">
        <v>1667</v>
      </c>
      <c r="AB4" s="3737" t="s">
        <v>1668</v>
      </c>
      <c r="AC4" s="3737" t="s">
        <v>1669</v>
      </c>
    </row>
    <row r="5" spans="1:29" ht="15">
      <c r="A5" s="358"/>
      <c r="B5" s="359"/>
      <c r="C5" s="3758" t="s">
        <v>1672</v>
      </c>
      <c r="D5" s="3759"/>
      <c r="E5" s="3765" t="s">
        <v>1673</v>
      </c>
      <c r="F5" s="3766"/>
      <c r="G5" s="3758" t="s">
        <v>1674</v>
      </c>
      <c r="H5" s="3759"/>
      <c r="I5" s="3758" t="s">
        <v>1675</v>
      </c>
      <c r="J5" s="3759"/>
      <c r="K5" s="1890"/>
      <c r="L5" s="2712"/>
      <c r="M5" s="2713"/>
      <c r="N5" s="2713"/>
      <c r="O5" s="2713"/>
      <c r="P5" s="3746"/>
      <c r="Q5" s="3747"/>
      <c r="R5" s="3752"/>
      <c r="S5" s="3753"/>
      <c r="T5" s="3752"/>
      <c r="U5" s="3753"/>
      <c r="V5" s="3735"/>
      <c r="W5" s="3735"/>
      <c r="X5" s="1355"/>
      <c r="Y5" s="3752"/>
      <c r="Z5" s="3753"/>
      <c r="AA5" s="3738"/>
      <c r="AB5" s="3738"/>
      <c r="AC5" s="3738"/>
    </row>
    <row r="6" spans="1:29" ht="15.75" thickBot="1">
      <c r="A6" s="360"/>
      <c r="B6" s="361"/>
      <c r="C6" s="3756" t="s">
        <v>1676</v>
      </c>
      <c r="D6" s="3757"/>
      <c r="E6" s="3763" t="s">
        <v>1676</v>
      </c>
      <c r="F6" s="3764"/>
      <c r="G6" s="3756" t="s">
        <v>1676</v>
      </c>
      <c r="H6" s="3757"/>
      <c r="I6" s="3756" t="s">
        <v>1676</v>
      </c>
      <c r="J6" s="3757"/>
      <c r="K6" s="1890" t="s">
        <v>1677</v>
      </c>
      <c r="L6" s="2712"/>
      <c r="M6" s="2713"/>
      <c r="N6" s="2713"/>
      <c r="O6" s="2713"/>
      <c r="P6" s="3748"/>
      <c r="Q6" s="3749"/>
      <c r="R6" s="3752"/>
      <c r="S6" s="3753"/>
      <c r="T6" s="3754"/>
      <c r="U6" s="3755"/>
      <c r="V6" s="3735"/>
      <c r="W6" s="3735"/>
      <c r="X6" s="1355"/>
      <c r="Y6" s="3754"/>
      <c r="Z6" s="3755"/>
      <c r="AA6" s="3739"/>
      <c r="AB6" s="3739"/>
      <c r="AC6" s="3739"/>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60" t="s">
        <v>1679</v>
      </c>
      <c r="Q7" s="3762"/>
      <c r="R7" s="701" t="s">
        <v>20</v>
      </c>
      <c r="S7" s="702">
        <f t="shared" ref="S7:S15" si="0">F7</f>
        <v>0</v>
      </c>
      <c r="T7" s="701" t="s">
        <v>20</v>
      </c>
      <c r="U7" s="702">
        <f t="shared" ref="U7:U15" si="1">H7</f>
        <v>0</v>
      </c>
      <c r="V7" s="701" t="s">
        <v>20</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60" t="s">
        <v>1682</v>
      </c>
      <c r="Q8" s="3761"/>
      <c r="R8" s="701" t="s">
        <v>20</v>
      </c>
      <c r="S8" s="702">
        <f t="shared" si="0"/>
        <v>100</v>
      </c>
      <c r="T8" s="701" t="s">
        <v>20</v>
      </c>
      <c r="U8" s="702">
        <f t="shared" si="1"/>
        <v>100</v>
      </c>
      <c r="V8" s="701" t="s">
        <v>20</v>
      </c>
      <c r="W8" s="702">
        <f t="shared" si="2"/>
        <v>100</v>
      </c>
      <c r="X8" s="703"/>
      <c r="Y8" s="3760" t="s">
        <v>1682</v>
      </c>
      <c r="Z8" s="376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6" t="s">
        <v>1690</v>
      </c>
      <c r="Q15" s="1352" t="str">
        <f t="shared" si="6"/>
        <v>居住社区成熟度</v>
      </c>
      <c r="R15" s="705" t="s">
        <v>18</v>
      </c>
      <c r="S15" s="706">
        <f t="shared" si="0"/>
        <v>100</v>
      </c>
      <c r="T15" s="705" t="s">
        <v>18</v>
      </c>
      <c r="U15" s="706">
        <f t="shared" si="1"/>
        <v>100</v>
      </c>
      <c r="V15" s="705" t="s">
        <v>18</v>
      </c>
      <c r="W15" s="706">
        <f t="shared" si="2"/>
        <v>100</v>
      </c>
      <c r="X15" s="1355"/>
      <c r="Y15" s="372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27"/>
      <c r="Q16" s="1352"/>
      <c r="R16" s="705"/>
      <c r="S16" s="706"/>
      <c r="T16" s="705"/>
      <c r="U16" s="706"/>
      <c r="V16" s="705"/>
      <c r="W16" s="706"/>
      <c r="X16" s="1355"/>
      <c r="Y16" s="3729"/>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7"/>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27"/>
      <c r="Q18" s="1352"/>
      <c r="R18" s="705"/>
      <c r="S18" s="706"/>
      <c r="T18" s="705"/>
      <c r="U18" s="706"/>
      <c r="V18" s="705"/>
      <c r="W18" s="706"/>
      <c r="X18" s="1355"/>
      <c r="Y18" s="3729"/>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7"/>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27"/>
      <c r="Q20" s="1352"/>
      <c r="R20" s="705"/>
      <c r="S20" s="706"/>
      <c r="T20" s="705"/>
      <c r="U20" s="706"/>
      <c r="V20" s="705"/>
      <c r="W20" s="706"/>
      <c r="X20" s="1355"/>
      <c r="Y20" s="372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27"/>
      <c r="Q22" s="1352"/>
      <c r="R22" s="705"/>
      <c r="S22" s="706"/>
      <c r="T22" s="705"/>
      <c r="U22" s="706"/>
      <c r="V22" s="705"/>
      <c r="W22" s="706"/>
      <c r="X22" s="1355"/>
      <c r="Y22" s="372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7"/>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27"/>
      <c r="Q24" s="1352"/>
      <c r="R24" s="705"/>
      <c r="S24" s="706"/>
      <c r="T24" s="705"/>
      <c r="U24" s="706"/>
      <c r="V24" s="705"/>
      <c r="W24" s="706"/>
      <c r="X24" s="1355"/>
      <c r="Y24" s="372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27"/>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27"/>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27"/>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27"/>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27"/>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27"/>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30" t="s">
        <v>1695</v>
      </c>
      <c r="Q32" s="1352" t="str">
        <f t="shared" si="11"/>
        <v>建筑类型</v>
      </c>
      <c r="R32" s="705" t="s">
        <v>18</v>
      </c>
      <c r="S32" s="706">
        <f t="shared" si="12"/>
        <v>100</v>
      </c>
      <c r="T32" s="705" t="s">
        <v>18</v>
      </c>
      <c r="U32" s="706">
        <f t="shared" si="13"/>
        <v>100</v>
      </c>
      <c r="V32" s="705" t="s">
        <v>18</v>
      </c>
      <c r="W32" s="706">
        <f t="shared" si="14"/>
        <v>100</v>
      </c>
      <c r="X32" s="1355"/>
      <c r="Y32" s="373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31" t="s">
        <v>1695</v>
      </c>
      <c r="Q38" s="1352" t="str">
        <f t="shared" si="11"/>
        <v>物业管理</v>
      </c>
      <c r="R38" s="705" t="s">
        <v>18</v>
      </c>
      <c r="S38" s="706">
        <f t="shared" si="12"/>
        <v>100</v>
      </c>
      <c r="T38" s="705" t="s">
        <v>18</v>
      </c>
      <c r="U38" s="706">
        <f t="shared" si="13"/>
        <v>100</v>
      </c>
      <c r="V38" s="705" t="s">
        <v>18</v>
      </c>
      <c r="W38" s="706">
        <f t="shared" si="14"/>
        <v>100</v>
      </c>
      <c r="X38" s="1355"/>
      <c r="Y38" s="373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view="pageBreakPreview" topLeftCell="A8" zoomScale="80" zoomScaleNormal="70" zoomScaleSheetLayoutView="80" workbookViewId="0">
      <selection activeCell="T58" sqref="T5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0" t="s">
        <v>3576</v>
      </c>
      <c r="F1" s="1879" t="s">
        <v>3572</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2.0741000000000001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v>
      </c>
      <c r="C3" s="354" t="s">
        <v>1767</v>
      </c>
      <c r="D3" s="353">
        <f>IF(D1="",'数据-汇总表'!E3,SUMIF('数据-汇总表'!$C19:$C33,D1,'数据-汇总表'!$E19:$E33))</f>
        <v>6913.630000000001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40" t="s">
        <v>1769</v>
      </c>
      <c r="D4" s="3741"/>
      <c r="E4" s="3742" t="s">
        <v>1770</v>
      </c>
      <c r="F4" s="3743"/>
      <c r="G4" s="3740" t="s">
        <v>1771</v>
      </c>
      <c r="H4" s="3741"/>
      <c r="I4" s="3740" t="s">
        <v>1772</v>
      </c>
      <c r="J4" s="3741"/>
      <c r="K4" s="559" t="s">
        <v>1773</v>
      </c>
      <c r="L4" s="2712"/>
      <c r="M4" s="2713"/>
      <c r="N4" s="2713"/>
      <c r="O4" s="2713"/>
      <c r="P4" s="3773" t="s">
        <v>1774</v>
      </c>
      <c r="Q4" s="3774"/>
      <c r="R4" s="3777" t="s">
        <v>1770</v>
      </c>
      <c r="S4" s="3778"/>
      <c r="T4" s="3777" t="s">
        <v>1771</v>
      </c>
      <c r="U4" s="3778"/>
      <c r="V4" s="3779" t="s">
        <v>1772</v>
      </c>
      <c r="W4" s="3779"/>
      <c r="X4" s="1958"/>
      <c r="Y4" s="3777" t="s">
        <v>1774</v>
      </c>
      <c r="Z4" s="3778"/>
      <c r="AA4" s="3782" t="s">
        <v>1770</v>
      </c>
      <c r="AB4" s="3782" t="s">
        <v>1771</v>
      </c>
      <c r="AC4" s="3770" t="s">
        <v>1772</v>
      </c>
    </row>
    <row r="5" spans="1:29" ht="15">
      <c r="A5" s="358"/>
      <c r="B5" s="359"/>
      <c r="C5" s="3781" t="s">
        <v>3577</v>
      </c>
      <c r="D5" s="3759"/>
      <c r="E5" s="3765" t="str">
        <f>租金案例!N4</f>
        <v>中铁创业大厦</v>
      </c>
      <c r="F5" s="3766"/>
      <c r="G5" s="3758" t="str">
        <f>租金案例!N5</f>
        <v>金安中海财富中心</v>
      </c>
      <c r="H5" s="3759"/>
      <c r="I5" s="3758" t="str">
        <f>租金案例!N6</f>
        <v>前海人寿大厦</v>
      </c>
      <c r="J5" s="3759"/>
      <c r="K5" s="559"/>
      <c r="L5" s="2712"/>
      <c r="M5" s="2713"/>
      <c r="N5" s="2713"/>
      <c r="O5" s="2713"/>
      <c r="P5" s="3775"/>
      <c r="Q5" s="3747"/>
      <c r="R5" s="3752"/>
      <c r="S5" s="3753"/>
      <c r="T5" s="3752"/>
      <c r="U5" s="3753"/>
      <c r="V5" s="3735"/>
      <c r="W5" s="3735"/>
      <c r="X5" s="1355"/>
      <c r="Y5" s="3752"/>
      <c r="Z5" s="3753"/>
      <c r="AA5" s="3738"/>
      <c r="AB5" s="3738"/>
      <c r="AC5" s="3771"/>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76"/>
      <c r="Q6" s="3749"/>
      <c r="R6" s="3752"/>
      <c r="S6" s="3753"/>
      <c r="T6" s="3754"/>
      <c r="U6" s="3755"/>
      <c r="V6" s="3735"/>
      <c r="W6" s="3735"/>
      <c r="X6" s="1355"/>
      <c r="Y6" s="3754"/>
      <c r="Z6" s="3755"/>
      <c r="AA6" s="3739"/>
      <c r="AB6" s="3739"/>
      <c r="AC6" s="3772"/>
    </row>
    <row r="7" spans="1:29" s="108" customFormat="1" ht="15.75" thickBot="1">
      <c r="A7" s="362" t="s">
        <v>1678</v>
      </c>
      <c r="B7" s="363"/>
      <c r="C7" s="364">
        <f>'数据-取费表'!B2</f>
        <v>45253</v>
      </c>
      <c r="D7" s="365">
        <v>100</v>
      </c>
      <c r="E7" s="366">
        <f>C7</f>
        <v>45253</v>
      </c>
      <c r="F7" s="367">
        <f>SUMIF(59:59,YEAR(E7)&amp;"-"&amp;MONTH(E7),60:60)</f>
        <v>100</v>
      </c>
      <c r="G7" s="366">
        <f>E7</f>
        <v>45253</v>
      </c>
      <c r="H7" s="365">
        <f>SUMIF(59:59,YEAR(G7)&amp;"-"&amp;MONTH(G7),60:60)</f>
        <v>100</v>
      </c>
      <c r="I7" s="366">
        <f>G7</f>
        <v>45253</v>
      </c>
      <c r="J7" s="365">
        <f>SUMIF(59:59,YEAR(I7)&amp;"-"&amp;MONTH(I7),60:60)</f>
        <v>100</v>
      </c>
      <c r="K7" s="560"/>
      <c r="L7" s="2714"/>
      <c r="M7" s="2715"/>
      <c r="N7" s="2715"/>
      <c r="O7" s="2715"/>
      <c r="P7" s="3780" t="s">
        <v>1679</v>
      </c>
      <c r="Q7" s="3762"/>
      <c r="R7" s="701" t="s">
        <v>14</v>
      </c>
      <c r="S7" s="702">
        <f t="shared" ref="S7:S15" si="0">F7</f>
        <v>100</v>
      </c>
      <c r="T7" s="701" t="s">
        <v>14</v>
      </c>
      <c r="U7" s="702">
        <f t="shared" ref="U7:U15" si="1">H7</f>
        <v>100</v>
      </c>
      <c r="V7" s="701" t="s">
        <v>14</v>
      </c>
      <c r="W7" s="702">
        <f t="shared" ref="W7:W15" si="2">J7</f>
        <v>100</v>
      </c>
      <c r="X7" s="703"/>
      <c r="Y7" s="3760" t="s">
        <v>1679</v>
      </c>
      <c r="Z7" s="3761"/>
      <c r="AA7" s="704">
        <f>D7/F7</f>
        <v>1</v>
      </c>
      <c r="AB7" s="704">
        <f>D7/H7</f>
        <v>1</v>
      </c>
      <c r="AC7" s="1959">
        <f>D7/J7</f>
        <v>1</v>
      </c>
    </row>
    <row r="8" spans="1:29" s="108" customFormat="1" ht="15.75" thickBot="1">
      <c r="A8" s="362" t="s">
        <v>1680</v>
      </c>
      <c r="B8" s="363"/>
      <c r="C8" s="368" t="s">
        <v>3578</v>
      </c>
      <c r="D8" s="365">
        <v>100</v>
      </c>
      <c r="E8" s="368" t="s">
        <v>3579</v>
      </c>
      <c r="F8" s="367">
        <f>SUMIF(62:62,E8,63:63)-SUMIF(62:62,C8,63:63)+100</f>
        <v>102</v>
      </c>
      <c r="G8" s="368" t="s">
        <v>3579</v>
      </c>
      <c r="H8" s="365">
        <f>SUMIF(62:62,G8,63:63)-SUMIF(62:62,C8,63:63)+100</f>
        <v>102</v>
      </c>
      <c r="I8" s="368" t="s">
        <v>3579</v>
      </c>
      <c r="J8" s="365">
        <f>SUMIF(62:62,I8,63:63)-SUMIF(62:62,C8,63:63)+100</f>
        <v>102</v>
      </c>
      <c r="K8" s="560"/>
      <c r="L8" s="2714"/>
      <c r="M8" s="2715"/>
      <c r="N8" s="2715"/>
      <c r="O8" s="2715"/>
      <c r="P8" s="3780" t="s">
        <v>1682</v>
      </c>
      <c r="Q8" s="3761"/>
      <c r="R8" s="701" t="s">
        <v>14</v>
      </c>
      <c r="S8" s="702">
        <f t="shared" si="0"/>
        <v>102</v>
      </c>
      <c r="T8" s="701" t="s">
        <v>14</v>
      </c>
      <c r="U8" s="702">
        <f t="shared" si="1"/>
        <v>102</v>
      </c>
      <c r="V8" s="701" t="s">
        <v>14</v>
      </c>
      <c r="W8" s="702">
        <f t="shared" si="2"/>
        <v>102</v>
      </c>
      <c r="X8" s="703"/>
      <c r="Y8" s="3760" t="s">
        <v>1682</v>
      </c>
      <c r="Z8" s="3761"/>
      <c r="AA8" s="704">
        <f t="shared" ref="AA8:AA47" si="3">D8/F8</f>
        <v>0.98039215686274506</v>
      </c>
      <c r="AB8" s="704">
        <f t="shared" ref="AB8:AB47" si="4">D8/H8</f>
        <v>0.98039215686274506</v>
      </c>
      <c r="AC8" s="1959">
        <f t="shared" ref="AC8:AC47" si="5">D8/J8</f>
        <v>0.98039215686274506</v>
      </c>
    </row>
    <row r="9" spans="1:29" s="108" customFormat="1">
      <c r="A9" s="369" t="s">
        <v>1683</v>
      </c>
      <c r="B9" s="63" t="s">
        <v>1684</v>
      </c>
      <c r="C9" s="3484" t="s">
        <v>3581</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15">
      <c r="A15" s="391" t="s">
        <v>1689</v>
      </c>
      <c r="B15" s="577" t="s">
        <v>1810</v>
      </c>
      <c r="C15" s="1961" t="str">
        <f>估价对象房地状况!C5</f>
        <v>较差</v>
      </c>
      <c r="D15" s="392">
        <v>100</v>
      </c>
      <c r="E15" s="3485" t="s">
        <v>3583</v>
      </c>
      <c r="F15" s="392">
        <f>SUMIF(77:77,E16,78:78)-SUMIF(77:77,C16,78:78)+100</f>
        <v>110</v>
      </c>
      <c r="G15" s="3485" t="s">
        <v>3583</v>
      </c>
      <c r="H15" s="392">
        <f>SUMIF(77:77,G16,78:78)-SUMIF(77:77,C16,78:78)+100</f>
        <v>110</v>
      </c>
      <c r="I15" s="3485" t="s">
        <v>3583</v>
      </c>
      <c r="J15" s="392">
        <f>SUMIF(77:77,I16,78:78)-SUMIF(77:77,C16,78:78)+100</f>
        <v>110</v>
      </c>
      <c r="K15" s="563">
        <v>5</v>
      </c>
      <c r="L15" s="2719"/>
      <c r="M15" s="2713"/>
      <c r="N15" s="2713"/>
      <c r="O15" s="2713"/>
      <c r="P15" s="3726" t="s">
        <v>1690</v>
      </c>
      <c r="Q15" s="1352" t="str">
        <f t="shared" si="6"/>
        <v>办公集聚程度</v>
      </c>
      <c r="R15" s="705" t="s">
        <v>14</v>
      </c>
      <c r="S15" s="706">
        <f t="shared" si="0"/>
        <v>110</v>
      </c>
      <c r="T15" s="705" t="s">
        <v>14</v>
      </c>
      <c r="U15" s="706">
        <f t="shared" si="1"/>
        <v>110</v>
      </c>
      <c r="V15" s="705" t="s">
        <v>14</v>
      </c>
      <c r="W15" s="706">
        <f t="shared" si="2"/>
        <v>110</v>
      </c>
      <c r="X15" s="1355"/>
      <c r="Y15" s="3728" t="s">
        <v>1690</v>
      </c>
      <c r="Z15" s="1356" t="str">
        <f t="shared" si="7"/>
        <v>办公集聚程度</v>
      </c>
      <c r="AA15" s="1353">
        <f t="shared" si="3"/>
        <v>0.90909090909090906</v>
      </c>
      <c r="AB15" s="1353">
        <f t="shared" si="4"/>
        <v>0.90909090909090906</v>
      </c>
      <c r="AC15" s="1962">
        <f t="shared" si="5"/>
        <v>0.90909090909090906</v>
      </c>
    </row>
    <row r="16" spans="1:29" ht="15.75" thickBot="1">
      <c r="A16" s="379"/>
      <c r="B16" s="578"/>
      <c r="C16" s="1904" t="s">
        <v>3548</v>
      </c>
      <c r="D16" s="399"/>
      <c r="E16" s="398" t="s">
        <v>3546</v>
      </c>
      <c r="F16" s="399"/>
      <c r="G16" s="398" t="s">
        <v>3546</v>
      </c>
      <c r="H16" s="401"/>
      <c r="I16" s="398" t="s">
        <v>3546</v>
      </c>
      <c r="J16" s="399"/>
      <c r="K16" s="564"/>
      <c r="L16" s="2719"/>
      <c r="M16" s="2713"/>
      <c r="N16" s="2713"/>
      <c r="O16" s="2713"/>
      <c r="P16" s="3727"/>
      <c r="Q16" s="1352"/>
      <c r="R16" s="705"/>
      <c r="S16" s="706"/>
      <c r="T16" s="705"/>
      <c r="U16" s="706"/>
      <c r="V16" s="705"/>
      <c r="W16" s="706"/>
      <c r="X16" s="1355"/>
      <c r="Y16" s="3729"/>
      <c r="Z16" s="1356"/>
      <c r="AA16" s="1353">
        <v>1</v>
      </c>
      <c r="AB16" s="1353">
        <v>1</v>
      </c>
      <c r="AC16" s="1962">
        <v>1</v>
      </c>
    </row>
    <row r="17" spans="1:29" ht="15">
      <c r="A17" s="379"/>
      <c r="B17" s="579" t="s">
        <v>1258</v>
      </c>
      <c r="C17" s="1963" t="str">
        <f>估价对象房地状况!C6</f>
        <v>一般</v>
      </c>
      <c r="D17" s="401">
        <v>100</v>
      </c>
      <c r="E17" s="3485" t="s">
        <v>3583</v>
      </c>
      <c r="F17" s="401">
        <f>SUMIF(79:79,E18,80:80)-SUMIF(79:79,C18,80:80)+100</f>
        <v>105</v>
      </c>
      <c r="G17" s="3485" t="s">
        <v>3583</v>
      </c>
      <c r="H17" s="406">
        <f>SUMIF(79:79,G18,80:80)-SUMIF(79:79,C18,80:80)+100</f>
        <v>105</v>
      </c>
      <c r="I17" s="3485" t="s">
        <v>3583</v>
      </c>
      <c r="J17" s="406">
        <f>SUMIF(79:79,I18,80:80)-SUMIF(79:79,C18,80:80)+100</f>
        <v>105</v>
      </c>
      <c r="K17" s="563">
        <v>5</v>
      </c>
      <c r="L17" s="2719"/>
      <c r="M17" s="2713"/>
      <c r="N17" s="2713"/>
      <c r="O17" s="2713"/>
      <c r="P17" s="3727"/>
      <c r="Q17" s="1352" t="str">
        <f>B17</f>
        <v>交通便捷度</v>
      </c>
      <c r="R17" s="705" t="s">
        <v>14</v>
      </c>
      <c r="S17" s="706">
        <f>F17</f>
        <v>105</v>
      </c>
      <c r="T17" s="705" t="s">
        <v>14</v>
      </c>
      <c r="U17" s="706">
        <f>H17</f>
        <v>105</v>
      </c>
      <c r="V17" s="705" t="s">
        <v>14</v>
      </c>
      <c r="W17" s="706">
        <f>J17</f>
        <v>105</v>
      </c>
      <c r="X17" s="1355"/>
      <c r="Y17" s="3729"/>
      <c r="Z17" s="1356" t="str">
        <f>Q17</f>
        <v>交通便捷度</v>
      </c>
      <c r="AA17" s="1353">
        <f t="shared" si="3"/>
        <v>0.95238095238095233</v>
      </c>
      <c r="AB17" s="1353">
        <f t="shared" si="4"/>
        <v>0.95238095238095233</v>
      </c>
      <c r="AC17" s="1962">
        <f t="shared" si="5"/>
        <v>0.95238095238095233</v>
      </c>
    </row>
    <row r="18" spans="1:29" ht="15.75" thickBot="1">
      <c r="A18" s="379"/>
      <c r="B18" s="580"/>
      <c r="C18" s="1964" t="s">
        <v>3551</v>
      </c>
      <c r="D18" s="401"/>
      <c r="E18" s="398" t="s">
        <v>3546</v>
      </c>
      <c r="F18" s="401"/>
      <c r="G18" s="398" t="s">
        <v>3546</v>
      </c>
      <c r="H18" s="399"/>
      <c r="I18" s="398" t="s">
        <v>3546</v>
      </c>
      <c r="J18" s="399"/>
      <c r="K18" s="564"/>
      <c r="L18" s="2719"/>
      <c r="M18" s="2713"/>
      <c r="N18" s="2713"/>
      <c r="O18" s="2713"/>
      <c r="P18" s="3727"/>
      <c r="Q18" s="1352"/>
      <c r="R18" s="705"/>
      <c r="S18" s="706"/>
      <c r="T18" s="705"/>
      <c r="U18" s="706"/>
      <c r="V18" s="705"/>
      <c r="W18" s="706"/>
      <c r="X18" s="1355"/>
      <c r="Y18" s="3729"/>
      <c r="Z18" s="1356"/>
      <c r="AA18" s="1353">
        <v>1</v>
      </c>
      <c r="AB18" s="1353">
        <v>1</v>
      </c>
      <c r="AC18" s="1962">
        <v>1</v>
      </c>
    </row>
    <row r="19" spans="1:29" ht="15">
      <c r="A19" s="379"/>
      <c r="B19" s="579" t="s">
        <v>1811</v>
      </c>
      <c r="C19" s="1963" t="str">
        <f>估价对象房地状况!C7</f>
        <v>一般</v>
      </c>
      <c r="D19" s="406">
        <v>100</v>
      </c>
      <c r="E19" s="3485" t="s">
        <v>3583</v>
      </c>
      <c r="F19" s="406">
        <f>SUMIF(81:81,E20,82:82)-SUMIF(81:81,C20,82:82)+100</f>
        <v>102</v>
      </c>
      <c r="G19" s="3485" t="s">
        <v>3583</v>
      </c>
      <c r="H19" s="401">
        <f>SUMIF(81:81,G20,82:82)-SUMIF(81:81,C20,82:82)+100</f>
        <v>102</v>
      </c>
      <c r="I19" s="3485" t="s">
        <v>3583</v>
      </c>
      <c r="J19" s="401">
        <f>SUMIF(81:81,I20,82:82)-SUMIF(81:81,C20,82:82)+100</f>
        <v>102</v>
      </c>
      <c r="K19" s="563">
        <v>2</v>
      </c>
      <c r="L19" s="2719"/>
      <c r="M19" s="2713"/>
      <c r="N19" s="2713"/>
      <c r="O19" s="2713"/>
      <c r="P19" s="3727"/>
      <c r="Q19" s="1352" t="str">
        <f>B19</f>
        <v>公共配套设施</v>
      </c>
      <c r="R19" s="705" t="s">
        <v>14</v>
      </c>
      <c r="S19" s="706">
        <f>F19</f>
        <v>102</v>
      </c>
      <c r="T19" s="705" t="s">
        <v>14</v>
      </c>
      <c r="U19" s="706">
        <f>H19</f>
        <v>102</v>
      </c>
      <c r="V19" s="705" t="s">
        <v>14</v>
      </c>
      <c r="W19" s="706">
        <f>J19</f>
        <v>102</v>
      </c>
      <c r="X19" s="1355"/>
      <c r="Y19" s="3729"/>
      <c r="Z19" s="1356" t="str">
        <f>Q19</f>
        <v>公共配套设施</v>
      </c>
      <c r="AA19" s="1353">
        <f t="shared" si="3"/>
        <v>0.98039215686274506</v>
      </c>
      <c r="AB19" s="1353">
        <f t="shared" si="4"/>
        <v>0.98039215686274506</v>
      </c>
      <c r="AC19" s="1962">
        <f t="shared" si="5"/>
        <v>0.98039215686274506</v>
      </c>
    </row>
    <row r="20" spans="1:29" ht="15">
      <c r="A20" s="379"/>
      <c r="B20" s="580"/>
      <c r="C20" s="1904" t="s">
        <v>3551</v>
      </c>
      <c r="D20" s="399"/>
      <c r="E20" s="398" t="s">
        <v>3546</v>
      </c>
      <c r="F20" s="399"/>
      <c r="G20" s="398" t="s">
        <v>3546</v>
      </c>
      <c r="H20" s="399"/>
      <c r="I20" s="398" t="s">
        <v>3546</v>
      </c>
      <c r="J20" s="399"/>
      <c r="K20" s="564"/>
      <c r="L20" s="2719"/>
      <c r="M20" s="2713"/>
      <c r="N20" s="2713"/>
      <c r="O20" s="2713"/>
      <c r="P20" s="3727"/>
      <c r="Q20" s="1352"/>
      <c r="R20" s="705"/>
      <c r="S20" s="706"/>
      <c r="T20" s="705"/>
      <c r="U20" s="706"/>
      <c r="V20" s="705"/>
      <c r="W20" s="706"/>
      <c r="X20" s="1355"/>
      <c r="Y20" s="3729"/>
      <c r="Z20" s="1356"/>
      <c r="AA20" s="1353">
        <v>1</v>
      </c>
      <c r="AB20" s="1353">
        <v>1</v>
      </c>
      <c r="AC20" s="1962">
        <v>1</v>
      </c>
    </row>
    <row r="21" spans="1:29" ht="15">
      <c r="A21" s="379"/>
      <c r="B21" s="581" t="s">
        <v>1812</v>
      </c>
      <c r="C21" s="1963" t="str">
        <f>估价对象房地状况!C8</f>
        <v>七通</v>
      </c>
      <c r="D21" s="401">
        <v>100</v>
      </c>
      <c r="E21" s="410" t="s">
        <v>3582</v>
      </c>
      <c r="F21" s="406">
        <f>SUMIF(83:83,E22,84:84)-SUMIF(83:83,C22,84:84)+100</f>
        <v>100</v>
      </c>
      <c r="G21" s="410" t="s">
        <v>3582</v>
      </c>
      <c r="H21" s="401">
        <f>SUMIF(83:83,G22,84:84)-SUMIF(83:83,C22,84:84)+100</f>
        <v>100</v>
      </c>
      <c r="I21" s="410" t="s">
        <v>3582</v>
      </c>
      <c r="J21" s="401">
        <f>SUMIF(83:83,I22,84:84)-SUMIF(83:83,C22,84:84)+100</f>
        <v>100</v>
      </c>
      <c r="K21" s="563">
        <v>1</v>
      </c>
      <c r="L21" s="2719"/>
      <c r="M21" s="2713"/>
      <c r="N21" s="2713"/>
      <c r="O21" s="2713"/>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t="s">
        <v>3582</v>
      </c>
      <c r="D22" s="399"/>
      <c r="E22" s="398" t="s">
        <v>3582</v>
      </c>
      <c r="F22" s="399"/>
      <c r="G22" s="398" t="s">
        <v>3582</v>
      </c>
      <c r="H22" s="399"/>
      <c r="I22" s="398" t="s">
        <v>3582</v>
      </c>
      <c r="J22" s="399"/>
      <c r="K22" s="1130"/>
      <c r="L22" s="2719"/>
      <c r="M22" s="2713"/>
      <c r="N22" s="2713"/>
      <c r="O22" s="2713"/>
      <c r="P22" s="3727"/>
      <c r="Q22" s="1352"/>
      <c r="R22" s="705"/>
      <c r="S22" s="706"/>
      <c r="T22" s="705"/>
      <c r="U22" s="706"/>
      <c r="V22" s="705"/>
      <c r="W22" s="706"/>
      <c r="X22" s="1355"/>
      <c r="Y22" s="3729"/>
      <c r="Z22" s="1356"/>
      <c r="AA22" s="1353">
        <v>1</v>
      </c>
      <c r="AB22" s="1353">
        <v>1</v>
      </c>
      <c r="AC22" s="1962">
        <v>1</v>
      </c>
    </row>
    <row r="23" spans="1:29" ht="15">
      <c r="A23" s="379"/>
      <c r="B23" s="579" t="s">
        <v>1813</v>
      </c>
      <c r="C23" s="1963" t="str">
        <f>估价对象房地状况!C9</f>
        <v>较好</v>
      </c>
      <c r="D23" s="401">
        <v>100</v>
      </c>
      <c r="E23" s="405" t="s">
        <v>3546</v>
      </c>
      <c r="F23" s="401">
        <f>SUMIF(85:85,E24,86:86)-SUMIF(85:85,C24,86:86)+100</f>
        <v>100</v>
      </c>
      <c r="G23" s="405" t="s">
        <v>3546</v>
      </c>
      <c r="H23" s="401">
        <f>SUMIF(85:85,G24,86:86)-SUMIF(85:85,C24,86:86)+100</f>
        <v>100</v>
      </c>
      <c r="I23" s="405" t="s">
        <v>3546</v>
      </c>
      <c r="J23" s="401">
        <f>SUMIF(85:85,I24,86:86)-SUMIF(85:85,C24,86:86)+100</f>
        <v>100</v>
      </c>
      <c r="K23" s="563">
        <v>2</v>
      </c>
      <c r="L23" s="2719"/>
      <c r="M23" s="2713"/>
      <c r="N23" s="2713"/>
      <c r="O23" s="2713"/>
      <c r="P23" s="3727"/>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t="s">
        <v>3546</v>
      </c>
      <c r="D24" s="399"/>
      <c r="E24" s="1897" t="s">
        <v>3546</v>
      </c>
      <c r="F24" s="399"/>
      <c r="G24" s="1897" t="s">
        <v>3546</v>
      </c>
      <c r="H24" s="399"/>
      <c r="I24" s="1897" t="s">
        <v>3546</v>
      </c>
      <c r="J24" s="399"/>
      <c r="K24" s="564"/>
      <c r="L24" s="2719"/>
      <c r="M24" s="2713"/>
      <c r="N24" s="2713"/>
      <c r="O24" s="2713"/>
      <c r="P24" s="3727"/>
      <c r="Q24" s="1352"/>
      <c r="R24" s="705"/>
      <c r="S24" s="706"/>
      <c r="T24" s="705"/>
      <c r="U24" s="706"/>
      <c r="V24" s="705"/>
      <c r="W24" s="706"/>
      <c r="X24" s="1355"/>
      <c r="Y24" s="372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27"/>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27"/>
      <c r="Q26" s="1352"/>
      <c r="R26" s="705"/>
      <c r="S26" s="706"/>
      <c r="T26" s="705"/>
      <c r="U26" s="706"/>
      <c r="V26" s="705"/>
      <c r="W26" s="706"/>
      <c r="X26" s="1355"/>
      <c r="Y26" s="372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7"/>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75"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27"/>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27"/>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27"/>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27"/>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30" t="s">
        <v>1695</v>
      </c>
      <c r="Q33" s="1352" t="str">
        <f t="shared" si="11"/>
        <v>建筑类型</v>
      </c>
      <c r="R33" s="705" t="s">
        <v>14</v>
      </c>
      <c r="S33" s="706">
        <f t="shared" si="12"/>
        <v>100</v>
      </c>
      <c r="T33" s="705" t="s">
        <v>14</v>
      </c>
      <c r="U33" s="706">
        <f t="shared" si="13"/>
        <v>100</v>
      </c>
      <c r="V33" s="705" t="s">
        <v>14</v>
      </c>
      <c r="W33" s="706">
        <f t="shared" si="14"/>
        <v>100</v>
      </c>
      <c r="X33" s="1355"/>
      <c r="Y33" s="3733" t="s">
        <v>1695</v>
      </c>
      <c r="Z33" s="1356" t="str">
        <f t="shared" si="15"/>
        <v>建筑类型</v>
      </c>
      <c r="AA33" s="1353">
        <f t="shared" si="3"/>
        <v>1</v>
      </c>
      <c r="AB33" s="1353">
        <f t="shared" si="4"/>
        <v>1</v>
      </c>
      <c r="AC33" s="1962">
        <f t="shared" si="5"/>
        <v>1</v>
      </c>
    </row>
    <row r="34" spans="1:29" s="422" customFormat="1" ht="15">
      <c r="A34" s="419"/>
      <c r="B34" s="375" t="s">
        <v>1696</v>
      </c>
      <c r="C34" s="420">
        <f>'数据-基础表'!K30</f>
        <v>664.45</v>
      </c>
      <c r="D34" s="127">
        <v>100</v>
      </c>
      <c r="E34" s="381">
        <f>租金案例!Q4</f>
        <v>663</v>
      </c>
      <c r="F34" s="376">
        <f>LOOKUP(E34,104:104,105:105)-LOOKUP(C34,104:104,105:105)+100</f>
        <v>100</v>
      </c>
      <c r="G34" s="380">
        <f>租金案例!Q5</f>
        <v>362</v>
      </c>
      <c r="H34" s="127">
        <f>LOOKUP(G34,104:104,105:105)-LOOKUP(C34,104:104,105:105)+100</f>
        <v>102</v>
      </c>
      <c r="I34" s="380">
        <f>租金案例!Q6</f>
        <v>318</v>
      </c>
      <c r="J34" s="127">
        <f>LOOKUP(I34,104:104,105:105)-LOOKUP(C34,104:104,105:105)+100</f>
        <v>102</v>
      </c>
      <c r="K34" s="562"/>
      <c r="L34" s="2718"/>
      <c r="M34" s="2720"/>
      <c r="N34" s="2720"/>
      <c r="O34" s="2720"/>
      <c r="P34" s="3731"/>
      <c r="Q34" s="707" t="str">
        <f t="shared" si="11"/>
        <v>项目建筑规模</v>
      </c>
      <c r="R34" s="708" t="s">
        <v>14</v>
      </c>
      <c r="S34" s="709">
        <f t="shared" si="12"/>
        <v>100</v>
      </c>
      <c r="T34" s="708" t="s">
        <v>14</v>
      </c>
      <c r="U34" s="709">
        <f t="shared" si="13"/>
        <v>102</v>
      </c>
      <c r="V34" s="708" t="s">
        <v>14</v>
      </c>
      <c r="W34" s="709">
        <f t="shared" si="14"/>
        <v>102</v>
      </c>
      <c r="X34" s="710"/>
      <c r="Y34" s="3733"/>
      <c r="Z34" s="711" t="str">
        <f t="shared" si="15"/>
        <v>项目建筑规模</v>
      </c>
      <c r="AA34" s="1353">
        <f t="shared" si="3"/>
        <v>1</v>
      </c>
      <c r="AB34" s="1353">
        <f t="shared" si="4"/>
        <v>0.98039215686274506</v>
      </c>
      <c r="AC34" s="1962">
        <f t="shared" si="5"/>
        <v>0.98039215686274506</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1785</v>
      </c>
      <c r="C37" s="425">
        <v>0.98</v>
      </c>
      <c r="D37" s="386">
        <v>100</v>
      </c>
      <c r="E37" s="425">
        <v>0.85</v>
      </c>
      <c r="F37" s="412">
        <f>LOOKUP(E37,111:111,112:112)-LOOKUP(C37,111:111,112:112)+100</f>
        <v>100</v>
      </c>
      <c r="G37" s="425">
        <v>0.9</v>
      </c>
      <c r="H37" s="412">
        <f>LOOKUP(G37,111:111,112:112)-LOOKUP(C37,111:111,112:112)+100</f>
        <v>100</v>
      </c>
      <c r="I37" s="425">
        <v>0.85</v>
      </c>
      <c r="J37" s="386">
        <f>LOOKUP(I37,111:111,112:112)-LOOKUP(C37,111:111,112:112)+100</f>
        <v>100</v>
      </c>
      <c r="K37" s="561"/>
      <c r="L37" s="2719"/>
      <c r="M37" s="2713"/>
      <c r="N37" s="2713"/>
      <c r="O37" s="2713"/>
      <c r="P37" s="3731"/>
      <c r="Q37" s="1352" t="str">
        <f t="shared" si="11"/>
        <v>成新度</v>
      </c>
      <c r="R37" s="705" t="s">
        <v>14</v>
      </c>
      <c r="S37" s="706">
        <f t="shared" si="12"/>
        <v>100</v>
      </c>
      <c r="T37" s="705" t="s">
        <v>14</v>
      </c>
      <c r="U37" s="706">
        <f t="shared" si="13"/>
        <v>100</v>
      </c>
      <c r="V37" s="705" t="s">
        <v>14</v>
      </c>
      <c r="W37" s="706">
        <f t="shared" si="14"/>
        <v>100</v>
      </c>
      <c r="X37" s="1355"/>
      <c r="Y37" s="3733"/>
      <c r="Z37" s="1356" t="str">
        <f t="shared" si="15"/>
        <v>成新度</v>
      </c>
      <c r="AA37" s="1353">
        <f t="shared" si="3"/>
        <v>1</v>
      </c>
      <c r="AB37" s="1353">
        <f t="shared" si="4"/>
        <v>1</v>
      </c>
      <c r="AC37" s="1962">
        <f t="shared" si="5"/>
        <v>1</v>
      </c>
    </row>
    <row r="38" spans="1:29" s="108" customFormat="1" ht="15">
      <c r="A38" s="424"/>
      <c r="B38" s="375" t="s">
        <v>1817</v>
      </c>
      <c r="C38" s="411" t="s">
        <v>3588</v>
      </c>
      <c r="D38" s="127">
        <v>100</v>
      </c>
      <c r="E38" s="411" t="s">
        <v>3584</v>
      </c>
      <c r="F38" s="412">
        <f>SUMIF(113:113,E38,114:114)-SUMIF(113:113,C38,114:114)+100</f>
        <v>107.5</v>
      </c>
      <c r="G38" s="411" t="s">
        <v>3584</v>
      </c>
      <c r="H38" s="386">
        <f>SUMIF(113:113,G38,114:114)-SUMIF(113:113,C38,114:114)+100</f>
        <v>107.5</v>
      </c>
      <c r="I38" s="411" t="s">
        <v>3584</v>
      </c>
      <c r="J38" s="386">
        <f>SUMIF(113:113,I38,114:114)-SUMIF(113:113,C38,114:114)+100</f>
        <v>107.5</v>
      </c>
      <c r="K38" s="561">
        <v>2.5</v>
      </c>
      <c r="L38" s="2714"/>
      <c r="M38" s="2715"/>
      <c r="N38" s="2715"/>
      <c r="O38" s="2715"/>
      <c r="P38" s="3731"/>
      <c r="Q38" s="1343" t="str">
        <f t="shared" si="11"/>
        <v>写字楼等级</v>
      </c>
      <c r="R38" s="701" t="s">
        <v>14</v>
      </c>
      <c r="S38" s="702">
        <f t="shared" si="12"/>
        <v>107.5</v>
      </c>
      <c r="T38" s="701" t="s">
        <v>14</v>
      </c>
      <c r="U38" s="702">
        <f t="shared" si="13"/>
        <v>107.5</v>
      </c>
      <c r="V38" s="701" t="s">
        <v>14</v>
      </c>
      <c r="W38" s="702">
        <f t="shared" si="14"/>
        <v>107.5</v>
      </c>
      <c r="X38" s="703"/>
      <c r="Y38" s="3733"/>
      <c r="Z38" s="52" t="str">
        <f t="shared" si="15"/>
        <v>写字楼等级</v>
      </c>
      <c r="AA38" s="704">
        <f t="shared" si="3"/>
        <v>0.93023255813953487</v>
      </c>
      <c r="AB38" s="704">
        <f t="shared" si="4"/>
        <v>0.93023255813953487</v>
      </c>
      <c r="AC38" s="1959">
        <f t="shared" si="5"/>
        <v>0.93023255813953487</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31" t="s">
        <v>1695</v>
      </c>
      <c r="Q39" s="1352" t="str">
        <f t="shared" si="11"/>
        <v>物业管理</v>
      </c>
      <c r="R39" s="705" t="s">
        <v>14</v>
      </c>
      <c r="S39" s="706">
        <f t="shared" si="12"/>
        <v>100</v>
      </c>
      <c r="T39" s="705" t="s">
        <v>14</v>
      </c>
      <c r="U39" s="706">
        <f t="shared" si="13"/>
        <v>100</v>
      </c>
      <c r="V39" s="705" t="s">
        <v>14</v>
      </c>
      <c r="W39" s="706">
        <f t="shared" si="14"/>
        <v>100</v>
      </c>
      <c r="X39" s="1355"/>
      <c r="Y39" s="373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1707</v>
      </c>
      <c r="B48" s="431"/>
      <c r="C48" s="1154" t="s">
        <v>0</v>
      </c>
      <c r="D48" s="1155"/>
      <c r="E48" s="1156">
        <f>租金案例!P4</f>
        <v>3.8</v>
      </c>
      <c r="F48" s="1157"/>
      <c r="G48" s="1158">
        <f>租金案例!P5</f>
        <v>4.2</v>
      </c>
      <c r="H48" s="1159"/>
      <c r="I48" s="1156">
        <f>租金案例!P6</f>
        <v>4</v>
      </c>
      <c r="J48" s="436"/>
      <c r="K48" s="714"/>
      <c r="L48" s="2721"/>
      <c r="M48" s="2713"/>
      <c r="N48" s="2713"/>
      <c r="O48" s="2713"/>
      <c r="P48" s="3736" t="str">
        <f>A48</f>
        <v>成交单价（元/平方米）</v>
      </c>
      <c r="Q48" s="3721"/>
      <c r="R48" s="3722">
        <f>E48</f>
        <v>3.8</v>
      </c>
      <c r="S48" s="3722"/>
      <c r="T48" s="3722">
        <f>G48</f>
        <v>4.2</v>
      </c>
      <c r="U48" s="3722"/>
      <c r="V48" s="3722">
        <f>I48</f>
        <v>4</v>
      </c>
      <c r="W48" s="3722"/>
      <c r="X48" s="397"/>
      <c r="Y48" s="712"/>
      <c r="Z48" s="397"/>
      <c r="AA48" s="397"/>
      <c r="AB48" s="397"/>
      <c r="AC48" s="578"/>
    </row>
    <row r="49" spans="1:29" ht="15.75" thickBot="1">
      <c r="A49" s="437" t="s">
        <v>1792</v>
      </c>
      <c r="B49" s="438"/>
      <c r="C49" s="1160">
        <f>R50</f>
        <v>3</v>
      </c>
      <c r="D49" s="2317" t="s">
        <v>2137</v>
      </c>
      <c r="E49" s="1161">
        <f>R49</f>
        <v>2.9</v>
      </c>
      <c r="F49" s="2318"/>
      <c r="G49" s="1160">
        <f>T49</f>
        <v>3.2</v>
      </c>
      <c r="H49" s="2318"/>
      <c r="I49" s="1161">
        <f>V49</f>
        <v>3</v>
      </c>
      <c r="J49" s="2318"/>
      <c r="K49" s="2320">
        <f>F49+H49+J49</f>
        <v>0</v>
      </c>
      <c r="L49" s="2721"/>
      <c r="M49" s="2713"/>
      <c r="N49" s="2713"/>
      <c r="O49" s="2713"/>
      <c r="P49" s="3736" t="str">
        <f>A49</f>
        <v>比较价值（元/平方米）</v>
      </c>
      <c r="Q49" s="3721"/>
      <c r="R49" s="3722">
        <f>IF(F1="售价",ROUND(PRODUCT(R48,AA7:AA47),0),ROUND(PRODUCT(R48,AA7:AA47),1))</f>
        <v>2.9</v>
      </c>
      <c r="S49" s="3722"/>
      <c r="T49" s="3722">
        <f>IF(F1="售价",ROUND(PRODUCT(T48,AB7:AB47),0),ROUND(PRODUCT(T48,AB7:AB47),1))</f>
        <v>3.2</v>
      </c>
      <c r="U49" s="3722"/>
      <c r="V49" s="3722">
        <f>IF(F1="售价",ROUND(PRODUCT(V48,AC7:AC47),0),ROUND(PRODUCT(V48,AC7:AC47),1))</f>
        <v>3</v>
      </c>
      <c r="W49" s="3722"/>
      <c r="X49" s="397"/>
      <c r="Y49" s="397"/>
      <c r="Z49" s="397"/>
      <c r="AA49" s="397"/>
      <c r="AB49" s="397"/>
      <c r="AC49" s="578"/>
    </row>
    <row r="50" spans="1:29" ht="15.75" thickBot="1">
      <c r="A50" s="441" t="s">
        <v>1793</v>
      </c>
      <c r="B50" s="442"/>
      <c r="C50" s="1163">
        <f>R50</f>
        <v>3</v>
      </c>
      <c r="D50" s="1163"/>
      <c r="E50" s="1163"/>
      <c r="F50" s="1163"/>
      <c r="G50" s="1163"/>
      <c r="H50" s="1163"/>
      <c r="I50" s="1163"/>
      <c r="J50" s="443"/>
      <c r="K50" s="715"/>
      <c r="L50" s="2721"/>
      <c r="M50" s="2713"/>
      <c r="N50" s="2713"/>
      <c r="O50" s="2713"/>
      <c r="P50" s="3767" t="str">
        <f>A50</f>
        <v>估价对象XX用房的比较价值（楼面单价，元/平方米）</v>
      </c>
      <c r="Q50" s="3768"/>
      <c r="R50" s="3769">
        <f>IF(F1="售价",ROUND(IF(D49="简单平均",AVERAGE(R49:V49),R49*F49+T49*H49+V49*J49),0),ROUND(IF(D49="简单平均",AVERAGE(R49:V49),R49*F49+T49*H49+V49*J49),1))</f>
        <v>3</v>
      </c>
      <c r="S50" s="3769"/>
      <c r="T50" s="3769"/>
      <c r="U50" s="3769"/>
      <c r="V50" s="3769"/>
      <c r="W50" s="376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f>IF(E48&lt;E49,E49/E48-1,E48/E49-1)</f>
        <v>0.31034482758620685</v>
      </c>
      <c r="F53" s="449" t="str">
        <f>IF(OR(E53&gt;=0.3,E53&lt;=-0.3),"超过30%","")</f>
        <v>超过30%</v>
      </c>
      <c r="G53" s="448">
        <f>IF(G48&lt;G49,G49/G48-1,G48/G49-1)</f>
        <v>0.3125</v>
      </c>
      <c r="H53" s="449" t="str">
        <f>IF(OR(G53&gt;=0.3,G53&lt;=-0.3),"超过30%","")</f>
        <v>超过30%</v>
      </c>
      <c r="I53" s="448">
        <f>IF(I48&lt;I49,I49/I48-1,I48/I49-1)</f>
        <v>0.33333333333333326</v>
      </c>
      <c r="J53" s="449" t="str">
        <f>IF(OR(I53&gt;=0.3,I53&lt;=-0.3),"超过30%","")</f>
        <v>超过30%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f>IF(E49&lt;G49,G49/E49-1,E49/G49-1)</f>
        <v>0.10344827586206895</v>
      </c>
      <c r="F54" s="449" t="str">
        <f>IF(OR(E54&gt;=0.2,E54&lt;=-0.2),"超过20%","")</f>
        <v/>
      </c>
      <c r="G54" s="448">
        <f>IF(G49&lt;I49,I49/G49-1,G49/I49-1)</f>
        <v>6.6666666666666652E-2</v>
      </c>
      <c r="H54" s="449" t="str">
        <f>IF(OR(G54&gt;=0.2,G54&lt;=-0.2),"超过20%","")</f>
        <v/>
      </c>
      <c r="I54" s="448">
        <f>IF(I49&lt;E49,E49/I49-1,I49/E49-1)</f>
        <v>3.4482758620689724E-2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0.10526315789473695</v>
      </c>
      <c r="F55" s="449" t="str">
        <f>IF(OR(E55&gt;=0.3,E55&lt;=-0.3),"超过30%","")</f>
        <v/>
      </c>
      <c r="G55" s="448">
        <f>IF(G48&lt;I48,I48/G48-1,G48/I48-1)</f>
        <v>5.0000000000000044E-2</v>
      </c>
      <c r="H55" s="449" t="str">
        <f>IF(OR(G55&gt;=0.3,G55&lt;=-0.3),"超过30%","")</f>
        <v/>
      </c>
      <c r="I55" s="448">
        <f>IF(I48&lt;E48,E48/I48-1,I48/E48-1)</f>
        <v>5.2631578947368363E-2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83" t="s">
        <v>3580</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95</v>
      </c>
      <c r="E78" s="493">
        <f>D78-$K15</f>
        <v>90</v>
      </c>
      <c r="F78" s="493">
        <f>E78-$K15</f>
        <v>85</v>
      </c>
      <c r="G78" s="493">
        <f>F78-$K15</f>
        <v>80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95</v>
      </c>
      <c r="E80" s="493">
        <f>D80-$K17</f>
        <v>90</v>
      </c>
      <c r="F80" s="493">
        <f>E80-$K17</f>
        <v>85</v>
      </c>
      <c r="G80" s="493">
        <f>F80-$K17</f>
        <v>80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1000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f>D105+2</f>
        <v>102</v>
      </c>
      <c r="D105" s="485">
        <v>100</v>
      </c>
      <c r="E105" s="485">
        <f>D105-2</f>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86" t="s">
        <v>3585</v>
      </c>
      <c r="D113" s="3486" t="s">
        <v>3586</v>
      </c>
      <c r="E113" s="3486" t="s">
        <v>3587</v>
      </c>
      <c r="F113" s="3486" t="s">
        <v>3589</v>
      </c>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97.5</v>
      </c>
      <c r="E114" s="493">
        <f t="shared" ref="E114:M114" si="27">D114-$K38</f>
        <v>95</v>
      </c>
      <c r="F114" s="493">
        <f t="shared" si="27"/>
        <v>92.5</v>
      </c>
      <c r="G114" s="493">
        <f t="shared" si="27"/>
        <v>90</v>
      </c>
      <c r="H114" s="493">
        <f t="shared" si="27"/>
        <v>87.5</v>
      </c>
      <c r="I114" s="493">
        <f t="shared" si="27"/>
        <v>85</v>
      </c>
      <c r="J114" s="493">
        <f t="shared" si="27"/>
        <v>82.5</v>
      </c>
      <c r="K114" s="493">
        <f t="shared" si="27"/>
        <v>80</v>
      </c>
      <c r="L114" s="493">
        <f t="shared" si="27"/>
        <v>77.5</v>
      </c>
      <c r="M114" s="493">
        <f t="shared" si="27"/>
        <v>75</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18818.8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0" t="s">
        <v>1769</v>
      </c>
      <c r="D4" s="3741"/>
      <c r="E4" s="3742" t="s">
        <v>1770</v>
      </c>
      <c r="F4" s="3743"/>
      <c r="G4" s="3740" t="s">
        <v>1771</v>
      </c>
      <c r="H4" s="3741"/>
      <c r="I4" s="3740" t="s">
        <v>1772</v>
      </c>
      <c r="J4" s="3741"/>
      <c r="K4" s="559" t="s">
        <v>1773</v>
      </c>
      <c r="L4" s="913"/>
      <c r="M4" s="914"/>
      <c r="N4" s="914"/>
      <c r="O4" s="914"/>
      <c r="P4" s="3744" t="s">
        <v>1774</v>
      </c>
      <c r="Q4" s="3745"/>
      <c r="R4" s="3750" t="s">
        <v>1770</v>
      </c>
      <c r="S4" s="3751"/>
      <c r="T4" s="3750" t="s">
        <v>1771</v>
      </c>
      <c r="U4" s="3751"/>
      <c r="V4" s="3735" t="s">
        <v>1772</v>
      </c>
      <c r="W4" s="3735"/>
      <c r="X4" s="1355"/>
      <c r="Y4" s="3750" t="s">
        <v>1774</v>
      </c>
      <c r="Z4" s="3751"/>
      <c r="AA4" s="3737" t="s">
        <v>1770</v>
      </c>
      <c r="AB4" s="3738" t="s">
        <v>1771</v>
      </c>
      <c r="AC4" s="3737" t="s">
        <v>1772</v>
      </c>
    </row>
    <row r="5" spans="1:29" ht="15">
      <c r="A5" s="358"/>
      <c r="B5" s="359"/>
      <c r="C5" s="3758" t="s">
        <v>1672</v>
      </c>
      <c r="D5" s="3759"/>
      <c r="E5" s="3765" t="s">
        <v>1673</v>
      </c>
      <c r="F5" s="3766"/>
      <c r="G5" s="3758" t="s">
        <v>1674</v>
      </c>
      <c r="H5" s="3759"/>
      <c r="I5" s="3758" t="s">
        <v>1675</v>
      </c>
      <c r="J5" s="3759"/>
      <c r="K5" s="559"/>
      <c r="L5" s="913"/>
      <c r="M5" s="914"/>
      <c r="N5" s="914"/>
      <c r="O5" s="914"/>
      <c r="P5" s="3746"/>
      <c r="Q5" s="3747"/>
      <c r="R5" s="3752"/>
      <c r="S5" s="3753"/>
      <c r="T5" s="3752"/>
      <c r="U5" s="3753"/>
      <c r="V5" s="3735"/>
      <c r="W5" s="3735"/>
      <c r="X5" s="1355"/>
      <c r="Y5" s="3752"/>
      <c r="Z5" s="3753"/>
      <c r="AA5" s="3738"/>
      <c r="AB5" s="3738"/>
      <c r="AC5" s="3738"/>
    </row>
    <row r="6" spans="1:29" ht="15.75" thickBot="1">
      <c r="A6" s="360"/>
      <c r="B6" s="361"/>
      <c r="C6" s="3756" t="s">
        <v>1676</v>
      </c>
      <c r="D6" s="3757"/>
      <c r="E6" s="3763" t="s">
        <v>1676</v>
      </c>
      <c r="F6" s="3764"/>
      <c r="G6" s="3756" t="s">
        <v>1676</v>
      </c>
      <c r="H6" s="3757"/>
      <c r="I6" s="3756" t="s">
        <v>1676</v>
      </c>
      <c r="J6" s="3757"/>
      <c r="K6" s="559" t="s">
        <v>1677</v>
      </c>
      <c r="L6" s="913"/>
      <c r="M6" s="914"/>
      <c r="N6" s="914"/>
      <c r="O6" s="914"/>
      <c r="P6" s="3748"/>
      <c r="Q6" s="3749"/>
      <c r="R6" s="3752"/>
      <c r="S6" s="3753"/>
      <c r="T6" s="3754"/>
      <c r="U6" s="3755"/>
      <c r="V6" s="3735"/>
      <c r="W6" s="3735"/>
      <c r="X6" s="1355"/>
      <c r="Y6" s="3754"/>
      <c r="Z6" s="3755"/>
      <c r="AA6" s="3739"/>
      <c r="AB6" s="3739"/>
      <c r="AC6" s="3739"/>
    </row>
    <row r="7" spans="1:29" s="108" customFormat="1" ht="15.75" thickBot="1">
      <c r="A7" s="362" t="s">
        <v>1678</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5"/>
      <c r="M7" s="916"/>
      <c r="N7" s="916"/>
      <c r="O7" s="916"/>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0" t="s">
        <v>1682</v>
      </c>
      <c r="Q8" s="3761"/>
      <c r="R8" s="701" t="s">
        <v>14</v>
      </c>
      <c r="S8" s="702">
        <f t="shared" si="0"/>
        <v>100</v>
      </c>
      <c r="T8" s="701" t="s">
        <v>14</v>
      </c>
      <c r="U8" s="702">
        <f t="shared" si="1"/>
        <v>100</v>
      </c>
      <c r="V8" s="701" t="s">
        <v>14</v>
      </c>
      <c r="W8" s="702">
        <f t="shared" si="2"/>
        <v>100</v>
      </c>
      <c r="X8" s="703"/>
      <c r="Y8" s="3760" t="s">
        <v>1682</v>
      </c>
      <c r="Z8" s="376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1690</v>
      </c>
      <c r="Q15" s="1352" t="str">
        <f t="shared" si="6"/>
        <v>产业集聚程度</v>
      </c>
      <c r="R15" s="705" t="s">
        <v>14</v>
      </c>
      <c r="S15" s="706">
        <f t="shared" si="0"/>
        <v>100</v>
      </c>
      <c r="T15" s="705" t="s">
        <v>14</v>
      </c>
      <c r="U15" s="706">
        <f t="shared" si="1"/>
        <v>100</v>
      </c>
      <c r="V15" s="705" t="s">
        <v>14</v>
      </c>
      <c r="W15" s="706">
        <f t="shared" si="2"/>
        <v>100</v>
      </c>
      <c r="X15" s="1355"/>
      <c r="Y15" s="372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73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1695</v>
      </c>
      <c r="Q35" s="1352" t="str">
        <f t="shared" si="11"/>
        <v>市政基础设施</v>
      </c>
      <c r="R35" s="705" t="s">
        <v>14</v>
      </c>
      <c r="S35" s="706">
        <f t="shared" si="12"/>
        <v>100</v>
      </c>
      <c r="T35" s="705" t="s">
        <v>14</v>
      </c>
      <c r="U35" s="706">
        <f t="shared" si="13"/>
        <v>100</v>
      </c>
      <c r="V35" s="705" t="s">
        <v>14</v>
      </c>
      <c r="W35" s="706">
        <f t="shared" si="14"/>
        <v>100</v>
      </c>
      <c r="X35" s="1355"/>
      <c r="Y35" s="373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40" t="s">
        <v>1769</v>
      </c>
      <c r="D4" s="3741"/>
      <c r="E4" s="3742" t="s">
        <v>1770</v>
      </c>
      <c r="F4" s="3743"/>
      <c r="G4" s="3740" t="s">
        <v>1771</v>
      </c>
      <c r="H4" s="3741"/>
      <c r="I4" s="3740" t="s">
        <v>1772</v>
      </c>
      <c r="J4" s="3741"/>
      <c r="K4" s="559" t="s">
        <v>1773</v>
      </c>
      <c r="L4" s="2712"/>
      <c r="M4" s="2713"/>
      <c r="N4" s="2713"/>
      <c r="O4" s="2713"/>
      <c r="P4" s="3744" t="s">
        <v>1774</v>
      </c>
      <c r="Q4" s="3745"/>
      <c r="R4" s="3750" t="s">
        <v>1770</v>
      </c>
      <c r="S4" s="3751"/>
      <c r="T4" s="3750" t="s">
        <v>1771</v>
      </c>
      <c r="U4" s="3751"/>
      <c r="V4" s="3735" t="s">
        <v>1772</v>
      </c>
      <c r="W4" s="3735"/>
      <c r="X4" s="1355"/>
      <c r="Y4" s="3750" t="s">
        <v>1774</v>
      </c>
      <c r="Z4" s="3751"/>
      <c r="AA4" s="3737" t="s">
        <v>1770</v>
      </c>
      <c r="AB4" s="3738" t="s">
        <v>1771</v>
      </c>
      <c r="AC4" s="3737" t="s">
        <v>1772</v>
      </c>
    </row>
    <row r="5" spans="1:29" ht="15">
      <c r="A5" s="358"/>
      <c r="B5" s="359"/>
      <c r="C5" s="3758" t="s">
        <v>1672</v>
      </c>
      <c r="D5" s="3759"/>
      <c r="E5" s="3765" t="s">
        <v>1673</v>
      </c>
      <c r="F5" s="3766"/>
      <c r="G5" s="3758" t="s">
        <v>1674</v>
      </c>
      <c r="H5" s="3759"/>
      <c r="I5" s="3758" t="s">
        <v>1675</v>
      </c>
      <c r="J5" s="3759"/>
      <c r="K5" s="559"/>
      <c r="L5" s="2712"/>
      <c r="M5" s="2713"/>
      <c r="N5" s="2713"/>
      <c r="O5" s="2713"/>
      <c r="P5" s="3746"/>
      <c r="Q5" s="3747"/>
      <c r="R5" s="3752"/>
      <c r="S5" s="3753"/>
      <c r="T5" s="3752"/>
      <c r="U5" s="3753"/>
      <c r="V5" s="3735"/>
      <c r="W5" s="3735"/>
      <c r="X5" s="1355"/>
      <c r="Y5" s="3752"/>
      <c r="Z5" s="3753"/>
      <c r="AA5" s="3738"/>
      <c r="AB5" s="3738"/>
      <c r="AC5" s="3738"/>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8"/>
      <c r="Q6" s="3749"/>
      <c r="R6" s="3752"/>
      <c r="S6" s="3753"/>
      <c r="T6" s="3754"/>
      <c r="U6" s="3755"/>
      <c r="V6" s="3735"/>
      <c r="W6" s="3735"/>
      <c r="X6" s="1355"/>
      <c r="Y6" s="3754"/>
      <c r="Z6" s="3755"/>
      <c r="AA6" s="3739"/>
      <c r="AB6" s="3739"/>
      <c r="AC6" s="3739"/>
    </row>
    <row r="7" spans="1:29" s="108" customFormat="1" ht="15.75" thickBot="1">
      <c r="A7" s="362" t="s">
        <v>1678</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60" t="s">
        <v>1679</v>
      </c>
      <c r="Q7" s="3762"/>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60" t="s">
        <v>1682</v>
      </c>
      <c r="Q8" s="3761"/>
      <c r="R8" s="701" t="s">
        <v>14</v>
      </c>
      <c r="S8" s="702">
        <f t="shared" si="0"/>
        <v>100</v>
      </c>
      <c r="T8" s="701" t="s">
        <v>14</v>
      </c>
      <c r="U8" s="702">
        <f t="shared" si="1"/>
        <v>100</v>
      </c>
      <c r="V8" s="701" t="s">
        <v>14</v>
      </c>
      <c r="W8" s="702">
        <f t="shared" si="2"/>
        <v>100</v>
      </c>
      <c r="X8" s="703"/>
      <c r="Y8" s="3760" t="s">
        <v>1682</v>
      </c>
      <c r="Z8" s="376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1"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1"/>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8" t="s">
        <v>1690</v>
      </c>
      <c r="Q14" s="1352" t="str">
        <f t="shared" si="6"/>
        <v>交通便捷度</v>
      </c>
      <c r="R14" s="705" t="s">
        <v>14</v>
      </c>
      <c r="S14" s="706">
        <f t="shared" si="0"/>
        <v>100</v>
      </c>
      <c r="T14" s="705" t="s">
        <v>14</v>
      </c>
      <c r="U14" s="706">
        <f t="shared" si="1"/>
        <v>100</v>
      </c>
      <c r="V14" s="705" t="s">
        <v>14</v>
      </c>
      <c r="W14" s="706">
        <f t="shared" si="2"/>
        <v>100</v>
      </c>
      <c r="X14" s="1355"/>
      <c r="Y14" s="372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9"/>
      <c r="Q15" s="1352"/>
      <c r="R15" s="705"/>
      <c r="S15" s="706"/>
      <c r="T15" s="705"/>
      <c r="U15" s="706"/>
      <c r="V15" s="705"/>
      <c r="W15" s="706"/>
      <c r="X15" s="1355"/>
      <c r="Y15" s="3729"/>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9"/>
      <c r="Q17" s="1352"/>
      <c r="R17" s="705"/>
      <c r="S17" s="706"/>
      <c r="T17" s="705"/>
      <c r="U17" s="706"/>
      <c r="V17" s="705"/>
      <c r="W17" s="706"/>
      <c r="X17" s="1355"/>
      <c r="Y17" s="3729"/>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9"/>
      <c r="Q19" s="1352"/>
      <c r="R19" s="705"/>
      <c r="S19" s="706"/>
      <c r="T19" s="705"/>
      <c r="U19" s="706"/>
      <c r="V19" s="705"/>
      <c r="W19" s="706"/>
      <c r="X19" s="1355"/>
      <c r="Y19" s="3729"/>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9"/>
      <c r="Q21" s="1352"/>
      <c r="R21" s="705"/>
      <c r="S21" s="706"/>
      <c r="T21" s="705"/>
      <c r="U21" s="706"/>
      <c r="V21" s="705"/>
      <c r="W21" s="706"/>
      <c r="X21" s="1355"/>
      <c r="Y21" s="372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3" t="s">
        <v>1695</v>
      </c>
      <c r="Q32" s="1352" t="str">
        <f t="shared" si="11"/>
        <v>车位类型</v>
      </c>
      <c r="R32" s="705" t="s">
        <v>14</v>
      </c>
      <c r="S32" s="706">
        <f t="shared" si="12"/>
        <v>100</v>
      </c>
      <c r="T32" s="705" t="s">
        <v>14</v>
      </c>
      <c r="U32" s="706">
        <f t="shared" si="13"/>
        <v>100</v>
      </c>
      <c r="V32" s="705" t="s">
        <v>14</v>
      </c>
      <c r="W32" s="706">
        <f t="shared" si="14"/>
        <v>100</v>
      </c>
      <c r="X32" s="1355"/>
      <c r="Y32" s="373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1843</v>
      </c>
      <c r="B37" s="1973" t="s">
        <v>3350</v>
      </c>
      <c r="C37" s="1154" t="s">
        <v>0</v>
      </c>
      <c r="D37" s="1155"/>
      <c r="E37" s="1156"/>
      <c r="F37" s="1157"/>
      <c r="G37" s="1158"/>
      <c r="H37" s="1159"/>
      <c r="I37" s="1156"/>
      <c r="J37" s="1159"/>
      <c r="K37" s="568"/>
      <c r="L37" s="2721"/>
      <c r="M37" s="2722"/>
      <c r="N37" s="2713"/>
      <c r="O37" s="2722"/>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23" t="str">
        <f>A39</f>
        <v>估价对象XX用房的比较价值（楼面单价，元/平方米）</v>
      </c>
      <c r="Q39" s="3724"/>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40" t="s">
        <v>1769</v>
      </c>
      <c r="D4" s="3741"/>
      <c r="E4" s="3742" t="s">
        <v>1770</v>
      </c>
      <c r="F4" s="3743"/>
      <c r="G4" s="3740" t="s">
        <v>1771</v>
      </c>
      <c r="H4" s="3741"/>
      <c r="I4" s="3740" t="s">
        <v>1772</v>
      </c>
      <c r="J4" s="3741"/>
      <c r="K4" s="559" t="s">
        <v>1773</v>
      </c>
      <c r="L4" s="2712"/>
      <c r="M4" s="2713"/>
      <c r="N4" s="2713"/>
      <c r="O4" s="2713"/>
      <c r="P4" s="3744" t="s">
        <v>1774</v>
      </c>
      <c r="Q4" s="3745"/>
      <c r="R4" s="3750" t="s">
        <v>1770</v>
      </c>
      <c r="S4" s="3751"/>
      <c r="T4" s="3750" t="s">
        <v>1771</v>
      </c>
      <c r="U4" s="3751"/>
      <c r="V4" s="3735" t="s">
        <v>1772</v>
      </c>
      <c r="W4" s="3735"/>
      <c r="X4" s="1355"/>
      <c r="Y4" s="3750" t="s">
        <v>1774</v>
      </c>
      <c r="Z4" s="3751"/>
      <c r="AA4" s="3737" t="s">
        <v>1770</v>
      </c>
      <c r="AB4" s="3738" t="s">
        <v>1771</v>
      </c>
      <c r="AC4" s="3737" t="s">
        <v>1772</v>
      </c>
    </row>
    <row r="5" spans="1:29" ht="15">
      <c r="A5" s="358"/>
      <c r="B5" s="359"/>
      <c r="C5" s="3758" t="s">
        <v>1672</v>
      </c>
      <c r="D5" s="3759"/>
      <c r="E5" s="3765" t="s">
        <v>1673</v>
      </c>
      <c r="F5" s="3766"/>
      <c r="G5" s="3758" t="s">
        <v>1674</v>
      </c>
      <c r="H5" s="3759"/>
      <c r="I5" s="3758" t="s">
        <v>1675</v>
      </c>
      <c r="J5" s="3759"/>
      <c r="K5" s="559"/>
      <c r="L5" s="2712"/>
      <c r="M5" s="2713"/>
      <c r="N5" s="2713"/>
      <c r="O5" s="2713"/>
      <c r="P5" s="3746"/>
      <c r="Q5" s="3747"/>
      <c r="R5" s="3752"/>
      <c r="S5" s="3753"/>
      <c r="T5" s="3752"/>
      <c r="U5" s="3753"/>
      <c r="V5" s="3735"/>
      <c r="W5" s="3735"/>
      <c r="X5" s="1355"/>
      <c r="Y5" s="3752"/>
      <c r="Z5" s="3753"/>
      <c r="AA5" s="3738"/>
      <c r="AB5" s="3738"/>
      <c r="AC5" s="3738"/>
    </row>
    <row r="6" spans="1:29" ht="15.75" thickBot="1">
      <c r="A6" s="360"/>
      <c r="B6" s="361"/>
      <c r="C6" s="3756" t="s">
        <v>1676</v>
      </c>
      <c r="D6" s="3757"/>
      <c r="E6" s="3763" t="s">
        <v>1676</v>
      </c>
      <c r="F6" s="3764"/>
      <c r="G6" s="3756" t="s">
        <v>1676</v>
      </c>
      <c r="H6" s="3757"/>
      <c r="I6" s="3756" t="s">
        <v>1676</v>
      </c>
      <c r="J6" s="3757"/>
      <c r="K6" s="559" t="s">
        <v>1677</v>
      </c>
      <c r="L6" s="2712"/>
      <c r="M6" s="2713"/>
      <c r="N6" s="2713"/>
      <c r="O6" s="2713"/>
      <c r="P6" s="3748"/>
      <c r="Q6" s="3749"/>
      <c r="R6" s="3752"/>
      <c r="S6" s="3753"/>
      <c r="T6" s="3754"/>
      <c r="U6" s="3755"/>
      <c r="V6" s="3735"/>
      <c r="W6" s="3735"/>
      <c r="X6" s="1355"/>
      <c r="Y6" s="3754"/>
      <c r="Z6" s="3755"/>
      <c r="AA6" s="3739"/>
      <c r="AB6" s="3739"/>
      <c r="AC6" s="3739"/>
    </row>
    <row r="7" spans="1:29" s="108" customFormat="1" ht="15.75" thickBot="1">
      <c r="A7" s="362" t="s">
        <v>1678</v>
      </c>
      <c r="B7" s="363"/>
      <c r="C7" s="364">
        <f>'数据-取费表'!B2</f>
        <v>45253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60" t="s">
        <v>1679</v>
      </c>
      <c r="Q7" s="3762"/>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60" t="s">
        <v>1682</v>
      </c>
      <c r="Q8" s="3761"/>
      <c r="R8" s="701" t="s">
        <v>14</v>
      </c>
      <c r="S8" s="702">
        <f t="shared" si="0"/>
        <v>100</v>
      </c>
      <c r="T8" s="701" t="s">
        <v>14</v>
      </c>
      <c r="U8" s="702">
        <f t="shared" si="1"/>
        <v>100</v>
      </c>
      <c r="V8" s="701" t="s">
        <v>14</v>
      </c>
      <c r="W8" s="702">
        <f t="shared" si="2"/>
        <v>100</v>
      </c>
      <c r="X8" s="703"/>
      <c r="Y8" s="3760" t="s">
        <v>1682</v>
      </c>
      <c r="Z8" s="376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1"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1"/>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8" t="s">
        <v>1690</v>
      </c>
      <c r="Q14" s="1352" t="str">
        <f t="shared" si="6"/>
        <v>交通便捷度</v>
      </c>
      <c r="R14" s="705" t="s">
        <v>14</v>
      </c>
      <c r="S14" s="706">
        <f t="shared" si="0"/>
        <v>100</v>
      </c>
      <c r="T14" s="705" t="s">
        <v>14</v>
      </c>
      <c r="U14" s="706">
        <f t="shared" si="1"/>
        <v>100</v>
      </c>
      <c r="V14" s="705" t="s">
        <v>14</v>
      </c>
      <c r="W14" s="706">
        <f t="shared" si="2"/>
        <v>100</v>
      </c>
      <c r="X14" s="1355"/>
      <c r="Y14" s="372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9"/>
      <c r="Q15" s="1352"/>
      <c r="R15" s="705"/>
      <c r="S15" s="706"/>
      <c r="T15" s="705"/>
      <c r="U15" s="706"/>
      <c r="V15" s="705"/>
      <c r="W15" s="706"/>
      <c r="X15" s="1355"/>
      <c r="Y15" s="3729"/>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9"/>
      <c r="Q17" s="1352"/>
      <c r="R17" s="705"/>
      <c r="S17" s="706"/>
      <c r="T17" s="705"/>
      <c r="U17" s="706"/>
      <c r="V17" s="705"/>
      <c r="W17" s="706"/>
      <c r="X17" s="1355"/>
      <c r="Y17" s="3729"/>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9"/>
      <c r="Q19" s="1352"/>
      <c r="R19" s="705"/>
      <c r="S19" s="706"/>
      <c r="T19" s="705"/>
      <c r="U19" s="706"/>
      <c r="V19" s="705"/>
      <c r="W19" s="706"/>
      <c r="X19" s="1355"/>
      <c r="Y19" s="3729"/>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9"/>
      <c r="Q21" s="1352"/>
      <c r="R21" s="705"/>
      <c r="S21" s="706"/>
      <c r="T21" s="705"/>
      <c r="U21" s="706"/>
      <c r="V21" s="705"/>
      <c r="W21" s="706"/>
      <c r="X21" s="1355"/>
      <c r="Y21" s="372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3" t="s">
        <v>1695</v>
      </c>
      <c r="Q32" s="1352">
        <f t="shared" si="11"/>
        <v>111</v>
      </c>
      <c r="R32" s="705" t="s">
        <v>14</v>
      </c>
      <c r="S32" s="706">
        <f t="shared" si="12"/>
        <v>100</v>
      </c>
      <c r="T32" s="705" t="s">
        <v>14</v>
      </c>
      <c r="U32" s="706">
        <f t="shared" si="13"/>
        <v>100</v>
      </c>
      <c r="V32" s="705" t="s">
        <v>14</v>
      </c>
      <c r="W32" s="706">
        <f t="shared" si="14"/>
        <v>100</v>
      </c>
      <c r="X32" s="1355"/>
      <c r="Y32" s="373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23" t="str">
        <f>A37</f>
        <v>估价对象XX用房的比较价值（楼面单价，元/平方米）</v>
      </c>
      <c r="Q37" s="3724"/>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40" t="s">
        <v>1769</v>
      </c>
      <c r="D4" s="3741"/>
      <c r="E4" s="3742" t="s">
        <v>1770</v>
      </c>
      <c r="F4" s="3743"/>
      <c r="G4" s="3740" t="s">
        <v>1771</v>
      </c>
      <c r="H4" s="3741"/>
      <c r="I4" s="3740" t="s">
        <v>1772</v>
      </c>
      <c r="J4" s="3741"/>
      <c r="K4" s="559" t="s">
        <v>1773</v>
      </c>
      <c r="L4" s="2712"/>
      <c r="M4" s="2713"/>
      <c r="N4" s="2713"/>
      <c r="O4" s="2713"/>
      <c r="P4" s="3744" t="s">
        <v>1774</v>
      </c>
      <c r="Q4" s="3745"/>
      <c r="R4" s="3750" t="s">
        <v>1770</v>
      </c>
      <c r="S4" s="3751"/>
      <c r="T4" s="3750" t="s">
        <v>1771</v>
      </c>
      <c r="U4" s="3751"/>
      <c r="V4" s="3735" t="s">
        <v>1772</v>
      </c>
      <c r="W4" s="3735"/>
      <c r="X4" s="1355"/>
      <c r="Y4" s="3750" t="s">
        <v>1774</v>
      </c>
      <c r="Z4" s="3751"/>
      <c r="AA4" s="3737" t="s">
        <v>1770</v>
      </c>
      <c r="AB4" s="3738" t="s">
        <v>1771</v>
      </c>
      <c r="AC4" s="3737" t="s">
        <v>1772</v>
      </c>
    </row>
    <row r="5" spans="1:30" ht="15">
      <c r="A5" s="358"/>
      <c r="B5" s="359"/>
      <c r="C5" s="3758" t="s">
        <v>1672</v>
      </c>
      <c r="D5" s="3759"/>
      <c r="E5" s="3765" t="s">
        <v>1673</v>
      </c>
      <c r="F5" s="3766"/>
      <c r="G5" s="3758" t="s">
        <v>1674</v>
      </c>
      <c r="H5" s="3759"/>
      <c r="I5" s="3758" t="s">
        <v>1675</v>
      </c>
      <c r="J5" s="3759"/>
      <c r="K5" s="559"/>
      <c r="L5" s="2712"/>
      <c r="M5" s="2713"/>
      <c r="N5" s="2713"/>
      <c r="O5" s="2713"/>
      <c r="P5" s="3746"/>
      <c r="Q5" s="3747"/>
      <c r="R5" s="3752"/>
      <c r="S5" s="3753"/>
      <c r="T5" s="3752"/>
      <c r="U5" s="3753"/>
      <c r="V5" s="3735"/>
      <c r="W5" s="3735"/>
      <c r="X5" s="1355"/>
      <c r="Y5" s="3752"/>
      <c r="Z5" s="3753"/>
      <c r="AA5" s="3738"/>
      <c r="AB5" s="3738"/>
      <c r="AC5" s="3738"/>
    </row>
    <row r="6" spans="1:30" ht="15.75" thickBot="1">
      <c r="A6" s="360"/>
      <c r="B6" s="361"/>
      <c r="C6" s="3756" t="s">
        <v>1676</v>
      </c>
      <c r="D6" s="3757"/>
      <c r="E6" s="3763" t="s">
        <v>1676</v>
      </c>
      <c r="F6" s="3764"/>
      <c r="G6" s="3756" t="s">
        <v>1676</v>
      </c>
      <c r="H6" s="3757"/>
      <c r="I6" s="3756" t="s">
        <v>1676</v>
      </c>
      <c r="J6" s="3757"/>
      <c r="K6" s="559" t="s">
        <v>1677</v>
      </c>
      <c r="L6" s="2712"/>
      <c r="M6" s="2713"/>
      <c r="N6" s="2713"/>
      <c r="O6" s="2713"/>
      <c r="P6" s="3748"/>
      <c r="Q6" s="3749"/>
      <c r="R6" s="3752"/>
      <c r="S6" s="3753"/>
      <c r="T6" s="3754"/>
      <c r="U6" s="3755"/>
      <c r="V6" s="3735"/>
      <c r="W6" s="3735"/>
      <c r="X6" s="1355"/>
      <c r="Y6" s="3754"/>
      <c r="Z6" s="3755"/>
      <c r="AA6" s="3739"/>
      <c r="AB6" s="3739"/>
      <c r="AC6" s="3739"/>
    </row>
    <row r="7" spans="1:30" s="108" customFormat="1" ht="15.75" thickBot="1">
      <c r="A7" s="362" t="s">
        <v>1678</v>
      </c>
      <c r="B7" s="363"/>
      <c r="C7" s="364">
        <f>'数据-取费表'!B2</f>
        <v>45253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60" t="s">
        <v>1682</v>
      </c>
      <c r="Q8" s="3761"/>
      <c r="R8" s="701" t="s">
        <v>14</v>
      </c>
      <c r="S8" s="702">
        <f t="shared" si="0"/>
        <v>0</v>
      </c>
      <c r="T8" s="701" t="s">
        <v>14</v>
      </c>
      <c r="U8" s="702">
        <f t="shared" si="1"/>
        <v>0</v>
      </c>
      <c r="V8" s="701" t="s">
        <v>14</v>
      </c>
      <c r="W8" s="702">
        <f t="shared" si="2"/>
        <v>0</v>
      </c>
      <c r="X8" s="703"/>
      <c r="Y8" s="3760" t="s">
        <v>1682</v>
      </c>
      <c r="Z8" s="376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1"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6"/>
      <c r="M10" s="2717"/>
      <c r="N10" s="2717"/>
      <c r="O10" s="2770"/>
      <c r="P10" s="3721"/>
      <c r="Q10" s="1343" t="str">
        <f t="shared" si="6"/>
        <v>土地使用年限（年）</v>
      </c>
      <c r="R10" s="701" t="s">
        <v>14</v>
      </c>
      <c r="S10" s="702">
        <f t="shared" si="0"/>
        <v>104</v>
      </c>
      <c r="T10" s="701" t="s">
        <v>14</v>
      </c>
      <c r="U10" s="702">
        <f t="shared" si="1"/>
        <v>104</v>
      </c>
      <c r="V10" s="701" t="s">
        <v>14</v>
      </c>
      <c r="W10" s="702">
        <f t="shared" si="2"/>
        <v>104</v>
      </c>
      <c r="X10" s="703"/>
      <c r="Y10" s="358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1"/>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8" t="s">
        <v>1690</v>
      </c>
      <c r="Q15" s="1352" t="str">
        <f t="shared" si="6"/>
        <v>居住社区成熟度</v>
      </c>
      <c r="R15" s="705" t="s">
        <v>14</v>
      </c>
      <c r="S15" s="706">
        <f t="shared" si="0"/>
        <v>100</v>
      </c>
      <c r="T15" s="705" t="s">
        <v>14</v>
      </c>
      <c r="U15" s="706">
        <f t="shared" si="1"/>
        <v>100</v>
      </c>
      <c r="V15" s="705" t="s">
        <v>14</v>
      </c>
      <c r="W15" s="706">
        <f t="shared" si="2"/>
        <v>100</v>
      </c>
      <c r="X15" s="1355"/>
      <c r="Y15" s="372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9"/>
      <c r="Q16" s="1352"/>
      <c r="R16" s="705"/>
      <c r="S16" s="706"/>
      <c r="T16" s="705"/>
      <c r="U16" s="706"/>
      <c r="V16" s="705"/>
      <c r="W16" s="706"/>
      <c r="X16" s="1355"/>
      <c r="Y16" s="3729"/>
      <c r="Z16" s="1356"/>
      <c r="AA16" s="1353">
        <v>1</v>
      </c>
      <c r="AB16" s="1353">
        <v>1</v>
      </c>
      <c r="AC16" s="1353">
        <v>1</v>
      </c>
    </row>
    <row r="17" spans="1:29" ht="15">
      <c r="A17" s="379"/>
      <c r="B17" s="402" t="s">
        <v>1776</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9"/>
      <c r="Q18" s="1352"/>
      <c r="R18" s="705"/>
      <c r="S18" s="706"/>
      <c r="T18" s="705"/>
      <c r="U18" s="706"/>
      <c r="V18" s="705"/>
      <c r="W18" s="706"/>
      <c r="X18" s="1355"/>
      <c r="Y18" s="3729"/>
      <c r="Z18" s="1356"/>
      <c r="AA18" s="1353">
        <v>1</v>
      </c>
      <c r="AB18" s="1353">
        <v>1</v>
      </c>
      <c r="AC18" s="1353">
        <v>1</v>
      </c>
    </row>
    <row r="19" spans="1:29" ht="15">
      <c r="A19" s="379"/>
      <c r="B19" s="402" t="s">
        <v>1810</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9"/>
      <c r="Q20" s="1352"/>
      <c r="R20" s="705"/>
      <c r="S20" s="706"/>
      <c r="T20" s="705"/>
      <c r="U20" s="706"/>
      <c r="V20" s="705"/>
      <c r="W20" s="706"/>
      <c r="X20" s="1355"/>
      <c r="Y20" s="3729"/>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9"/>
      <c r="Q22" s="1352"/>
      <c r="R22" s="705"/>
      <c r="S22" s="706"/>
      <c r="T22" s="705"/>
      <c r="U22" s="706"/>
      <c r="V22" s="705"/>
      <c r="W22" s="706"/>
      <c r="X22" s="1355"/>
      <c r="Y22" s="372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9"/>
      <c r="Q24" s="1352"/>
      <c r="R24" s="705"/>
      <c r="S24" s="706"/>
      <c r="T24" s="705"/>
      <c r="U24" s="706"/>
      <c r="V24" s="705"/>
      <c r="W24" s="706"/>
      <c r="X24" s="1355"/>
      <c r="Y24" s="3729"/>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9"/>
      <c r="Q26" s="1352"/>
      <c r="R26" s="705"/>
      <c r="S26" s="706"/>
      <c r="T26" s="705"/>
      <c r="U26" s="706"/>
      <c r="V26" s="705"/>
      <c r="W26" s="706"/>
      <c r="X26" s="1355"/>
      <c r="Y26" s="3729"/>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9"/>
      <c r="Q28" s="1343"/>
      <c r="R28" s="701"/>
      <c r="S28" s="702"/>
      <c r="T28" s="701"/>
      <c r="U28" s="702"/>
      <c r="V28" s="701"/>
      <c r="W28" s="702"/>
      <c r="X28" s="703"/>
      <c r="Y28" s="372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9"/>
      <c r="Q30" s="1343"/>
      <c r="R30" s="701"/>
      <c r="S30" s="702"/>
      <c r="T30" s="701"/>
      <c r="U30" s="702"/>
      <c r="V30" s="701"/>
      <c r="W30" s="702"/>
      <c r="X30" s="703"/>
      <c r="Y30" s="372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9"/>
      <c r="Q33" s="1352"/>
      <c r="R33" s="705"/>
      <c r="S33" s="706"/>
      <c r="T33" s="705"/>
      <c r="U33" s="706"/>
      <c r="V33" s="705"/>
      <c r="W33" s="706"/>
      <c r="X33" s="1355"/>
      <c r="Y33" s="372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3" t="s">
        <v>1695</v>
      </c>
      <c r="Q36" s="1352">
        <f t="shared" si="8"/>
        <v>111</v>
      </c>
      <c r="R36" s="705" t="s">
        <v>14</v>
      </c>
      <c r="S36" s="706">
        <f t="shared" si="10"/>
        <v>100</v>
      </c>
      <c r="T36" s="705" t="s">
        <v>14</v>
      </c>
      <c r="U36" s="706">
        <f t="shared" si="11"/>
        <v>100</v>
      </c>
      <c r="V36" s="705" t="s">
        <v>14</v>
      </c>
      <c r="W36" s="706">
        <f t="shared" si="12"/>
        <v>100</v>
      </c>
      <c r="X36" s="1355"/>
      <c r="Y36" s="373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33" t="s">
        <v>1695</v>
      </c>
      <c r="Q42" s="1352" t="str">
        <f t="shared" si="14"/>
        <v>工程地质条件</v>
      </c>
      <c r="R42" s="705" t="s">
        <v>14</v>
      </c>
      <c r="S42" s="706">
        <f t="shared" si="10"/>
        <v>100</v>
      </c>
      <c r="T42" s="705" t="s">
        <v>14</v>
      </c>
      <c r="U42" s="706">
        <f t="shared" si="11"/>
        <v>100</v>
      </c>
      <c r="V42" s="705" t="s">
        <v>14</v>
      </c>
      <c r="W42" s="706">
        <f t="shared" si="12"/>
        <v>100</v>
      </c>
      <c r="X42" s="1355"/>
      <c r="Y42" s="373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21" t="str">
        <f>A46</f>
        <v>成交单价</v>
      </c>
      <c r="Q46" s="3721"/>
      <c r="R46" s="3735">
        <f>E46</f>
        <v>0</v>
      </c>
      <c r="S46" s="3735"/>
      <c r="T46" s="3735">
        <f>G46</f>
        <v>0</v>
      </c>
      <c r="U46" s="3735"/>
      <c r="V46" s="3735">
        <f>I46</f>
        <v>0</v>
      </c>
      <c r="W46" s="373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21" t="str">
        <f>A47</f>
        <v>比较价值（元/平方米）</v>
      </c>
      <c r="Q47" s="3721"/>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23" t="str">
        <f>A48</f>
        <v>估价对象XX用房的比较价值（楼面单价，元/平方米）</v>
      </c>
      <c r="Q48" s="3724"/>
      <c r="R48" s="3786" t="e">
        <f>ROUND(IF(D47="简单平均",AVERAGE(R47:W47),R47*F47+T47*H47+V47*J47),0)</f>
        <v>#DIV/0!</v>
      </c>
      <c r="S48" s="3786"/>
      <c r="T48" s="3786"/>
      <c r="U48" s="3786"/>
      <c r="V48" s="3786"/>
      <c r="W48" s="378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40" t="s">
        <v>1886</v>
      </c>
      <c r="H55" s="3787"/>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17509.599999999999</v>
      </c>
      <c r="F56" s="886" t="e">
        <f t="shared" ref="F56:F64" si="15">ROUND(B56*E56/10000,0)</f>
        <v>#DIV/0!</v>
      </c>
      <c r="G56" s="3736"/>
      <c r="H56" s="372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0.5</v>
      </c>
      <c r="D57" s="945">
        <v>0.25</v>
      </c>
      <c r="E57" s="642"/>
      <c r="F57" s="886" t="e">
        <f t="shared" si="15"/>
        <v>#DIV/0!</v>
      </c>
      <c r="G57" s="3003" t="s">
        <v>1891</v>
      </c>
      <c r="H57" s="887" t="str">
        <f>项目基本情况!B37</f>
        <v>八级</v>
      </c>
      <c r="I57" s="891">
        <f>SUMIF(修正!A57:A68,H57,修正!B57:B68)</f>
        <v>0.5</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0.2</v>
      </c>
      <c r="D58" s="945">
        <v>0.25</v>
      </c>
      <c r="E58" s="642"/>
      <c r="F58" s="886" t="e">
        <f t="shared" si="15"/>
        <v>#DIV/0!</v>
      </c>
      <c r="G58" s="3004"/>
      <c r="H58" s="887" t="str">
        <f>项目基本情况!B37</f>
        <v>八级</v>
      </c>
      <c r="I58" s="891">
        <f>SUMIF(修正!A57:A68,H58,修正!C57:C68)</f>
        <v>0.2</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v>
      </c>
      <c r="D59" s="945">
        <v>0.25</v>
      </c>
      <c r="E59" s="642"/>
      <c r="F59" s="886" t="e">
        <f t="shared" si="15"/>
        <v>#DIV/0!</v>
      </c>
      <c r="G59" s="3004"/>
      <c r="H59" s="887" t="str">
        <f>项目基本情况!B37</f>
        <v>八级</v>
      </c>
      <c r="I59" s="891">
        <f>SUMIF(修正!A57:A68,H59,修正!D57:D68)</f>
        <v>0.2</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0.2</v>
      </c>
      <c r="D60" s="945">
        <v>0.25</v>
      </c>
      <c r="E60" s="217">
        <f>'数据-汇总表'!E11</f>
        <v>0</v>
      </c>
      <c r="F60" s="886" t="e">
        <f t="shared" si="15"/>
        <v>#DIV/0!</v>
      </c>
      <c r="G60" s="1987" t="s">
        <v>1895</v>
      </c>
      <c r="H60" s="887" t="str">
        <f>项目基本情况!C37</f>
        <v>八级</v>
      </c>
      <c r="I60" s="891">
        <f>SUMIF(修正!A57:A68,H60,修正!E57:E68)</f>
        <v>0.2</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0.2</v>
      </c>
      <c r="D61" s="945">
        <v>0.25</v>
      </c>
      <c r="E61" s="217">
        <f>'数据-汇总表'!E12</f>
        <v>0</v>
      </c>
      <c r="F61" s="886" t="e">
        <f t="shared" si="15"/>
        <v>#DIV/0!</v>
      </c>
      <c r="G61" s="892" t="s">
        <v>1897</v>
      </c>
      <c r="H61" s="887" t="str">
        <f>IF(G61="商业",项目基本情况!B37,IF(G61="办公",项目基本情况!C37,IF(G61="住宅",项目基本情况!D37,项目基本情况!E37)))</f>
        <v>八级</v>
      </c>
      <c r="I61" s="891">
        <f>SUMIF(修正!A57:A68,H61,修正!F57:F68)</f>
        <v>0.2</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八级</v>
      </c>
      <c r="I63" s="891">
        <f>SUMIF(修正!A57:A68,H63,修正!G57:G68)</f>
        <v>0.1</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0.1</v>
      </c>
      <c r="D64" s="945">
        <v>0.25</v>
      </c>
      <c r="E64" s="217">
        <f>'数据-汇总表'!E15</f>
        <v>0</v>
      </c>
      <c r="F64" s="886" t="e">
        <f t="shared" si="15"/>
        <v>#DIV/0!</v>
      </c>
      <c r="G64" s="1988" t="s">
        <v>1895</v>
      </c>
      <c r="H64" s="897" t="str">
        <f>项目基本情况!C37</f>
        <v>八级</v>
      </c>
      <c r="I64" s="893">
        <f>SUMIF(修正!A57:A68,H64,修正!G57:G68)</f>
        <v>0.1</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17509.599999999999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40" t="s">
        <v>1769</v>
      </c>
      <c r="D4" s="3741"/>
      <c r="E4" s="3742" t="s">
        <v>1770</v>
      </c>
      <c r="F4" s="3743"/>
      <c r="G4" s="3740" t="s">
        <v>1771</v>
      </c>
      <c r="H4" s="3741"/>
      <c r="I4" s="3740" t="s">
        <v>1772</v>
      </c>
      <c r="J4" s="3741"/>
      <c r="K4" s="559" t="s">
        <v>1773</v>
      </c>
      <c r="L4" s="2712"/>
      <c r="M4" s="2713"/>
      <c r="N4" s="2713"/>
      <c r="O4" s="2713"/>
      <c r="P4" s="3744" t="s">
        <v>1774</v>
      </c>
      <c r="Q4" s="3745"/>
      <c r="R4" s="3750" t="s">
        <v>1770</v>
      </c>
      <c r="S4" s="3751"/>
      <c r="T4" s="3750" t="s">
        <v>1771</v>
      </c>
      <c r="U4" s="3751"/>
      <c r="V4" s="3735" t="s">
        <v>1772</v>
      </c>
      <c r="W4" s="3735"/>
      <c r="X4" s="1355"/>
      <c r="Y4" s="3750" t="s">
        <v>1774</v>
      </c>
      <c r="Z4" s="3751"/>
      <c r="AA4" s="3737" t="s">
        <v>1770</v>
      </c>
      <c r="AB4" s="3738" t="s">
        <v>1771</v>
      </c>
      <c r="AC4" s="3737" t="s">
        <v>1772</v>
      </c>
    </row>
    <row r="5" spans="1:29" ht="15">
      <c r="A5" s="358"/>
      <c r="B5" s="359"/>
      <c r="C5" s="3758" t="s">
        <v>1672</v>
      </c>
      <c r="D5" s="3759"/>
      <c r="E5" s="3765" t="s">
        <v>1673</v>
      </c>
      <c r="F5" s="3766"/>
      <c r="G5" s="3758" t="s">
        <v>1674</v>
      </c>
      <c r="H5" s="3759"/>
      <c r="I5" s="3758" t="s">
        <v>1675</v>
      </c>
      <c r="J5" s="3759"/>
      <c r="K5" s="559"/>
      <c r="L5" s="2712"/>
      <c r="M5" s="2713"/>
      <c r="N5" s="2713"/>
      <c r="O5" s="2713"/>
      <c r="P5" s="3746"/>
      <c r="Q5" s="3747"/>
      <c r="R5" s="3752"/>
      <c r="S5" s="3753"/>
      <c r="T5" s="3752"/>
      <c r="U5" s="3753"/>
      <c r="V5" s="3735"/>
      <c r="W5" s="3735"/>
      <c r="X5" s="1355"/>
      <c r="Y5" s="3752"/>
      <c r="Z5" s="3753"/>
      <c r="AA5" s="3738"/>
      <c r="AB5" s="3738"/>
      <c r="AC5" s="3738"/>
    </row>
    <row r="6" spans="1:29" ht="15.75" thickBot="1">
      <c r="A6" s="360"/>
      <c r="B6" s="361"/>
      <c r="C6" s="3788" t="s">
        <v>1918</v>
      </c>
      <c r="D6" s="3789"/>
      <c r="E6" s="3790" t="s">
        <v>1918</v>
      </c>
      <c r="F6" s="3791"/>
      <c r="G6" s="3788" t="s">
        <v>1918</v>
      </c>
      <c r="H6" s="3789"/>
      <c r="I6" s="3788" t="s">
        <v>1918</v>
      </c>
      <c r="J6" s="3789"/>
      <c r="K6" s="559" t="s">
        <v>1677</v>
      </c>
      <c r="L6" s="2712"/>
      <c r="M6" s="2713"/>
      <c r="N6" s="2713"/>
      <c r="O6" s="2713"/>
      <c r="P6" s="3748"/>
      <c r="Q6" s="3749"/>
      <c r="R6" s="3752"/>
      <c r="S6" s="3753"/>
      <c r="T6" s="3754"/>
      <c r="U6" s="3755"/>
      <c r="V6" s="3735"/>
      <c r="W6" s="3735"/>
      <c r="X6" s="1355"/>
      <c r="Y6" s="3754"/>
      <c r="Z6" s="3755"/>
      <c r="AA6" s="3739"/>
      <c r="AB6" s="3739"/>
      <c r="AC6" s="3739"/>
    </row>
    <row r="7" spans="1:29" s="108" customFormat="1" ht="15.75" thickBot="1">
      <c r="A7" s="362" t="s">
        <v>1678</v>
      </c>
      <c r="B7" s="363"/>
      <c r="C7" s="364">
        <f>'数据-取费表'!B2</f>
        <v>45253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60" t="s">
        <v>1679</v>
      </c>
      <c r="Q7" s="3762"/>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60" t="s">
        <v>1682</v>
      </c>
      <c r="Q8" s="3761"/>
      <c r="R8" s="701" t="s">
        <v>14</v>
      </c>
      <c r="S8" s="702">
        <f t="shared" si="0"/>
        <v>0</v>
      </c>
      <c r="T8" s="701" t="s">
        <v>14</v>
      </c>
      <c r="U8" s="702">
        <f t="shared" si="1"/>
        <v>0</v>
      </c>
      <c r="V8" s="701" t="s">
        <v>14</v>
      </c>
      <c r="W8" s="702">
        <f t="shared" si="2"/>
        <v>0</v>
      </c>
      <c r="X8" s="703"/>
      <c r="Y8" s="3760" t="s">
        <v>1682</v>
      </c>
      <c r="Z8" s="376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1"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6"/>
      <c r="M10" s="2717"/>
      <c r="N10" s="2717"/>
      <c r="O10" s="2770"/>
      <c r="P10" s="3721"/>
      <c r="Q10" s="1343" t="str">
        <f t="shared" si="6"/>
        <v>土地使用年限（年）</v>
      </c>
      <c r="R10" s="701" t="s">
        <v>14</v>
      </c>
      <c r="S10" s="702">
        <f t="shared" si="0"/>
        <v>104</v>
      </c>
      <c r="T10" s="701" t="s">
        <v>14</v>
      </c>
      <c r="U10" s="702">
        <f t="shared" si="1"/>
        <v>104</v>
      </c>
      <c r="V10" s="701" t="s">
        <v>14</v>
      </c>
      <c r="W10" s="702">
        <f t="shared" si="2"/>
        <v>104</v>
      </c>
      <c r="X10" s="703"/>
      <c r="Y10" s="358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8" t="s">
        <v>1690</v>
      </c>
      <c r="Q15" s="1352" t="str">
        <f t="shared" si="6"/>
        <v>产业集聚程度</v>
      </c>
      <c r="R15" s="705" t="s">
        <v>14</v>
      </c>
      <c r="S15" s="706">
        <f t="shared" si="0"/>
        <v>100</v>
      </c>
      <c r="T15" s="705" t="s">
        <v>14</v>
      </c>
      <c r="U15" s="706">
        <f t="shared" si="1"/>
        <v>100</v>
      </c>
      <c r="V15" s="705" t="s">
        <v>14</v>
      </c>
      <c r="W15" s="706">
        <f t="shared" si="2"/>
        <v>100</v>
      </c>
      <c r="X15" s="1355"/>
      <c r="Y15" s="372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9"/>
      <c r="Q16" s="1352"/>
      <c r="R16" s="705"/>
      <c r="S16" s="706"/>
      <c r="T16" s="705"/>
      <c r="U16" s="706"/>
      <c r="V16" s="705"/>
      <c r="W16" s="706"/>
      <c r="X16" s="1355"/>
      <c r="Y16" s="372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9"/>
      <c r="Q18" s="1352"/>
      <c r="R18" s="705"/>
      <c r="S18" s="706"/>
      <c r="T18" s="705"/>
      <c r="U18" s="706"/>
      <c r="V18" s="705"/>
      <c r="W18" s="706"/>
      <c r="X18" s="1355"/>
      <c r="Y18" s="372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9"/>
      <c r="Q20" s="1352"/>
      <c r="R20" s="705"/>
      <c r="S20" s="706"/>
      <c r="T20" s="705"/>
      <c r="U20" s="706"/>
      <c r="V20" s="705"/>
      <c r="W20" s="706"/>
      <c r="X20" s="1355"/>
      <c r="Y20" s="372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9"/>
      <c r="Q22" s="1352"/>
      <c r="R22" s="705"/>
      <c r="S22" s="706"/>
      <c r="T22" s="705"/>
      <c r="U22" s="706"/>
      <c r="V22" s="705"/>
      <c r="W22" s="706"/>
      <c r="X22" s="1355"/>
      <c r="Y22" s="372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9"/>
      <c r="Q24" s="1343"/>
      <c r="R24" s="701"/>
      <c r="S24" s="702"/>
      <c r="T24" s="701"/>
      <c r="U24" s="702"/>
      <c r="V24" s="701"/>
      <c r="W24" s="702"/>
      <c r="X24" s="703"/>
      <c r="Y24" s="372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9"/>
      <c r="Q26" s="1343"/>
      <c r="R26" s="701"/>
      <c r="S26" s="702"/>
      <c r="T26" s="701"/>
      <c r="U26" s="702"/>
      <c r="V26" s="701"/>
      <c r="W26" s="702"/>
      <c r="X26" s="703"/>
      <c r="Y26" s="372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9"/>
      <c r="Q29" s="1352"/>
      <c r="R29" s="705"/>
      <c r="S29" s="706"/>
      <c r="T29" s="705"/>
      <c r="U29" s="706"/>
      <c r="V29" s="705"/>
      <c r="W29" s="706"/>
      <c r="X29" s="1355"/>
      <c r="Y29" s="372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3" t="s">
        <v>1695</v>
      </c>
      <c r="Q32" s="1352">
        <f t="shared" si="8"/>
        <v>111</v>
      </c>
      <c r="R32" s="705" t="s">
        <v>14</v>
      </c>
      <c r="S32" s="706">
        <f t="shared" si="10"/>
        <v>100</v>
      </c>
      <c r="T32" s="705" t="s">
        <v>14</v>
      </c>
      <c r="U32" s="706">
        <f t="shared" si="11"/>
        <v>100</v>
      </c>
      <c r="V32" s="705" t="s">
        <v>14</v>
      </c>
      <c r="W32" s="706">
        <f t="shared" si="12"/>
        <v>100</v>
      </c>
      <c r="X32" s="1355"/>
      <c r="Y32" s="373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33" t="s">
        <v>1695</v>
      </c>
      <c r="Q37" s="1352" t="str">
        <f t="shared" si="14"/>
        <v>工程地质条件</v>
      </c>
      <c r="R37" s="705" t="s">
        <v>14</v>
      </c>
      <c r="S37" s="706">
        <f t="shared" si="10"/>
        <v>100</v>
      </c>
      <c r="T37" s="705" t="s">
        <v>14</v>
      </c>
      <c r="U37" s="706">
        <f t="shared" si="11"/>
        <v>100</v>
      </c>
      <c r="V37" s="705" t="s">
        <v>14</v>
      </c>
      <c r="W37" s="706">
        <f t="shared" si="12"/>
        <v>100</v>
      </c>
      <c r="X37" s="1355"/>
      <c r="Y37" s="373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21" t="str">
        <f>A41</f>
        <v>成交单价</v>
      </c>
      <c r="Q41" s="3721"/>
      <c r="R41" s="3735">
        <f>E41</f>
        <v>0</v>
      </c>
      <c r="S41" s="3735"/>
      <c r="T41" s="3735">
        <f>G41</f>
        <v>0</v>
      </c>
      <c r="U41" s="3735"/>
      <c r="V41" s="3735">
        <f>I41</f>
        <v>0</v>
      </c>
      <c r="W41" s="373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21" t="str">
        <f>A42</f>
        <v>比较价值（元/平方米）</v>
      </c>
      <c r="Q42" s="3721"/>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23" t="str">
        <f>A43</f>
        <v>估价对象XX用房的比较价值（楼面单价，元/平方米）</v>
      </c>
      <c r="Q43" s="3724"/>
      <c r="R43" s="3786" t="e">
        <f>ROUND(IF(D42="简单平均",AVERAGE(R42:W42),R42*F42+T42*H42+V42*J42),0)</f>
        <v>#DIV/0!</v>
      </c>
      <c r="S43" s="3786"/>
      <c r="T43" s="3786"/>
      <c r="U43" s="3786"/>
      <c r="V43" s="3786"/>
      <c r="W43" s="378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40" t="s">
        <v>1886</v>
      </c>
      <c r="H50" s="3787"/>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17509.599999999999</v>
      </c>
      <c r="F51" s="639" t="e">
        <f t="shared" ref="F51:F60" si="15">ROUND(B51*E51/10000,0)</f>
        <v>#DIV/0!</v>
      </c>
      <c r="G51" s="3736"/>
      <c r="H51" s="372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0.5</v>
      </c>
      <c r="D52" s="945">
        <v>0.25</v>
      </c>
      <c r="E52" s="642"/>
      <c r="F52" s="639" t="e">
        <f t="shared" si="15"/>
        <v>#DIV/0!</v>
      </c>
      <c r="G52" s="3003" t="s">
        <v>1891</v>
      </c>
      <c r="H52" s="887" t="str">
        <f>项目基本情况!B37</f>
        <v>八级</v>
      </c>
      <c r="I52" s="773">
        <f>SUMIF(修正!A57:A68,H52,修正!B57:B68)</f>
        <v>0.5</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0.2</v>
      </c>
      <c r="D53" s="945">
        <v>0.25</v>
      </c>
      <c r="E53" s="642"/>
      <c r="F53" s="639" t="e">
        <f t="shared" si="15"/>
        <v>#DIV/0!</v>
      </c>
      <c r="G53" s="3004"/>
      <c r="H53" s="887" t="str">
        <f>项目基本情况!B37</f>
        <v>八级</v>
      </c>
      <c r="I53" s="773">
        <f>SUMIF(修正!A57:A68,H53,修正!C57:C68)</f>
        <v>0.2</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v>
      </c>
      <c r="D54" s="945">
        <v>0.25</v>
      </c>
      <c r="E54" s="642"/>
      <c r="F54" s="639" t="e">
        <f t="shared" si="15"/>
        <v>#DIV/0!</v>
      </c>
      <c r="G54" s="3004"/>
      <c r="H54" s="887" t="str">
        <f>项目基本情况!B37</f>
        <v>八级</v>
      </c>
      <c r="I54" s="773">
        <f>SUMIF(修正!A57:A68,H54,修正!D57:D68)</f>
        <v>0.2</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0.2</v>
      </c>
      <c r="D56" s="945">
        <v>0.25</v>
      </c>
      <c r="E56" s="217">
        <f>'数据-汇总表'!E11</f>
        <v>0</v>
      </c>
      <c r="F56" s="639" t="e">
        <f t="shared" si="15"/>
        <v>#DIV/0!</v>
      </c>
      <c r="G56" s="1987" t="s">
        <v>1895</v>
      </c>
      <c r="H56" s="887" t="str">
        <f>项目基本情况!C37</f>
        <v>八级</v>
      </c>
      <c r="I56" s="773">
        <f>SUMIF(修正!A57:A68,H56,修正!E57:E68)</f>
        <v>0.2</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0.2</v>
      </c>
      <c r="D57" s="945">
        <v>0.25</v>
      </c>
      <c r="E57" s="217">
        <f>'数据-汇总表'!E12</f>
        <v>0</v>
      </c>
      <c r="F57" s="639" t="e">
        <f t="shared" si="15"/>
        <v>#DIV/0!</v>
      </c>
      <c r="G57" s="892" t="s">
        <v>1897</v>
      </c>
      <c r="H57" s="887" t="str">
        <f>IF(G57="商业",项目基本情况!B37,IF(G57="办公",项目基本情况!C37,IF(G57="住宅",项目基本情况!D37,项目基本情况!E37)))</f>
        <v>八级</v>
      </c>
      <c r="I57" s="773">
        <f>SUMIF(修正!A57:A68,H57,修正!F57:F68)</f>
        <v>0.2</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八级</v>
      </c>
      <c r="I59" s="773">
        <f>SUMIF(修正!A57:A68,H59,修正!G57:G68)</f>
        <v>0.1</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0.1</v>
      </c>
      <c r="D60" s="945">
        <v>0.25</v>
      </c>
      <c r="E60" s="217">
        <f>'数据-汇总表'!E15</f>
        <v>0</v>
      </c>
      <c r="F60" s="639" t="e">
        <f t="shared" si="15"/>
        <v>#DIV/0!</v>
      </c>
      <c r="G60" s="1988" t="s">
        <v>1895</v>
      </c>
      <c r="H60" s="897" t="str">
        <f>项目基本情况!C37</f>
        <v>八级</v>
      </c>
      <c r="I60" s="773">
        <f>SUMIF(修正!A57:A68,H60,修正!G57:G68)</f>
        <v>0.1</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0</v>
      </c>
      <c r="C2" s="2145" t="s">
        <v>2073</v>
      </c>
      <c r="D2" s="2145" t="s">
        <v>2074</v>
      </c>
      <c r="E2" s="2609">
        <f ca="1">SUMIF(E6:E13,"&lt;&gt;#ref!",E6:E13)</f>
        <v>0</v>
      </c>
      <c r="F2" s="2790"/>
      <c r="G2" s="2790"/>
      <c r="H2" s="2790"/>
      <c r="I2" s="2790"/>
      <c r="J2" s="2790"/>
      <c r="K2" s="2790"/>
      <c r="L2" s="2790"/>
      <c r="M2" s="2790"/>
      <c r="N2" s="2790"/>
      <c r="O2" s="2790"/>
      <c r="P2" s="2790"/>
    </row>
    <row r="3" spans="1:16" ht="15.75">
      <c r="A3" s="2145" t="s">
        <v>2075</v>
      </c>
      <c r="B3" s="2599" t="e">
        <f ca="1">ROUND(B2*10000/E2,0)</f>
        <v>#DIV/0!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t="e">
        <f ca="1">SUMIF(INDIRECT("'"&amp;A6&amp;"'"&amp;"!A:A"),"总价",INDIRECT("'"&amp;A6&amp;"'"&amp;"!B:B"))</f>
        <v>#REF!</v>
      </c>
      <c r="C6" s="2145" t="s">
        <v>2073</v>
      </c>
      <c r="D6" s="2790"/>
      <c r="E6" s="2609" t="e">
        <f ca="1">SUMIF(INDIRECT("'"&amp;A6&amp;"'"&amp;"!C:C"),"建筑面积",INDIRECT("'"&amp;A6&amp;"'"&amp;"!D:D"))</f>
        <v>#REF!</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估价结果一览表（市场价值不需“结果表-1”）</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26835</v>
      </c>
      <c r="E5" s="1491"/>
    </row>
    <row r="6" spans="1:5" ht="15.75">
      <c r="A6" s="1491"/>
      <c r="B6" s="3492"/>
      <c r="C6" s="1494" t="s">
        <v>911</v>
      </c>
      <c r="D6" s="850" t="str">
        <f ca="1">NUMBERSTRING(INT(D5*10000),2)&amp;"元整"</f>
        <v>贰亿陆仟捌佰叁拾伍万元整</v>
      </c>
      <c r="E6" s="1491"/>
    </row>
    <row r="7" spans="1:5" ht="15.75">
      <c r="A7" s="1491"/>
      <c r="B7" s="3497"/>
      <c r="C7" s="1495" t="s">
        <v>912</v>
      </c>
      <c r="D7" s="851">
        <f ca="1">结果表!H102</f>
        <v>14260</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26835</v>
      </c>
      <c r="E13" s="1491"/>
    </row>
    <row r="14" spans="1:5" ht="15.75">
      <c r="A14" s="1491"/>
      <c r="B14" s="3492"/>
      <c r="C14" s="1494" t="s">
        <v>911</v>
      </c>
      <c r="D14" s="850" t="str">
        <f ca="1">NUMBERSTRING(INT(D13*10000),2)&amp;"元整"</f>
        <v>贰亿陆仟捌佰叁拾伍万元整</v>
      </c>
      <c r="E14" s="1491"/>
    </row>
    <row r="15" spans="1:5" ht="15">
      <c r="A15" s="1491"/>
      <c r="B15" s="3497"/>
      <c r="C15" s="1495" t="s">
        <v>921</v>
      </c>
      <c r="D15" s="859">
        <f ca="1">结果表!H108</f>
        <v>14260</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v>
      </c>
      <c r="C19" s="1499" t="s">
        <v>910</v>
      </c>
      <c r="D19" s="851" t="str">
        <f>结果表!H111</f>
        <v>——</v>
      </c>
      <c r="E19" s="1491"/>
    </row>
    <row r="20" spans="1:5" ht="15.75">
      <c r="A20" s="1491"/>
      <c r="B20" s="3492"/>
      <c r="C20" s="1494" t="s">
        <v>923</v>
      </c>
      <c r="D20" s="850" t="e">
        <f>NUMBERSTRING(INT(D19*10000),2)&amp;"元整"</f>
        <v>#VALUE!</v>
      </c>
      <c r="E20" s="1491"/>
    </row>
    <row r="21" spans="1:5" ht="15.75" thickBot="1">
      <c r="A21" s="1491"/>
      <c r="B21" s="349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807" t="s">
        <v>2603</v>
      </c>
      <c r="B20" s="3802" t="s">
        <v>2624</v>
      </c>
      <c r="C20" s="3100" t="s">
        <v>2435</v>
      </c>
      <c r="D20" s="3101"/>
      <c r="E20" s="3102">
        <v>1</v>
      </c>
      <c r="F20" s="3103" t="s">
        <v>2436</v>
      </c>
      <c r="G20" s="3103"/>
    </row>
    <row r="21" spans="1:13" ht="19.5" customHeight="1">
      <c r="A21" s="3808"/>
      <c r="B21" s="3801"/>
      <c r="C21" s="3104" t="s">
        <v>2437</v>
      </c>
      <c r="D21" s="3105"/>
      <c r="E21" s="3106">
        <v>1</v>
      </c>
      <c r="F21" s="3103" t="s">
        <v>2438</v>
      </c>
      <c r="G21" s="3103"/>
    </row>
    <row r="22" spans="1:13" ht="19.5" customHeight="1">
      <c r="A22" s="3808"/>
      <c r="B22" s="3801"/>
      <c r="C22" s="3104" t="s">
        <v>2439</v>
      </c>
      <c r="D22" s="3105"/>
      <c r="E22" s="3106">
        <v>0.9</v>
      </c>
      <c r="F22" s="3103" t="s">
        <v>2440</v>
      </c>
      <c r="G22" s="3103"/>
    </row>
    <row r="23" spans="1:13" ht="19.5" customHeight="1">
      <c r="A23" s="3808"/>
      <c r="B23" s="3801"/>
      <c r="C23" s="3104" t="s">
        <v>2441</v>
      </c>
      <c r="D23" s="3105"/>
      <c r="E23" s="3106">
        <v>0.9</v>
      </c>
      <c r="F23" s="3103" t="s">
        <v>2442</v>
      </c>
      <c r="G23" s="3103"/>
    </row>
    <row r="24" spans="1:13" ht="19.5" customHeight="1">
      <c r="A24" s="3808"/>
      <c r="B24" s="3801"/>
      <c r="C24" s="3104" t="s">
        <v>2443</v>
      </c>
      <c r="D24" s="3105"/>
      <c r="E24" s="3106">
        <v>0.8</v>
      </c>
      <c r="F24" s="3103" t="s">
        <v>2444</v>
      </c>
      <c r="G24" s="3103"/>
    </row>
    <row r="25" spans="1:13" ht="19.5" customHeight="1" thickBot="1">
      <c r="A25" s="3809"/>
      <c r="B25" s="3803"/>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804" t="s">
        <v>2627</v>
      </c>
      <c r="B27" s="3802" t="s">
        <v>2608</v>
      </c>
      <c r="C27" s="3100" t="s">
        <v>2448</v>
      </c>
      <c r="D27" s="3101"/>
      <c r="E27" s="3102">
        <v>1</v>
      </c>
      <c r="F27" s="3103" t="s">
        <v>2449</v>
      </c>
      <c r="G27" s="3103"/>
    </row>
    <row r="28" spans="1:13" ht="19.5" customHeight="1">
      <c r="A28" s="3805"/>
      <c r="B28" s="3801"/>
      <c r="C28" s="3104" t="s">
        <v>2450</v>
      </c>
      <c r="D28" s="3105"/>
      <c r="E28" s="3106">
        <v>1</v>
      </c>
      <c r="F28" s="3103" t="s">
        <v>2451</v>
      </c>
      <c r="G28" s="3103"/>
    </row>
    <row r="29" spans="1:13" ht="19.5" customHeight="1">
      <c r="A29" s="3805"/>
      <c r="B29" s="3801"/>
      <c r="C29" s="3104" t="s">
        <v>2452</v>
      </c>
      <c r="D29" s="3105"/>
      <c r="E29" s="3106">
        <v>0.8</v>
      </c>
      <c r="F29" s="3103" t="s">
        <v>2453</v>
      </c>
      <c r="G29" s="3103"/>
    </row>
    <row r="30" spans="1:13" ht="19.5" customHeight="1">
      <c r="A30" s="3805"/>
      <c r="B30" s="3801"/>
      <c r="C30" s="3104" t="s">
        <v>2454</v>
      </c>
      <c r="D30" s="3105"/>
      <c r="E30" s="3106">
        <v>0.8</v>
      </c>
      <c r="F30" s="3103" t="s">
        <v>2455</v>
      </c>
      <c r="G30" s="3103"/>
    </row>
    <row r="31" spans="1:13" ht="19.5" customHeight="1">
      <c r="A31" s="3805"/>
      <c r="B31" s="3801"/>
      <c r="C31" s="3104" t="s">
        <v>2456</v>
      </c>
      <c r="D31" s="3105"/>
      <c r="E31" s="3106">
        <v>0.8</v>
      </c>
      <c r="F31" s="3103" t="s">
        <v>2457</v>
      </c>
      <c r="G31" s="3103"/>
    </row>
    <row r="32" spans="1:13" ht="19.5" customHeight="1">
      <c r="A32" s="3805"/>
      <c r="B32" s="3801"/>
      <c r="C32" s="3104" t="s">
        <v>2458</v>
      </c>
      <c r="D32" s="3105"/>
      <c r="E32" s="3106">
        <v>0.7</v>
      </c>
      <c r="F32" s="3103" t="s">
        <v>2459</v>
      </c>
      <c r="G32" s="3103"/>
    </row>
    <row r="33" spans="1:7" ht="19.5" customHeight="1">
      <c r="A33" s="3805"/>
      <c r="B33" s="3801"/>
      <c r="C33" s="3104" t="s">
        <v>2460</v>
      </c>
      <c r="D33" s="3105"/>
      <c r="E33" s="3106">
        <v>0.8</v>
      </c>
      <c r="F33" s="3103" t="s">
        <v>2461</v>
      </c>
      <c r="G33" s="3103"/>
    </row>
    <row r="34" spans="1:7" ht="19.5" customHeight="1">
      <c r="A34" s="3805"/>
      <c r="B34" s="3801"/>
      <c r="C34" s="3104" t="s">
        <v>2462</v>
      </c>
      <c r="D34" s="3105"/>
      <c r="E34" s="3106">
        <v>0.6</v>
      </c>
      <c r="F34" s="3103" t="s">
        <v>2463</v>
      </c>
      <c r="G34" s="3103"/>
    </row>
    <row r="35" spans="1:7" ht="19.5" customHeight="1">
      <c r="A35" s="3805"/>
      <c r="B35" s="3801"/>
      <c r="C35" s="3104" t="s">
        <v>2464</v>
      </c>
      <c r="D35" s="3105"/>
      <c r="E35" s="3106">
        <v>0.2</v>
      </c>
      <c r="F35" s="3103" t="s">
        <v>2465</v>
      </c>
      <c r="G35" s="3103"/>
    </row>
    <row r="36" spans="1:7" ht="19.5" customHeight="1">
      <c r="A36" s="3805"/>
      <c r="B36" s="3801"/>
      <c r="C36" s="3104" t="s">
        <v>2466</v>
      </c>
      <c r="D36" s="3105"/>
      <c r="E36" s="3106">
        <v>0.2</v>
      </c>
      <c r="F36" s="3103" t="s">
        <v>2467</v>
      </c>
      <c r="G36" s="3103"/>
    </row>
    <row r="37" spans="1:7" ht="19.5" customHeight="1">
      <c r="A37" s="3805"/>
      <c r="B37" s="3799" t="s">
        <v>2628</v>
      </c>
      <c r="C37" s="3104" t="s">
        <v>2468</v>
      </c>
      <c r="D37" s="3105"/>
      <c r="E37" s="3106">
        <v>0.6</v>
      </c>
      <c r="F37" s="3103" t="s">
        <v>2469</v>
      </c>
      <c r="G37" s="3103"/>
    </row>
    <row r="38" spans="1:7" ht="19.5" customHeight="1">
      <c r="A38" s="3805"/>
      <c r="B38" s="3801"/>
      <c r="C38" s="3104" t="s">
        <v>2470</v>
      </c>
      <c r="D38" s="3105"/>
      <c r="E38" s="3106">
        <v>0.6</v>
      </c>
      <c r="F38" s="3103" t="s">
        <v>2471</v>
      </c>
      <c r="G38" s="3103"/>
    </row>
    <row r="39" spans="1:7" ht="19.5" customHeight="1" thickBot="1">
      <c r="A39" s="3806"/>
      <c r="B39" s="3803"/>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807" t="s">
        <v>2606</v>
      </c>
      <c r="B41" s="3802" t="s">
        <v>2630</v>
      </c>
      <c r="C41" s="3100" t="s">
        <v>2475</v>
      </c>
      <c r="D41" s="3101"/>
      <c r="E41" s="3102">
        <v>1</v>
      </c>
      <c r="F41" s="3103" t="s">
        <v>2476</v>
      </c>
      <c r="G41" s="3103"/>
    </row>
    <row r="42" spans="1:7" ht="19.5" customHeight="1">
      <c r="A42" s="3808"/>
      <c r="B42" s="3801"/>
      <c r="C42" s="3104" t="s">
        <v>2477</v>
      </c>
      <c r="D42" s="3105"/>
      <c r="E42" s="3106">
        <v>1</v>
      </c>
      <c r="F42" s="3103" t="s">
        <v>2478</v>
      </c>
      <c r="G42" s="3103"/>
    </row>
    <row r="43" spans="1:7" ht="19.5" customHeight="1">
      <c r="A43" s="3808"/>
      <c r="B43" s="3800"/>
      <c r="C43" s="3104" t="s">
        <v>2479</v>
      </c>
      <c r="D43" s="3105"/>
      <c r="E43" s="3106">
        <v>1.5</v>
      </c>
      <c r="F43" s="3103" t="s">
        <v>2480</v>
      </c>
      <c r="G43" s="3103"/>
    </row>
    <row r="44" spans="1:7" ht="19.5" customHeight="1">
      <c r="A44" s="3808"/>
      <c r="B44" s="3115" t="s">
        <v>2631</v>
      </c>
      <c r="C44" s="3104" t="s">
        <v>2632</v>
      </c>
      <c r="D44" s="3105"/>
      <c r="E44" s="3106">
        <v>2</v>
      </c>
      <c r="F44" s="3103" t="s">
        <v>2481</v>
      </c>
      <c r="G44" s="3103"/>
    </row>
    <row r="45" spans="1:7" ht="19.5" customHeight="1">
      <c r="A45" s="3808"/>
      <c r="B45" s="3799" t="s">
        <v>2633</v>
      </c>
      <c r="C45" s="3104" t="s">
        <v>2482</v>
      </c>
      <c r="D45" s="3105"/>
      <c r="E45" s="3106">
        <v>1</v>
      </c>
      <c r="F45" s="3103" t="s">
        <v>2483</v>
      </c>
      <c r="G45" s="3103"/>
    </row>
    <row r="46" spans="1:7" ht="19.5" customHeight="1">
      <c r="A46" s="3808"/>
      <c r="B46" s="3801"/>
      <c r="C46" s="3104" t="s">
        <v>2484</v>
      </c>
      <c r="D46" s="3105"/>
      <c r="E46" s="3106">
        <v>1</v>
      </c>
      <c r="F46" s="3103" t="s">
        <v>2485</v>
      </c>
      <c r="G46" s="3103"/>
    </row>
    <row r="47" spans="1:7" ht="19.5" customHeight="1">
      <c r="A47" s="3808"/>
      <c r="B47" s="3801"/>
      <c r="C47" s="3104" t="s">
        <v>2486</v>
      </c>
      <c r="D47" s="3105"/>
      <c r="E47" s="3106">
        <v>1</v>
      </c>
      <c r="F47" s="3103" t="s">
        <v>2487</v>
      </c>
      <c r="G47" s="3103"/>
    </row>
    <row r="48" spans="1:7" ht="19.5" customHeight="1">
      <c r="A48" s="3808"/>
      <c r="B48" s="3801"/>
      <c r="C48" s="3104" t="s">
        <v>2488</v>
      </c>
      <c r="D48" s="3105"/>
      <c r="E48" s="3106">
        <v>1</v>
      </c>
      <c r="F48" s="3103" t="s">
        <v>2489</v>
      </c>
      <c r="G48" s="3103"/>
    </row>
    <row r="49" spans="1:7" ht="19.5" customHeight="1">
      <c r="A49" s="3808"/>
      <c r="B49" s="3801"/>
      <c r="C49" s="3104" t="s">
        <v>2490</v>
      </c>
      <c r="D49" s="3105"/>
      <c r="E49" s="3106">
        <v>1</v>
      </c>
      <c r="F49" s="3103" t="s">
        <v>2491</v>
      </c>
      <c r="G49" s="3103"/>
    </row>
    <row r="50" spans="1:7" ht="19.5" customHeight="1">
      <c r="A50" s="3808"/>
      <c r="B50" s="3801"/>
      <c r="C50" s="3104" t="s">
        <v>2492</v>
      </c>
      <c r="D50" s="3105"/>
      <c r="E50" s="3106">
        <v>1</v>
      </c>
      <c r="F50" s="3103" t="s">
        <v>2493</v>
      </c>
      <c r="G50" s="3103"/>
    </row>
    <row r="51" spans="1:7" ht="19.5" customHeight="1" thickBot="1">
      <c r="A51" s="3809"/>
      <c r="B51" s="3803"/>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799" t="s">
        <v>2647</v>
      </c>
      <c r="C73" s="3089" t="s">
        <v>2648</v>
      </c>
      <c r="D73" s="3089" t="s">
        <v>2649</v>
      </c>
      <c r="E73" s="3115">
        <v>0.2</v>
      </c>
      <c r="F73" s="3115">
        <v>25</v>
      </c>
    </row>
    <row r="74" spans="1:7" ht="24">
      <c r="A74" s="3115">
        <v>2</v>
      </c>
      <c r="B74" s="3801"/>
      <c r="C74" s="3089" t="s">
        <v>2650</v>
      </c>
      <c r="D74" s="3089" t="s">
        <v>2651</v>
      </c>
      <c r="E74" s="3115">
        <v>0.2</v>
      </c>
      <c r="F74" s="3115">
        <v>25</v>
      </c>
    </row>
    <row r="75" spans="1:7" ht="24">
      <c r="A75" s="3115">
        <v>3</v>
      </c>
      <c r="B75" s="3801"/>
      <c r="C75" s="3089" t="s">
        <v>2652</v>
      </c>
      <c r="D75" s="3089" t="s">
        <v>2653</v>
      </c>
      <c r="E75" s="3115">
        <v>0.2</v>
      </c>
      <c r="F75" s="3115">
        <v>25</v>
      </c>
    </row>
    <row r="76" spans="1:7" ht="13.5">
      <c r="A76" s="3115">
        <v>4</v>
      </c>
      <c r="B76" s="3801"/>
      <c r="C76" s="3089" t="s">
        <v>2654</v>
      </c>
      <c r="D76" s="3089" t="s">
        <v>2655</v>
      </c>
      <c r="E76" s="3115">
        <v>0.15</v>
      </c>
      <c r="F76" s="3115">
        <v>20</v>
      </c>
    </row>
    <row r="77" spans="1:7" ht="24">
      <c r="A77" s="3115">
        <v>5</v>
      </c>
      <c r="B77" s="3801"/>
      <c r="C77" s="3089" t="s">
        <v>2656</v>
      </c>
      <c r="D77" s="3089" t="s">
        <v>2657</v>
      </c>
      <c r="E77" s="3115">
        <v>0.15</v>
      </c>
      <c r="F77" s="3115">
        <v>20</v>
      </c>
    </row>
    <row r="78" spans="1:7" ht="24">
      <c r="A78" s="3115">
        <v>6</v>
      </c>
      <c r="B78" s="3801"/>
      <c r="C78" s="3089" t="s">
        <v>2658</v>
      </c>
      <c r="D78" s="3089" t="s">
        <v>2659</v>
      </c>
      <c r="E78" s="3115">
        <v>0.15</v>
      </c>
      <c r="F78" s="3115">
        <v>20</v>
      </c>
    </row>
    <row r="79" spans="1:7" ht="24">
      <c r="A79" s="3115">
        <v>7</v>
      </c>
      <c r="B79" s="3801"/>
      <c r="C79" s="3089" t="s">
        <v>2660</v>
      </c>
      <c r="D79" s="3089" t="s">
        <v>2661</v>
      </c>
      <c r="E79" s="3115">
        <v>0.15</v>
      </c>
      <c r="F79" s="3115">
        <v>20</v>
      </c>
    </row>
    <row r="80" spans="1:7" ht="24">
      <c r="A80" s="3115">
        <v>8</v>
      </c>
      <c r="B80" s="3801"/>
      <c r="C80" s="3089" t="s">
        <v>2662</v>
      </c>
      <c r="D80" s="3089" t="s">
        <v>2663</v>
      </c>
      <c r="E80" s="3115">
        <v>0.1</v>
      </c>
      <c r="F80" s="3115">
        <v>15</v>
      </c>
    </row>
    <row r="81" spans="1:6" ht="24">
      <c r="A81" s="3115">
        <v>9</v>
      </c>
      <c r="B81" s="3801"/>
      <c r="C81" s="3089" t="s">
        <v>2664</v>
      </c>
      <c r="D81" s="3089" t="s">
        <v>2665</v>
      </c>
      <c r="E81" s="3115">
        <v>0.1</v>
      </c>
      <c r="F81" s="3115">
        <v>15</v>
      </c>
    </row>
    <row r="82" spans="1:6" ht="24">
      <c r="A82" s="3115">
        <v>10</v>
      </c>
      <c r="B82" s="3801"/>
      <c r="C82" s="3089" t="s">
        <v>2666</v>
      </c>
      <c r="D82" s="3089" t="s">
        <v>2667</v>
      </c>
      <c r="E82" s="3115">
        <v>0.1</v>
      </c>
      <c r="F82" s="3115">
        <v>15</v>
      </c>
    </row>
    <row r="83" spans="1:6" ht="24">
      <c r="A83" s="3115">
        <v>11</v>
      </c>
      <c r="B83" s="3801"/>
      <c r="C83" s="3089" t="s">
        <v>2668</v>
      </c>
      <c r="D83" s="3089" t="s">
        <v>2669</v>
      </c>
      <c r="E83" s="3115">
        <v>0.1</v>
      </c>
      <c r="F83" s="3115">
        <v>15</v>
      </c>
    </row>
    <row r="84" spans="1:6" ht="24">
      <c r="A84" s="3115">
        <v>12</v>
      </c>
      <c r="B84" s="3801"/>
      <c r="C84" s="3089" t="s">
        <v>2670</v>
      </c>
      <c r="D84" s="3089" t="s">
        <v>2671</v>
      </c>
      <c r="E84" s="3115">
        <v>0.1</v>
      </c>
      <c r="F84" s="3115">
        <v>15</v>
      </c>
    </row>
    <row r="85" spans="1:6" ht="13.5">
      <c r="A85" s="3115">
        <v>13</v>
      </c>
      <c r="B85" s="3801"/>
      <c r="C85" s="3089" t="s">
        <v>2672</v>
      </c>
      <c r="D85" s="3089" t="s">
        <v>2673</v>
      </c>
      <c r="E85" s="3115">
        <v>0.1</v>
      </c>
      <c r="F85" s="3115">
        <v>15</v>
      </c>
    </row>
    <row r="86" spans="1:6" ht="13.5">
      <c r="A86" s="3115">
        <v>14</v>
      </c>
      <c r="B86" s="3801"/>
      <c r="C86" s="3089" t="s">
        <v>2674</v>
      </c>
      <c r="D86" s="3089" t="s">
        <v>2675</v>
      </c>
      <c r="E86" s="3115">
        <v>0.1</v>
      </c>
      <c r="F86" s="3115">
        <v>15</v>
      </c>
    </row>
    <row r="87" spans="1:6" ht="13.5">
      <c r="A87" s="3115">
        <v>15</v>
      </c>
      <c r="B87" s="3801"/>
      <c r="C87" s="3089" t="s">
        <v>2676</v>
      </c>
      <c r="D87" s="3089" t="s">
        <v>2677</v>
      </c>
      <c r="E87" s="3115">
        <v>0.1</v>
      </c>
      <c r="F87" s="3115">
        <v>15</v>
      </c>
    </row>
    <row r="88" spans="1:6" ht="24">
      <c r="A88" s="3115">
        <v>16</v>
      </c>
      <c r="B88" s="3801"/>
      <c r="C88" s="3089" t="s">
        <v>2678</v>
      </c>
      <c r="D88" s="3089" t="s">
        <v>2679</v>
      </c>
      <c r="E88" s="3115">
        <v>0.1</v>
      </c>
      <c r="F88" s="3115">
        <v>15</v>
      </c>
    </row>
    <row r="89" spans="1:6" ht="24">
      <c r="A89" s="3115">
        <v>17</v>
      </c>
      <c r="B89" s="3800"/>
      <c r="C89" s="3089" t="s">
        <v>2680</v>
      </c>
      <c r="D89" s="3089" t="s">
        <v>2681</v>
      </c>
      <c r="E89" s="3115">
        <v>0.1</v>
      </c>
      <c r="F89" s="3115">
        <v>15</v>
      </c>
    </row>
    <row r="90" spans="1:6" ht="13.5">
      <c r="A90" s="3115">
        <v>18</v>
      </c>
      <c r="B90" s="3799" t="s">
        <v>2682</v>
      </c>
      <c r="C90" s="3089" t="s">
        <v>2683</v>
      </c>
      <c r="D90" s="3089" t="s">
        <v>2684</v>
      </c>
      <c r="E90" s="3115">
        <v>0.2</v>
      </c>
      <c r="F90" s="3115">
        <v>25</v>
      </c>
    </row>
    <row r="91" spans="1:6" ht="24">
      <c r="A91" s="3115">
        <v>19</v>
      </c>
      <c r="B91" s="3801"/>
      <c r="C91" s="3089" t="s">
        <v>2685</v>
      </c>
      <c r="D91" s="3089" t="s">
        <v>2686</v>
      </c>
      <c r="E91" s="3115">
        <v>0.2</v>
      </c>
      <c r="F91" s="3115">
        <v>25</v>
      </c>
    </row>
    <row r="92" spans="1:6" ht="13.5">
      <c r="A92" s="3115">
        <v>20</v>
      </c>
      <c r="B92" s="3801"/>
      <c r="C92" s="3089" t="s">
        <v>2687</v>
      </c>
      <c r="D92" s="3089" t="s">
        <v>2688</v>
      </c>
      <c r="E92" s="3115">
        <v>0.15</v>
      </c>
      <c r="F92" s="3115">
        <v>20</v>
      </c>
    </row>
    <row r="93" spans="1:6" ht="13.5">
      <c r="A93" s="3115">
        <v>21</v>
      </c>
      <c r="B93" s="3801"/>
      <c r="C93" s="3089" t="s">
        <v>2689</v>
      </c>
      <c r="D93" s="3089" t="s">
        <v>2690</v>
      </c>
      <c r="E93" s="3115">
        <v>0.15</v>
      </c>
      <c r="F93" s="3115">
        <v>20</v>
      </c>
    </row>
    <row r="94" spans="1:6" ht="13.5">
      <c r="A94" s="3115">
        <v>22</v>
      </c>
      <c r="B94" s="3801"/>
      <c r="C94" s="3089" t="s">
        <v>2691</v>
      </c>
      <c r="D94" s="3089" t="s">
        <v>2692</v>
      </c>
      <c r="E94" s="3115">
        <v>0.15</v>
      </c>
      <c r="F94" s="3115">
        <v>20</v>
      </c>
    </row>
    <row r="95" spans="1:6" ht="36">
      <c r="A95" s="3115">
        <v>23</v>
      </c>
      <c r="B95" s="3801"/>
      <c r="C95" s="3089" t="s">
        <v>2693</v>
      </c>
      <c r="D95" s="3089" t="s">
        <v>2694</v>
      </c>
      <c r="E95" s="3115">
        <v>0.15</v>
      </c>
      <c r="F95" s="3115">
        <v>20</v>
      </c>
    </row>
    <row r="96" spans="1:6" ht="13.5">
      <c r="A96" s="3115">
        <v>24</v>
      </c>
      <c r="B96" s="3801"/>
      <c r="C96" s="3089" t="s">
        <v>2695</v>
      </c>
      <c r="D96" s="3089" t="s">
        <v>2696</v>
      </c>
      <c r="E96" s="3115">
        <v>0.1</v>
      </c>
      <c r="F96" s="3115">
        <v>15</v>
      </c>
    </row>
    <row r="97" spans="1:6" ht="13.5">
      <c r="A97" s="3115">
        <v>25</v>
      </c>
      <c r="B97" s="3801"/>
      <c r="C97" s="3089" t="s">
        <v>2697</v>
      </c>
      <c r="D97" s="3089" t="s">
        <v>2698</v>
      </c>
      <c r="E97" s="3115">
        <v>0.1</v>
      </c>
      <c r="F97" s="3115">
        <v>15</v>
      </c>
    </row>
    <row r="98" spans="1:6" ht="24">
      <c r="A98" s="3115">
        <v>26</v>
      </c>
      <c r="B98" s="3801"/>
      <c r="C98" s="3089" t="s">
        <v>2699</v>
      </c>
      <c r="D98" s="3089" t="s">
        <v>2700</v>
      </c>
      <c r="E98" s="3115">
        <v>0.1</v>
      </c>
      <c r="F98" s="3115">
        <v>15</v>
      </c>
    </row>
    <row r="99" spans="1:6" ht="24">
      <c r="A99" s="3115">
        <v>27</v>
      </c>
      <c r="B99" s="3801"/>
      <c r="C99" s="3089" t="s">
        <v>2701</v>
      </c>
      <c r="D99" s="3089" t="s">
        <v>2702</v>
      </c>
      <c r="E99" s="3115">
        <v>0.1</v>
      </c>
      <c r="F99" s="3115">
        <v>15</v>
      </c>
    </row>
    <row r="100" spans="1:6" ht="13.5">
      <c r="A100" s="3115">
        <v>28</v>
      </c>
      <c r="B100" s="3801"/>
      <c r="C100" s="3089" t="s">
        <v>2703</v>
      </c>
      <c r="D100" s="3089" t="s">
        <v>2704</v>
      </c>
      <c r="E100" s="3115">
        <v>0.1</v>
      </c>
      <c r="F100" s="3115">
        <v>15</v>
      </c>
    </row>
    <row r="101" spans="1:6" ht="13.5">
      <c r="A101" s="3115">
        <v>29</v>
      </c>
      <c r="B101" s="3801"/>
      <c r="C101" s="3089" t="s">
        <v>2705</v>
      </c>
      <c r="D101" s="3089" t="s">
        <v>2706</v>
      </c>
      <c r="E101" s="3115">
        <v>0.1</v>
      </c>
      <c r="F101" s="3115">
        <v>15</v>
      </c>
    </row>
    <row r="102" spans="1:6" ht="13.5">
      <c r="A102" s="3115">
        <v>30</v>
      </c>
      <c r="B102" s="3801"/>
      <c r="C102" s="3089" t="s">
        <v>2707</v>
      </c>
      <c r="D102" s="3089" t="s">
        <v>2708</v>
      </c>
      <c r="E102" s="3115">
        <v>0.1</v>
      </c>
      <c r="F102" s="3115">
        <v>15</v>
      </c>
    </row>
    <row r="103" spans="1:6" ht="24">
      <c r="A103" s="3115">
        <v>31</v>
      </c>
      <c r="B103" s="3801"/>
      <c r="C103" s="3089" t="s">
        <v>2709</v>
      </c>
      <c r="D103" s="3089" t="s">
        <v>2710</v>
      </c>
      <c r="E103" s="3115">
        <v>0.1</v>
      </c>
      <c r="F103" s="3115">
        <v>15</v>
      </c>
    </row>
    <row r="104" spans="1:6" ht="24">
      <c r="A104" s="3115">
        <v>32</v>
      </c>
      <c r="B104" s="3801"/>
      <c r="C104" s="3089" t="s">
        <v>2711</v>
      </c>
      <c r="D104" s="3089" t="s">
        <v>2712</v>
      </c>
      <c r="E104" s="3115">
        <v>0.1</v>
      </c>
      <c r="F104" s="3115">
        <v>15</v>
      </c>
    </row>
    <row r="105" spans="1:6" ht="24">
      <c r="A105" s="3115">
        <v>33</v>
      </c>
      <c r="B105" s="3801"/>
      <c r="C105" s="3089" t="s">
        <v>2713</v>
      </c>
      <c r="D105" s="3089" t="s">
        <v>2714</v>
      </c>
      <c r="E105" s="3115">
        <v>0.1</v>
      </c>
      <c r="F105" s="3115">
        <v>15</v>
      </c>
    </row>
    <row r="106" spans="1:6" ht="24">
      <c r="A106" s="3115">
        <v>34</v>
      </c>
      <c r="B106" s="3800"/>
      <c r="C106" s="3089" t="s">
        <v>2715</v>
      </c>
      <c r="D106" s="3089" t="s">
        <v>2716</v>
      </c>
      <c r="E106" s="3115">
        <v>0.1</v>
      </c>
      <c r="F106" s="3115">
        <v>15</v>
      </c>
    </row>
    <row r="107" spans="1:6" ht="24">
      <c r="A107" s="3115">
        <v>35</v>
      </c>
      <c r="B107" s="3799" t="s">
        <v>2717</v>
      </c>
      <c r="C107" s="3115" t="s">
        <v>2718</v>
      </c>
      <c r="D107" s="3089" t="s">
        <v>2719</v>
      </c>
      <c r="E107" s="3115">
        <v>0.15</v>
      </c>
      <c r="F107" s="3115">
        <v>20</v>
      </c>
    </row>
    <row r="108" spans="1:6" ht="13.5">
      <c r="A108" s="3115">
        <v>36</v>
      </c>
      <c r="B108" s="3801"/>
      <c r="C108" s="3115" t="s">
        <v>2720</v>
      </c>
      <c r="D108" s="3089" t="s">
        <v>2721</v>
      </c>
      <c r="E108" s="3115">
        <v>0.15</v>
      </c>
      <c r="F108" s="3115">
        <v>20</v>
      </c>
    </row>
    <row r="109" spans="1:6" ht="13.5">
      <c r="A109" s="3115">
        <v>37</v>
      </c>
      <c r="B109" s="3801"/>
      <c r="C109" s="3115" t="s">
        <v>2722</v>
      </c>
      <c r="D109" s="3089" t="s">
        <v>2723</v>
      </c>
      <c r="E109" s="3115">
        <v>0.15</v>
      </c>
      <c r="F109" s="3115">
        <v>20</v>
      </c>
    </row>
    <row r="110" spans="1:6" ht="13.5">
      <c r="A110" s="3115">
        <v>38</v>
      </c>
      <c r="B110" s="3801"/>
      <c r="C110" s="3115" t="s">
        <v>2724</v>
      </c>
      <c r="D110" s="3089" t="s">
        <v>2725</v>
      </c>
      <c r="E110" s="3115">
        <v>0.1</v>
      </c>
      <c r="F110" s="3115">
        <v>15</v>
      </c>
    </row>
    <row r="111" spans="1:6" ht="24">
      <c r="A111" s="3115">
        <v>39</v>
      </c>
      <c r="B111" s="3801"/>
      <c r="C111" s="3115" t="s">
        <v>2726</v>
      </c>
      <c r="D111" s="3089" t="s">
        <v>2727</v>
      </c>
      <c r="E111" s="3115">
        <v>0.1</v>
      </c>
      <c r="F111" s="3115">
        <v>15</v>
      </c>
    </row>
    <row r="112" spans="1:6" ht="24">
      <c r="A112" s="3115">
        <v>40</v>
      </c>
      <c r="B112" s="3800"/>
      <c r="C112" s="3115" t="s">
        <v>2728</v>
      </c>
      <c r="D112" s="3089" t="s">
        <v>2729</v>
      </c>
      <c r="E112" s="3115">
        <v>0.1</v>
      </c>
      <c r="F112" s="3115">
        <v>15</v>
      </c>
    </row>
    <row r="113" spans="1:6" ht="13.5">
      <c r="A113" s="3115">
        <v>41</v>
      </c>
      <c r="B113" s="3798" t="s">
        <v>2730</v>
      </c>
      <c r="C113" s="3115" t="s">
        <v>2731</v>
      </c>
      <c r="D113" s="3089" t="s">
        <v>2732</v>
      </c>
      <c r="E113" s="3115">
        <v>0.1</v>
      </c>
      <c r="F113" s="3115">
        <v>15</v>
      </c>
    </row>
    <row r="114" spans="1:6" ht="13.5">
      <c r="A114" s="3115">
        <v>42</v>
      </c>
      <c r="B114" s="3798"/>
      <c r="C114" s="3115" t="s">
        <v>2733</v>
      </c>
      <c r="D114" s="3089" t="s">
        <v>2734</v>
      </c>
      <c r="E114" s="3115">
        <v>0.1</v>
      </c>
      <c r="F114" s="3115">
        <v>15</v>
      </c>
    </row>
    <row r="115" spans="1:6" ht="24">
      <c r="A115" s="3115">
        <v>43</v>
      </c>
      <c r="B115" s="3798"/>
      <c r="C115" s="3115" t="s">
        <v>2735</v>
      </c>
      <c r="D115" s="3089" t="s">
        <v>2736</v>
      </c>
      <c r="E115" s="3115">
        <v>0.1</v>
      </c>
      <c r="F115" s="3115">
        <v>15</v>
      </c>
    </row>
    <row r="116" spans="1:6" ht="13.5">
      <c r="A116" s="3115">
        <v>44</v>
      </c>
      <c r="B116" s="3799" t="s">
        <v>2737</v>
      </c>
      <c r="C116" s="3115" t="s">
        <v>2738</v>
      </c>
      <c r="D116" s="3089" t="s">
        <v>2739</v>
      </c>
      <c r="E116" s="3115">
        <v>0.1</v>
      </c>
      <c r="F116" s="3115">
        <v>15</v>
      </c>
    </row>
    <row r="117" spans="1:6" ht="24">
      <c r="A117" s="3115">
        <v>45</v>
      </c>
      <c r="B117" s="3800"/>
      <c r="C117" s="3089" t="s">
        <v>2740</v>
      </c>
      <c r="D117" s="3089" t="s">
        <v>2741</v>
      </c>
      <c r="E117" s="3115">
        <v>0.1</v>
      </c>
      <c r="F117" s="3115">
        <v>15</v>
      </c>
    </row>
    <row r="118" spans="1:6" ht="24">
      <c r="A118" s="3115">
        <v>46</v>
      </c>
      <c r="B118" s="3799" t="s">
        <v>2742</v>
      </c>
      <c r="C118" s="3115" t="s">
        <v>2743</v>
      </c>
      <c r="D118" s="3089" t="s">
        <v>2744</v>
      </c>
      <c r="E118" s="3115">
        <v>0.1</v>
      </c>
      <c r="F118" s="3115">
        <v>15</v>
      </c>
    </row>
    <row r="119" spans="1:6" ht="24">
      <c r="A119" s="3115">
        <v>47</v>
      </c>
      <c r="B119" s="3800"/>
      <c r="C119" s="3115" t="s">
        <v>2745</v>
      </c>
      <c r="D119" s="3089" t="s">
        <v>2746</v>
      </c>
      <c r="E119" s="3115">
        <v>0.1</v>
      </c>
      <c r="F119" s="3115">
        <v>15</v>
      </c>
    </row>
    <row r="120" spans="1:6" ht="13.5">
      <c r="A120" s="3115">
        <v>48</v>
      </c>
      <c r="B120" s="3799" t="s">
        <v>2747</v>
      </c>
      <c r="C120" s="3115" t="s">
        <v>2748</v>
      </c>
      <c r="D120" s="3089" t="s">
        <v>2749</v>
      </c>
      <c r="E120" s="3115">
        <v>0.1</v>
      </c>
      <c r="F120" s="3115">
        <v>15</v>
      </c>
    </row>
    <row r="121" spans="1:6" ht="13.5">
      <c r="A121" s="3115">
        <v>49</v>
      </c>
      <c r="B121" s="3800"/>
      <c r="C121" s="3115" t="s">
        <v>2750</v>
      </c>
      <c r="D121" s="3089" t="s">
        <v>2751</v>
      </c>
      <c r="E121" s="3115">
        <v>0.1</v>
      </c>
      <c r="F121" s="3115">
        <v>15</v>
      </c>
    </row>
    <row r="122" spans="1:6" ht="24">
      <c r="A122" s="3115">
        <v>50</v>
      </c>
      <c r="B122" s="3798" t="s">
        <v>2752</v>
      </c>
      <c r="C122" s="3115" t="s">
        <v>2753</v>
      </c>
      <c r="D122" s="3089" t="s">
        <v>2754</v>
      </c>
      <c r="E122" s="3115">
        <v>0.1</v>
      </c>
      <c r="F122" s="3115">
        <v>15</v>
      </c>
    </row>
    <row r="123" spans="1:6" ht="24">
      <c r="A123" s="3115">
        <v>51</v>
      </c>
      <c r="B123" s="3798"/>
      <c r="C123" s="3115" t="s">
        <v>2755</v>
      </c>
      <c r="D123" s="3089" t="s">
        <v>2756</v>
      </c>
      <c r="E123" s="3115">
        <v>0.1</v>
      </c>
      <c r="F123" s="3115">
        <v>15</v>
      </c>
    </row>
    <row r="124" spans="1:6" ht="24">
      <c r="A124" s="3115">
        <v>52</v>
      </c>
      <c r="B124" s="3798" t="s">
        <v>2757</v>
      </c>
      <c r="C124" s="3115" t="s">
        <v>2758</v>
      </c>
      <c r="D124" s="3089" t="s">
        <v>2759</v>
      </c>
      <c r="E124" s="3115">
        <v>0.1</v>
      </c>
      <c r="F124" s="3115">
        <v>15</v>
      </c>
    </row>
    <row r="125" spans="1:6" ht="24">
      <c r="A125" s="3115">
        <v>53</v>
      </c>
      <c r="B125" s="3798"/>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798" t="s">
        <v>2765</v>
      </c>
      <c r="C127" s="3115" t="s">
        <v>2766</v>
      </c>
      <c r="D127" s="3089" t="s">
        <v>2767</v>
      </c>
      <c r="E127" s="3115">
        <v>0.1</v>
      </c>
      <c r="F127" s="3115">
        <v>15</v>
      </c>
    </row>
    <row r="128" spans="1:6" ht="13.5">
      <c r="A128" s="3115">
        <v>56</v>
      </c>
      <c r="B128" s="3798"/>
      <c r="C128" s="3115" t="s">
        <v>2768</v>
      </c>
      <c r="D128" s="3089" t="s">
        <v>2769</v>
      </c>
      <c r="E128" s="3115">
        <v>0.1</v>
      </c>
      <c r="F128" s="3115">
        <v>15</v>
      </c>
    </row>
    <row r="129" spans="1:6" ht="24">
      <c r="A129" s="3115">
        <v>57</v>
      </c>
      <c r="B129" s="3798"/>
      <c r="C129" s="3115" t="s">
        <v>2770</v>
      </c>
      <c r="D129" s="3089" t="s">
        <v>2771</v>
      </c>
      <c r="E129" s="3115">
        <v>0.1</v>
      </c>
      <c r="F129" s="3115">
        <v>15</v>
      </c>
    </row>
    <row r="130" spans="1:6" ht="24">
      <c r="A130" s="3115">
        <v>58</v>
      </c>
      <c r="B130" s="3798" t="s">
        <v>2772</v>
      </c>
      <c r="C130" s="3115" t="s">
        <v>2773</v>
      </c>
      <c r="D130" s="3089" t="s">
        <v>2774</v>
      </c>
      <c r="E130" s="3115">
        <v>0.1</v>
      </c>
      <c r="F130" s="3115">
        <v>15</v>
      </c>
    </row>
    <row r="131" spans="1:6" ht="13.5">
      <c r="A131" s="3115">
        <v>59</v>
      </c>
      <c r="B131" s="3798"/>
      <c r="C131" s="3115" t="s">
        <v>2775</v>
      </c>
      <c r="D131" s="3089" t="s">
        <v>2776</v>
      </c>
      <c r="E131" s="3115">
        <v>0.1</v>
      </c>
      <c r="F131" s="3115">
        <v>15</v>
      </c>
    </row>
    <row r="132" spans="1:6" ht="13.5">
      <c r="A132" s="3115">
        <v>60</v>
      </c>
      <c r="B132" s="3799" t="s">
        <v>2777</v>
      </c>
      <c r="C132" s="3115" t="s">
        <v>2778</v>
      </c>
      <c r="D132" s="3089" t="s">
        <v>2779</v>
      </c>
      <c r="E132" s="3115">
        <v>0.1</v>
      </c>
      <c r="F132" s="3115">
        <v>15</v>
      </c>
    </row>
    <row r="133" spans="1:6" ht="13.5">
      <c r="A133" s="3115">
        <v>61</v>
      </c>
      <c r="B133" s="3800"/>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798" t="s">
        <v>2785</v>
      </c>
      <c r="C135" s="3115" t="s">
        <v>2786</v>
      </c>
      <c r="D135" s="3089" t="s">
        <v>2787</v>
      </c>
      <c r="E135" s="3115">
        <v>0.1</v>
      </c>
      <c r="F135" s="3115">
        <v>15</v>
      </c>
    </row>
    <row r="136" spans="1:6" ht="13.5">
      <c r="A136" s="3115">
        <v>64</v>
      </c>
      <c r="B136" s="3798"/>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t="e">
        <f>SUMPRODUCT((A95:A184=ROUNDDOWN('基准地价修正-商业'!G3,1))*(B94:M94='基准地价修正-商业'!G2)*(B95:M184))</f>
        <v>#DIV/0!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t="e">
        <f>SUMPRODUCT((A371:A460=ROUNDDOWN('基准地价修正-商业'!G3,1))*(B370:M370='基准地价修正-商业'!G2)*(B371:M460))</f>
        <v>#DIV/0!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41015</v>
      </c>
      <c r="C2" s="2" t="s">
        <v>106</v>
      </c>
      <c r="D2" s="199"/>
      <c r="E2" s="199"/>
      <c r="F2" s="199"/>
      <c r="G2" s="199"/>
    </row>
    <row r="3" spans="1:7" s="200" customFormat="1" ht="18" customHeight="1" thickBot="1">
      <c r="A3" s="203" t="s">
        <v>58</v>
      </c>
      <c r="B3" s="204">
        <f ca="1">ROUND(B2*10000/'数据-汇总表'!E3,0)</f>
        <v>21795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376</v>
      </c>
      <c r="D10" s="845">
        <f>'数据-汇总表'!E6</f>
        <v>18818.8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376</v>
      </c>
      <c r="D19" s="849">
        <f>'数据-汇总表'!E3</f>
        <v>18818.8</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3853</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3853</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8468</v>
      </c>
      <c r="D34" s="217"/>
      <c r="E34" s="220"/>
      <c r="F34" s="257">
        <f>IF('数据-取费表'!B24=0,1,'数据-取费表'!N16)</f>
        <v>1</v>
      </c>
      <c r="G34" s="219" t="s">
        <v>89</v>
      </c>
    </row>
    <row r="35" spans="1:7" ht="13.5" customHeight="1">
      <c r="A35" s="780" t="s">
        <v>351</v>
      </c>
      <c r="B35" s="215" t="s">
        <v>33</v>
      </c>
      <c r="C35" s="220">
        <f>ROUND(C34*F35,0)</f>
        <v>254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376</v>
      </c>
      <c r="D37" s="217">
        <f>'数据-汇总表'!E3</f>
        <v>18818.8</v>
      </c>
      <c r="E37" s="249">
        <f>'数据-取费表'!B35</f>
        <v>200</v>
      </c>
      <c r="F37" s="259"/>
      <c r="G37" s="261" t="s">
        <v>92</v>
      </c>
    </row>
    <row r="38" spans="1:7" ht="13.5" customHeight="1">
      <c r="A38" s="780" t="s">
        <v>354</v>
      </c>
      <c r="B38" s="215" t="s">
        <v>36</v>
      </c>
      <c r="C38" s="220">
        <f>ROUND(C34*F38,0)</f>
        <v>127</v>
      </c>
      <c r="D38" s="220"/>
      <c r="E38" s="220"/>
      <c r="F38" s="259">
        <f>'数据-取费表'!B36</f>
        <v>1.4999999999999999E-2</v>
      </c>
      <c r="G38" s="219" t="s">
        <v>90</v>
      </c>
    </row>
    <row r="39" spans="1:7" s="214" customFormat="1" ht="13.5" customHeight="1">
      <c r="A39" s="777" t="s">
        <v>338</v>
      </c>
      <c r="B39" s="210" t="s">
        <v>77</v>
      </c>
      <c r="C39" s="232">
        <f>ROUND(C33*F20,0)</f>
        <v>185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318</v>
      </c>
      <c r="D42" s="238"/>
      <c r="E42" s="238"/>
      <c r="F42" s="239"/>
      <c r="G42" s="3673" t="s">
        <v>94</v>
      </c>
    </row>
    <row r="43" spans="1:7" ht="13.5" customHeight="1">
      <c r="A43" s="780" t="s">
        <v>347</v>
      </c>
      <c r="B43" s="215" t="s">
        <v>426</v>
      </c>
      <c r="C43" s="238">
        <f ca="1">ROUND(IF('数据-取费表'!B22&lt;=1,C39*F22*'数据-取费表'!B21/2,C39*(POWER((1+F22),'数据-取费表'!B21/2)-1)),0)</f>
        <v>6</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1694</v>
      </c>
      <c r="D45" s="235">
        <f>C47</f>
        <v>3.5999999999999999E-3</v>
      </c>
      <c r="E45" s="236" t="s">
        <v>102</v>
      </c>
      <c r="F45" s="246"/>
      <c r="G45" s="247" t="s">
        <v>434</v>
      </c>
    </row>
    <row r="46" spans="1:7" s="214" customFormat="1" ht="13.5" customHeight="1">
      <c r="A46" s="780" t="s">
        <v>349</v>
      </c>
      <c r="B46" s="248" t="s">
        <v>427</v>
      </c>
      <c r="C46" s="249">
        <f>ROUND((C33+C39)*F27,0)</f>
        <v>1694</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12390</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12018</v>
      </c>
      <c r="D51" s="232"/>
      <c r="E51" s="232"/>
      <c r="F51" s="264"/>
      <c r="G51" s="234" t="s">
        <v>37</v>
      </c>
    </row>
    <row r="52" spans="1:7" s="208" customFormat="1" ht="16.5" thickBot="1">
      <c r="A52" s="265" t="s">
        <v>38</v>
      </c>
      <c r="B52" s="266"/>
      <c r="C52" s="267">
        <f ca="1">C31+C51</f>
        <v>41015</v>
      </c>
      <c r="D52" s="266"/>
      <c r="E52" s="266"/>
      <c r="F52" s="266"/>
      <c r="G52" s="268"/>
    </row>
    <row r="55" spans="1:7" ht="15">
      <c r="B55" s="270" t="s">
        <v>39</v>
      </c>
      <c r="C55" s="271"/>
    </row>
    <row r="56" spans="1:7">
      <c r="B56" s="273" t="s">
        <v>40</v>
      </c>
      <c r="C56" s="274">
        <f ca="1">ROUND(C51/C52,3)</f>
        <v>0.29299999999999998</v>
      </c>
    </row>
    <row r="57" spans="1:7">
      <c r="B57" s="273" t="s">
        <v>41</v>
      </c>
      <c r="C57" s="275">
        <f ca="1">1-C56</f>
        <v>0.70700000000000007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2" t="s">
        <v>2835</v>
      </c>
      <c r="B1" s="3812"/>
      <c r="C1" s="3812"/>
      <c r="D1" s="3812"/>
      <c r="E1" s="3812"/>
      <c r="F1" s="3812"/>
      <c r="G1" s="3813"/>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10" t="s">
        <v>2862</v>
      </c>
      <c r="B3" s="3227"/>
      <c r="C3" s="3228" t="s">
        <v>2807</v>
      </c>
      <c r="D3" s="3228" t="s">
        <v>2863</v>
      </c>
      <c r="E3" s="3228" t="s">
        <v>2809</v>
      </c>
      <c r="F3" s="3228" t="s">
        <v>2864</v>
      </c>
      <c r="G3" s="3228" t="s">
        <v>2627</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11"/>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4" t="s">
        <v>3177</v>
      </c>
      <c r="B1" s="3814"/>
    </row>
    <row r="2" spans="1:7" ht="14.25" thickBot="1">
      <c r="A2" s="3252"/>
      <c r="B2" s="3252"/>
    </row>
    <row r="3" spans="1:7" ht="14.25" thickBot="1">
      <c r="A3" s="3252"/>
      <c r="B3" s="3252"/>
      <c r="C3" s="3253" t="s">
        <v>2807</v>
      </c>
      <c r="D3" s="3253" t="s">
        <v>2863</v>
      </c>
      <c r="E3" s="3253" t="s">
        <v>2809</v>
      </c>
      <c r="F3" s="3253" t="s">
        <v>2864</v>
      </c>
      <c r="G3" s="3253" t="s">
        <v>2627</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5" t="s">
        <v>3228</v>
      </c>
      <c r="B1" s="3815"/>
      <c r="C1" s="3815"/>
      <c r="D1" s="3815"/>
      <c r="E1" s="3815"/>
      <c r="F1" s="3816"/>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'基准地价修正-商业'!G23</f>
        <v>45253</v>
      </c>
      <c r="B1" s="3207" t="s">
        <v>3368</v>
      </c>
      <c r="C1" s="3208"/>
      <c r="D1" s="3208"/>
      <c r="E1" s="3208"/>
      <c r="F1" s="3208"/>
      <c r="G1" s="3208"/>
      <c r="H1" s="3208"/>
      <c r="I1" s="3208"/>
      <c r="J1" s="3162"/>
      <c r="K1" s="3208" t="s">
        <v>454</v>
      </c>
      <c r="L1" s="3208"/>
      <c r="M1" s="3208"/>
      <c r="N1" s="3208"/>
      <c r="O1" s="3208"/>
      <c r="P1" s="3208"/>
      <c r="Q1" s="3162"/>
      <c r="R1" s="3817" t="s">
        <v>456</v>
      </c>
      <c r="S1" s="3818"/>
      <c r="T1" s="3818"/>
      <c r="U1" s="3818"/>
      <c r="V1" s="3818"/>
      <c r="W1" s="3818"/>
      <c r="X1" s="3162"/>
      <c r="Y1" s="3817" t="s">
        <v>457</v>
      </c>
      <c r="Z1" s="3818"/>
      <c r="AA1" s="3818"/>
      <c r="AB1" s="3818"/>
      <c r="AC1" s="3818"/>
      <c r="AD1" s="3818"/>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3372</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3373</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5" t="s">
        <v>3374</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3366</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3367</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3365</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3364</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3360</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3351</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2816</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2817</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2818</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2819</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2820</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3362</v>
      </c>
    </row>
    <row r="21" spans="1:30" s="3006" customFormat="1">
      <c r="I21" s="3205" t="s">
        <v>2821</v>
      </c>
    </row>
    <row r="22" spans="1:30" s="3006" customFormat="1"/>
    <row r="23" spans="1:30" s="3206" customFormat="1" ht="12.75">
      <c r="B23" s="3207" t="s">
        <v>3369</v>
      </c>
      <c r="C23" s="3208"/>
      <c r="D23" s="3208"/>
      <c r="E23" s="3208"/>
      <c r="F23" s="3208"/>
      <c r="G23" s="3208"/>
      <c r="H23" s="3208"/>
      <c r="I23" s="3208"/>
      <c r="J23" s="3162"/>
      <c r="K23" s="3208" t="s">
        <v>2822</v>
      </c>
      <c r="L23" s="3208"/>
      <c r="M23" s="3208"/>
      <c r="N23" s="3208"/>
      <c r="O23" s="3208"/>
      <c r="P23" s="3208"/>
      <c r="Q23" s="3162"/>
      <c r="R23" s="3817" t="s">
        <v>2823</v>
      </c>
      <c r="S23" s="3818"/>
      <c r="T23" s="3818"/>
      <c r="U23" s="3818"/>
      <c r="V23" s="3818"/>
      <c r="W23" s="3818"/>
      <c r="X23" s="3162"/>
      <c r="Y23" s="3817" t="s">
        <v>2824</v>
      </c>
      <c r="Z23" s="3818"/>
      <c r="AA23" s="3818"/>
      <c r="AB23" s="3818"/>
      <c r="AC23" s="3818"/>
      <c r="AD23" s="3818"/>
    </row>
    <row r="24" spans="1:30" s="3140" customFormat="1" ht="14.25" thickBot="1">
      <c r="B24" s="3141"/>
      <c r="C24" s="3142"/>
      <c r="D24" s="3143" t="s">
        <v>2825</v>
      </c>
      <c r="E24" s="3144" t="s">
        <v>2826</v>
      </c>
      <c r="F24" s="3144" t="s">
        <v>2827</v>
      </c>
      <c r="G24" s="3144" t="s">
        <v>2828</v>
      </c>
      <c r="H24" s="3144"/>
      <c r="I24" s="3144" t="s">
        <v>2829</v>
      </c>
      <c r="J24" s="3145"/>
      <c r="K24" s="3143" t="s">
        <v>2825</v>
      </c>
      <c r="L24" s="3144" t="s">
        <v>2826</v>
      </c>
      <c r="M24" s="3144" t="s">
        <v>2827</v>
      </c>
      <c r="N24" s="3144" t="s">
        <v>2828</v>
      </c>
      <c r="O24" s="3144"/>
      <c r="P24" s="3144" t="s">
        <v>2829</v>
      </c>
      <c r="Q24" s="3145"/>
      <c r="R24" s="3143" t="s">
        <v>2825</v>
      </c>
      <c r="S24" s="3144" t="s">
        <v>2826</v>
      </c>
      <c r="T24" s="3144" t="s">
        <v>2827</v>
      </c>
      <c r="U24" s="3144" t="s">
        <v>2828</v>
      </c>
      <c r="V24" s="3144"/>
      <c r="W24" s="3144" t="s">
        <v>2829</v>
      </c>
      <c r="X24" s="3145"/>
      <c r="Y24" s="3143" t="s">
        <v>2825</v>
      </c>
      <c r="Z24" s="3144" t="s">
        <v>2826</v>
      </c>
      <c r="AA24" s="3144" t="s">
        <v>2827</v>
      </c>
      <c r="AB24" s="3144" t="s">
        <v>2828</v>
      </c>
      <c r="AC24" s="3144"/>
      <c r="AD24" s="3144" t="s">
        <v>2829</v>
      </c>
    </row>
    <row r="25" spans="1:30" s="3158" customFormat="1" ht="12.75">
      <c r="A25" s="3146" t="s">
        <v>2830</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3372</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3373</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5" t="s">
        <v>3374</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3370</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3371</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3365</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3364</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3361</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3351</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2831</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2832</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2833</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2834</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2820</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2305</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workbookViewId="0">
      <selection activeCell="L27" sqref="L27"/>
    </sheetView>
  </sheetViews>
  <sheetFormatPr defaultRowHeight="13.5"/>
  <cols>
    <col min="2" max="2" width="14.25" customWidth="1"/>
  </cols>
  <sheetData>
    <row r="1" spans="1:2">
      <c r="A1" s="3446" t="s">
        <v>3376</v>
      </c>
    </row>
    <row r="2" spans="1:2">
      <c r="A2" s="3446" t="s">
        <v>3377</v>
      </c>
      <c r="B2" s="3446" t="s">
        <v>3378</v>
      </c>
    </row>
    <row r="3" spans="1:2">
      <c r="A3" s="3446" t="s">
        <v>3379</v>
      </c>
      <c r="B3">
        <v>212829.68700000001</v>
      </c>
    </row>
    <row r="4" spans="1:2">
      <c r="A4" s="3446" t="s">
        <v>3380</v>
      </c>
      <c r="B4" s="3446" t="s">
        <v>3381</v>
      </c>
    </row>
    <row r="5" spans="1:2">
      <c r="A5" s="3446" t="s">
        <v>3382</v>
      </c>
      <c r="B5" s="3446" t="s">
        <v>3383</v>
      </c>
    </row>
    <row r="6" spans="1:2">
      <c r="A6" s="3446" t="s">
        <v>3384</v>
      </c>
      <c r="B6">
        <v>347895</v>
      </c>
    </row>
    <row r="7" spans="1:2">
      <c r="A7" s="3446" t="s">
        <v>3385</v>
      </c>
      <c r="B7" s="3447">
        <v>43087</v>
      </c>
    </row>
    <row r="41" spans="1:3">
      <c r="A41" s="3446" t="s">
        <v>3386</v>
      </c>
      <c r="B41" s="3446" t="s">
        <v>3387</v>
      </c>
    </row>
    <row r="42" spans="1:3">
      <c r="A42" s="3446" t="s">
        <v>3388</v>
      </c>
      <c r="B42">
        <v>216429.68700000001</v>
      </c>
    </row>
    <row r="43" spans="1:3">
      <c r="A43" s="3446" t="s">
        <v>3389</v>
      </c>
      <c r="B43">
        <v>212829.68700000001</v>
      </c>
    </row>
    <row r="44" spans="1:3">
      <c r="A44" s="3446" t="s">
        <v>3390</v>
      </c>
      <c r="B44">
        <v>3600</v>
      </c>
    </row>
    <row r="45" spans="1:3">
      <c r="A45" s="3446" t="s">
        <v>3391</v>
      </c>
      <c r="B45">
        <v>347895</v>
      </c>
    </row>
    <row r="46" spans="1:3">
      <c r="A46" s="3446" t="s">
        <v>3392</v>
      </c>
      <c r="B46">
        <v>345015</v>
      </c>
    </row>
    <row r="47" spans="1:3">
      <c r="B47" s="3446" t="s">
        <v>2548</v>
      </c>
      <c r="C47">
        <v>251580</v>
      </c>
    </row>
    <row r="48" spans="1:3">
      <c r="B48" s="3446" t="s">
        <v>3393</v>
      </c>
      <c r="C48">
        <v>93435</v>
      </c>
    </row>
    <row r="49" spans="1:3">
      <c r="A49" s="3446" t="s">
        <v>3395</v>
      </c>
      <c r="B49" s="3446">
        <v>0</v>
      </c>
    </row>
    <row r="50" spans="1:3">
      <c r="A50" s="3446" t="s">
        <v>3394</v>
      </c>
      <c r="B50">
        <v>2880</v>
      </c>
      <c r="C50" s="3446" t="s">
        <v>3401</v>
      </c>
    </row>
    <row r="51" spans="1:3">
      <c r="A51" s="3446" t="s">
        <v>3396</v>
      </c>
      <c r="B51">
        <v>860000</v>
      </c>
    </row>
    <row r="52" spans="1:3">
      <c r="A52" s="3446" t="s">
        <v>3397</v>
      </c>
      <c r="B52">
        <v>24784</v>
      </c>
    </row>
    <row r="53" spans="1:3">
      <c r="A53" s="3446" t="s">
        <v>3398</v>
      </c>
      <c r="B53" s="3447">
        <v>43426</v>
      </c>
    </row>
    <row r="54" spans="1:3">
      <c r="A54" s="3446" t="s">
        <v>3399</v>
      </c>
      <c r="B54" s="3447">
        <v>44522</v>
      </c>
    </row>
    <row r="55" spans="1:3">
      <c r="A55" s="3446" t="s">
        <v>3400</v>
      </c>
      <c r="B55">
        <v>52024</v>
      </c>
    </row>
    <row r="56" spans="1:3">
      <c r="A56" s="3446" t="s">
        <v>3402</v>
      </c>
    </row>
    <row r="57" spans="1:3">
      <c r="A57" s="3446" t="s">
        <v>3385</v>
      </c>
      <c r="B57" s="3447">
        <v>43087</v>
      </c>
    </row>
    <row r="59" spans="1:3">
      <c r="A59" s="3446" t="s">
        <v>3431</v>
      </c>
      <c r="B59" s="3446" t="s">
        <v>3387</v>
      </c>
    </row>
    <row r="60" spans="1:3">
      <c r="A60" s="3446" t="s">
        <v>3432</v>
      </c>
      <c r="B60" s="3446" t="s">
        <v>3433</v>
      </c>
    </row>
    <row r="62" spans="1:3">
      <c r="A62" s="3446" t="s">
        <v>3403</v>
      </c>
      <c r="B62" s="3446" t="s">
        <v>3387</v>
      </c>
    </row>
    <row r="63" spans="1:3">
      <c r="A63" s="3446" t="s">
        <v>3404</v>
      </c>
      <c r="B63">
        <v>622842.78</v>
      </c>
    </row>
    <row r="64" spans="1:3">
      <c r="A64" s="3446" t="s">
        <v>3392</v>
      </c>
      <c r="B64">
        <v>345015</v>
      </c>
    </row>
    <row r="65" spans="1:3">
      <c r="B65" s="3446" t="s">
        <v>3405</v>
      </c>
      <c r="C65">
        <v>246932.11</v>
      </c>
    </row>
    <row r="66" spans="1:3">
      <c r="B66" s="3446" t="s">
        <v>3406</v>
      </c>
      <c r="C66">
        <v>11823.22</v>
      </c>
    </row>
    <row r="67" spans="1:3">
      <c r="B67" s="3446" t="s">
        <v>3407</v>
      </c>
      <c r="C67">
        <v>6646.2</v>
      </c>
    </row>
    <row r="68" spans="1:3">
      <c r="B68" s="3446" t="s">
        <v>3407</v>
      </c>
      <c r="C68">
        <v>5237.47</v>
      </c>
    </row>
    <row r="69" spans="1:3">
      <c r="B69" s="3446" t="s">
        <v>3408</v>
      </c>
      <c r="C69">
        <v>74076</v>
      </c>
    </row>
    <row r="70" spans="1:3">
      <c r="B70" s="3446" t="s">
        <v>3409</v>
      </c>
      <c r="C70">
        <v>200</v>
      </c>
    </row>
    <row r="71" spans="1:3">
      <c r="B71" s="3446" t="s">
        <v>3410</v>
      </c>
      <c r="C71">
        <v>100</v>
      </c>
    </row>
    <row r="72" spans="1:3">
      <c r="A72" s="3446" t="s">
        <v>3395</v>
      </c>
      <c r="B72">
        <v>277827.78000000003</v>
      </c>
    </row>
    <row r="73" spans="1:3">
      <c r="B73" s="3446" t="s">
        <v>3411</v>
      </c>
      <c r="C73">
        <v>112351.43</v>
      </c>
    </row>
    <row r="74" spans="1:3">
      <c r="B74" s="3446" t="s">
        <v>3412</v>
      </c>
      <c r="C74">
        <v>57612.98</v>
      </c>
    </row>
    <row r="75" spans="1:3">
      <c r="B75" s="3446" t="s">
        <v>3413</v>
      </c>
      <c r="C75">
        <v>100</v>
      </c>
    </row>
    <row r="76" spans="1:3">
      <c r="B76" s="3446" t="s">
        <v>3414</v>
      </c>
      <c r="C76">
        <v>61.45</v>
      </c>
    </row>
    <row r="77" spans="1:3">
      <c r="B77" s="3446" t="s">
        <v>3415</v>
      </c>
      <c r="C77">
        <v>107701.92</v>
      </c>
    </row>
    <row r="78" spans="1:3">
      <c r="A78" s="3446" t="s">
        <v>3416</v>
      </c>
      <c r="B78" s="3446" t="s">
        <v>3417</v>
      </c>
    </row>
    <row r="79" spans="1:3">
      <c r="A79" s="3446" t="s">
        <v>3418</v>
      </c>
      <c r="B79">
        <v>17616.5792</v>
      </c>
    </row>
    <row r="81" spans="1:3">
      <c r="A81" s="3446" t="s">
        <v>3419</v>
      </c>
      <c r="B81" s="3446" t="s">
        <v>3387</v>
      </c>
    </row>
    <row r="82" spans="1:3">
      <c r="A82" s="3446" t="s">
        <v>3388</v>
      </c>
      <c r="B82">
        <v>624467.53</v>
      </c>
    </row>
    <row r="83" spans="1:3">
      <c r="A83" s="3446" t="s">
        <v>3392</v>
      </c>
      <c r="B83">
        <v>345015</v>
      </c>
    </row>
    <row r="84" spans="1:3">
      <c r="B84" s="3446" t="s">
        <v>3405</v>
      </c>
      <c r="C84">
        <v>246954.11</v>
      </c>
    </row>
    <row r="85" spans="1:3">
      <c r="B85" s="3446" t="s">
        <v>3406</v>
      </c>
      <c r="C85">
        <v>11844.77</v>
      </c>
    </row>
    <row r="86" spans="1:3">
      <c r="B86" s="3446" t="s">
        <v>3407</v>
      </c>
      <c r="C86">
        <v>6591.2</v>
      </c>
    </row>
    <row r="87" spans="1:3">
      <c r="B87" s="3446" t="s">
        <v>3420</v>
      </c>
      <c r="C87">
        <v>5237.47</v>
      </c>
    </row>
    <row r="88" spans="1:3">
      <c r="B88" s="3446" t="s">
        <v>3421</v>
      </c>
      <c r="C88">
        <v>74076</v>
      </c>
    </row>
    <row r="89" spans="1:3">
      <c r="B89" s="3446" t="s">
        <v>3409</v>
      </c>
      <c r="C89">
        <v>261.45</v>
      </c>
    </row>
    <row r="90" spans="1:3">
      <c r="B90" s="3446" t="s">
        <v>3410</v>
      </c>
      <c r="C90">
        <v>50</v>
      </c>
    </row>
    <row r="91" spans="1:3">
      <c r="A91" s="3446" t="s">
        <v>3395</v>
      </c>
      <c r="B91">
        <v>280152.53000000003</v>
      </c>
    </row>
    <row r="92" spans="1:3">
      <c r="B92" s="3446" t="s">
        <v>3422</v>
      </c>
      <c r="C92">
        <v>96976.27</v>
      </c>
    </row>
    <row r="93" spans="1:3">
      <c r="B93" s="3446" t="s">
        <v>3412</v>
      </c>
      <c r="C93">
        <v>123598.36</v>
      </c>
    </row>
    <row r="94" spans="1:3">
      <c r="B94" s="3446" t="s">
        <v>3423</v>
      </c>
      <c r="C94">
        <v>100</v>
      </c>
    </row>
    <row r="95" spans="1:3">
      <c r="B95" s="3446" t="s">
        <v>3424</v>
      </c>
      <c r="C95">
        <v>59477.9</v>
      </c>
    </row>
    <row r="96" spans="1:3">
      <c r="A96" s="3446" t="s">
        <v>3425</v>
      </c>
      <c r="B96">
        <v>6725.0962</v>
      </c>
    </row>
    <row r="97" spans="1:3">
      <c r="A97" s="3446" t="s">
        <v>3385</v>
      </c>
      <c r="B97" s="3447">
        <v>43424</v>
      </c>
    </row>
    <row r="99" spans="1:3">
      <c r="A99" s="3446" t="s">
        <v>3426</v>
      </c>
      <c r="B99" s="3446" t="s">
        <v>3387</v>
      </c>
    </row>
    <row r="100" spans="1:3">
      <c r="A100" s="3446" t="s">
        <v>3388</v>
      </c>
      <c r="B100">
        <v>647697.53</v>
      </c>
    </row>
    <row r="101" spans="1:3">
      <c r="A101" s="3446" t="s">
        <v>3392</v>
      </c>
      <c r="B101">
        <v>345015</v>
      </c>
    </row>
    <row r="102" spans="1:3">
      <c r="B102" s="3446" t="s">
        <v>3405</v>
      </c>
      <c r="C102">
        <v>246857.52</v>
      </c>
    </row>
    <row r="103" spans="1:3">
      <c r="B103" s="3446" t="s">
        <v>3406</v>
      </c>
      <c r="C103">
        <v>11844.77</v>
      </c>
    </row>
    <row r="104" spans="1:3">
      <c r="B104" s="3446" t="s">
        <v>2808</v>
      </c>
      <c r="C104">
        <v>6591.2</v>
      </c>
    </row>
    <row r="105" spans="1:3">
      <c r="B105" s="3446" t="s">
        <v>3420</v>
      </c>
      <c r="C105">
        <v>5237.47</v>
      </c>
    </row>
    <row r="106" spans="1:3">
      <c r="B106" s="3446" t="s">
        <v>3427</v>
      </c>
      <c r="C106">
        <v>74076</v>
      </c>
    </row>
    <row r="107" spans="1:3">
      <c r="B107" s="3446" t="s">
        <v>3409</v>
      </c>
      <c r="C107">
        <v>358.04</v>
      </c>
    </row>
    <row r="108" spans="1:3">
      <c r="B108" s="3446" t="s">
        <v>3428</v>
      </c>
      <c r="C108">
        <v>50</v>
      </c>
    </row>
    <row r="109" spans="1:3">
      <c r="A109" s="3446" t="s">
        <v>3395</v>
      </c>
      <c r="B109">
        <v>302682.53000000003</v>
      </c>
    </row>
    <row r="110" spans="1:3">
      <c r="B110" s="3446" t="s">
        <v>3429</v>
      </c>
      <c r="C110">
        <v>101748.52</v>
      </c>
    </row>
    <row r="111" spans="1:3">
      <c r="B111" s="3446" t="s">
        <v>3412</v>
      </c>
      <c r="C111">
        <v>132707.32999999999</v>
      </c>
    </row>
    <row r="112" spans="1:3">
      <c r="B112" s="3446" t="s">
        <v>3423</v>
      </c>
      <c r="C112">
        <v>100</v>
      </c>
    </row>
    <row r="113" spans="1:3">
      <c r="B113" s="3446" t="s">
        <v>3430</v>
      </c>
      <c r="C113">
        <v>68126.679999999993</v>
      </c>
    </row>
    <row r="114" spans="1:3">
      <c r="A114" s="3446" t="s">
        <v>3425</v>
      </c>
      <c r="B114">
        <v>1572.3164999999999</v>
      </c>
    </row>
    <row r="115" spans="1:3">
      <c r="A115" s="3446" t="s">
        <v>3385</v>
      </c>
      <c r="B115" s="3447">
        <v>43678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8" t="str">
        <f>IF(项目基本情况!B9="房地产市场价值","估价结果一览表","结果表-2")</f>
        <v>估价结果一览表</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房地产市场价值</v>
      </c>
      <c r="I2" s="3509"/>
    </row>
    <row r="3" spans="1:9" ht="15">
      <c r="A3" s="3504"/>
      <c r="B3" s="3504"/>
      <c r="C3" s="3504"/>
      <c r="D3" s="854" t="s">
        <v>925</v>
      </c>
      <c r="E3" s="854" t="s">
        <v>931</v>
      </c>
      <c r="F3" s="854" t="s">
        <v>925</v>
      </c>
      <c r="G3" s="854" t="s">
        <v>926</v>
      </c>
      <c r="H3" s="854" t="s">
        <v>925</v>
      </c>
      <c r="I3" s="854" t="s">
        <v>926</v>
      </c>
    </row>
    <row r="4" spans="1:9" ht="30">
      <c r="A4" s="1505" t="str">
        <f>项目基本情况!S2</f>
        <v>北京市石景山区秀府西街5号院12号楼房地产</v>
      </c>
      <c r="B4" s="854">
        <f>项目基本情况!C17</f>
        <v>18818.8</v>
      </c>
      <c r="C4" s="854">
        <f>项目基本情况!C18</f>
        <v>0</v>
      </c>
      <c r="D4" s="854" t="e">
        <f ca="1">结果表!D118</f>
        <v>#REF!</v>
      </c>
      <c r="E4" s="854" t="e">
        <f ca="1">结果表!E118</f>
        <v>#REF!</v>
      </c>
      <c r="F4" s="854" t="e">
        <f ca="1">结果表!F118</f>
        <v>#REF!</v>
      </c>
      <c r="G4" s="854" t="e">
        <f ca="1">结果表!G118</f>
        <v>#REF!</v>
      </c>
      <c r="H4" s="854">
        <f ca="1">结果表!H118</f>
        <v>26835</v>
      </c>
      <c r="I4" s="854">
        <f ca="1">结果表!I118</f>
        <v>14260</v>
      </c>
    </row>
    <row r="5" spans="1:9" ht="30" customHeight="1">
      <c r="A5" s="3504" t="s">
        <v>927</v>
      </c>
      <c r="B5" s="3504"/>
      <c r="C5" s="3504"/>
      <c r="D5" s="3504" t="e">
        <f ca="1">结果表!D119</f>
        <v>#REF!</v>
      </c>
      <c r="E5" s="3504"/>
      <c r="F5" s="3504" t="e">
        <f ca="1">结果表!F119</f>
        <v>#REF!</v>
      </c>
      <c r="G5" s="3504"/>
      <c r="H5" s="3504" t="str">
        <f ca="1">结果表!H119</f>
        <v>贰亿陆仟捌佰叁拾伍万元整</v>
      </c>
      <c r="I5" s="3504"/>
    </row>
    <row r="6" spans="1:9" ht="15.75">
      <c r="A6" s="3503" t="str">
        <f>结果表!A120</f>
        <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
      </c>
      <c r="B8" s="3503"/>
      <c r="C8" s="3503"/>
      <c r="D8" s="3503">
        <f ca="1">结果表!D122</f>
        <v>26835</v>
      </c>
      <c r="E8" s="3503"/>
      <c r="F8" s="3503"/>
      <c r="G8" s="3503"/>
      <c r="H8" s="3503"/>
      <c r="I8" s="3503"/>
    </row>
    <row r="9" spans="1:9" ht="15">
      <c r="A9" s="3504" t="s">
        <v>927</v>
      </c>
      <c r="B9" s="3504"/>
      <c r="C9" s="3504"/>
      <c r="D9" s="3504" t="str">
        <f ca="1">结果表!D123</f>
        <v>贰亿陆仟捌佰叁拾伍万元整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O35" sqref="O35"/>
    </sheetView>
  </sheetViews>
  <sheetFormatPr defaultRowHeight="13.5"/>
  <cols>
    <col min="10" max="10" width="14.75" customWidth="1"/>
  </cols>
  <sheetData>
    <row r="1" spans="1:13">
      <c r="A1" s="3830" t="s">
        <v>3436</v>
      </c>
      <c r="B1" s="3831"/>
      <c r="C1" s="3831"/>
      <c r="D1" s="3831"/>
      <c r="E1" s="3831"/>
      <c r="F1" s="3832"/>
      <c r="I1" s="3450" t="s">
        <v>3444</v>
      </c>
      <c r="J1" s="3473" t="s">
        <v>3496</v>
      </c>
      <c r="K1" s="3474" t="s">
        <v>3497</v>
      </c>
    </row>
    <row r="2" spans="1:13">
      <c r="A2" s="3833"/>
      <c r="B2" s="3834"/>
      <c r="C2" s="3834"/>
      <c r="D2" s="3834"/>
      <c r="E2" s="3834"/>
      <c r="F2" s="3835"/>
      <c r="H2" s="3446" t="s">
        <v>3498</v>
      </c>
      <c r="I2" s="3450" t="s">
        <v>3445</v>
      </c>
      <c r="J2" s="3476">
        <v>332.9</v>
      </c>
      <c r="K2" s="3474" t="s">
        <v>3446</v>
      </c>
    </row>
    <row r="3" spans="1:13">
      <c r="A3" s="3833"/>
      <c r="B3" s="3834"/>
      <c r="C3" s="3834"/>
      <c r="D3" s="3834"/>
      <c r="E3" s="3834"/>
      <c r="F3" s="3835"/>
      <c r="I3" s="3450" t="s">
        <v>3447</v>
      </c>
      <c r="J3" s="3476">
        <v>32.44</v>
      </c>
      <c r="K3" s="3476" t="s">
        <v>3448</v>
      </c>
    </row>
    <row r="4" spans="1:13">
      <c r="A4" s="3833"/>
      <c r="B4" s="3834"/>
      <c r="C4" s="3834"/>
      <c r="D4" s="3834"/>
      <c r="E4" s="3834"/>
      <c r="F4" s="3835"/>
      <c r="H4" s="3446" t="s">
        <v>3499</v>
      </c>
      <c r="I4" s="3450" t="s">
        <v>3449</v>
      </c>
      <c r="J4" s="3476">
        <v>221.49</v>
      </c>
      <c r="K4" s="3476" t="s">
        <v>3450</v>
      </c>
    </row>
    <row r="5" spans="1:13">
      <c r="A5" s="3833"/>
      <c r="B5" s="3834"/>
      <c r="C5" s="3834"/>
      <c r="D5" s="3834"/>
      <c r="E5" s="3834"/>
      <c r="F5" s="3835"/>
      <c r="I5" s="3450" t="s">
        <v>3451</v>
      </c>
      <c r="J5" s="3476">
        <v>81.62</v>
      </c>
      <c r="K5" s="3476" t="s">
        <v>3452</v>
      </c>
    </row>
    <row r="6" spans="1:13">
      <c r="A6" s="3833"/>
      <c r="B6" s="3834"/>
      <c r="C6" s="3834"/>
      <c r="D6" s="3834"/>
      <c r="E6" s="3834"/>
      <c r="F6" s="3835"/>
      <c r="I6" s="3450" t="s">
        <v>3453</v>
      </c>
      <c r="J6" s="3476">
        <v>924.11</v>
      </c>
      <c r="K6" s="3476" t="s">
        <v>3454</v>
      </c>
    </row>
    <row r="7" spans="1:13">
      <c r="A7" s="3833"/>
      <c r="B7" s="3834"/>
      <c r="C7" s="3834"/>
      <c r="D7" s="3834"/>
      <c r="E7" s="3834"/>
      <c r="F7" s="3835"/>
      <c r="I7" s="3450" t="s">
        <v>3455</v>
      </c>
      <c r="J7" s="3476"/>
      <c r="K7" s="3476"/>
      <c r="M7" s="3446"/>
    </row>
    <row r="8" spans="1:13">
      <c r="A8" s="3833"/>
      <c r="B8" s="3834"/>
      <c r="C8" s="3834"/>
      <c r="D8" s="3834"/>
      <c r="E8" s="3834"/>
      <c r="F8" s="3835"/>
      <c r="I8" s="3450" t="s">
        <v>3456</v>
      </c>
      <c r="J8" s="3476">
        <v>872.05</v>
      </c>
      <c r="K8" s="3476" t="s">
        <v>3457</v>
      </c>
    </row>
    <row r="9" spans="1:13">
      <c r="A9" s="3833"/>
      <c r="B9" s="3834"/>
      <c r="C9" s="3834"/>
      <c r="D9" s="3834"/>
      <c r="E9" s="3834"/>
      <c r="F9" s="3835"/>
      <c r="I9" s="3450" t="s">
        <v>3458</v>
      </c>
      <c r="J9" s="3476">
        <v>912.74</v>
      </c>
      <c r="K9" s="3476" t="s">
        <v>3459</v>
      </c>
    </row>
    <row r="10" spans="1:13">
      <c r="A10" s="3833"/>
      <c r="B10" s="3834"/>
      <c r="C10" s="3834"/>
      <c r="D10" s="3834"/>
      <c r="E10" s="3834"/>
      <c r="F10" s="3835"/>
      <c r="I10" s="3450" t="s">
        <v>3460</v>
      </c>
      <c r="J10" s="3476">
        <v>920.44</v>
      </c>
      <c r="K10" s="3476" t="s">
        <v>3461</v>
      </c>
    </row>
    <row r="11" spans="1:13">
      <c r="A11" s="3833"/>
      <c r="B11" s="3834"/>
      <c r="C11" s="3834"/>
      <c r="D11" s="3834"/>
      <c r="E11" s="3834"/>
      <c r="F11" s="3835"/>
      <c r="I11" s="3450" t="s">
        <v>3462</v>
      </c>
      <c r="J11" s="3476">
        <v>833.86</v>
      </c>
      <c r="K11" s="3476" t="s">
        <v>3463</v>
      </c>
    </row>
    <row r="12" spans="1:13" ht="38.25" customHeight="1">
      <c r="A12" s="3836"/>
      <c r="B12" s="3837"/>
      <c r="C12" s="3837"/>
      <c r="D12" s="3837"/>
      <c r="E12" s="3837"/>
      <c r="F12" s="3838"/>
      <c r="I12" s="3450" t="s">
        <v>3464</v>
      </c>
      <c r="J12" s="3476"/>
      <c r="K12" s="3476"/>
    </row>
    <row r="13" spans="1:13">
      <c r="I13" s="3450" t="s">
        <v>3465</v>
      </c>
      <c r="J13" s="3476">
        <v>872.05</v>
      </c>
      <c r="K13" s="3476" t="s">
        <v>3457</v>
      </c>
    </row>
    <row r="14" spans="1:13">
      <c r="A14" s="3448" t="s">
        <v>3434</v>
      </c>
      <c r="B14" s="3449" t="s">
        <v>3437</v>
      </c>
      <c r="I14" s="3450" t="s">
        <v>3466</v>
      </c>
      <c r="J14" s="3476">
        <v>846.4</v>
      </c>
      <c r="K14" s="3476" t="s">
        <v>3467</v>
      </c>
    </row>
    <row r="15" spans="1:13">
      <c r="A15" s="3448" t="s">
        <v>3435</v>
      </c>
      <c r="B15" s="3449">
        <v>2679.89</v>
      </c>
      <c r="I15" s="3450" t="s">
        <v>3468</v>
      </c>
      <c r="J15" s="3476">
        <v>920.44</v>
      </c>
      <c r="K15" s="3476" t="s">
        <v>3461</v>
      </c>
    </row>
    <row r="16" spans="1:13">
      <c r="A16" s="3448" t="s">
        <v>3438</v>
      </c>
      <c r="B16" s="3449">
        <v>3321.63</v>
      </c>
      <c r="I16" s="3450" t="s">
        <v>3469</v>
      </c>
      <c r="J16" s="3476">
        <v>833.86</v>
      </c>
      <c r="K16" s="3476" t="s">
        <v>3463</v>
      </c>
    </row>
    <row r="17" spans="1:11">
      <c r="A17" s="3448" t="s">
        <v>3439</v>
      </c>
      <c r="B17" s="3449">
        <v>3299.23</v>
      </c>
      <c r="I17" s="3450" t="s">
        <v>3470</v>
      </c>
      <c r="J17" s="3476"/>
      <c r="K17" s="3476"/>
    </row>
    <row r="18" spans="1:11">
      <c r="A18" s="3448" t="s">
        <v>3440</v>
      </c>
      <c r="B18" s="3449">
        <v>3290.9</v>
      </c>
      <c r="I18" s="3450" t="s">
        <v>3471</v>
      </c>
      <c r="J18" s="3476">
        <v>856.6</v>
      </c>
      <c r="K18" s="3476" t="s">
        <v>3472</v>
      </c>
    </row>
    <row r="19" spans="1:11">
      <c r="A19" s="3448" t="s">
        <v>3441</v>
      </c>
      <c r="B19" s="3449">
        <v>3260.03</v>
      </c>
      <c r="I19" s="3450" t="s">
        <v>3473</v>
      </c>
      <c r="J19" s="3476">
        <v>882.98</v>
      </c>
      <c r="K19" s="3476" t="s">
        <v>3474</v>
      </c>
    </row>
    <row r="20" spans="1:11">
      <c r="A20" s="3448" t="s">
        <v>3442</v>
      </c>
      <c r="B20" s="3449">
        <v>3260.03</v>
      </c>
      <c r="I20" s="3450" t="s">
        <v>3475</v>
      </c>
      <c r="J20" s="3476">
        <v>920.44</v>
      </c>
      <c r="K20" s="3476" t="s">
        <v>3461</v>
      </c>
    </row>
    <row r="21" spans="1:11">
      <c r="A21" s="3448" t="s">
        <v>3443</v>
      </c>
      <c r="B21" s="3449">
        <v>222.95</v>
      </c>
      <c r="I21" s="3450" t="s">
        <v>3476</v>
      </c>
      <c r="J21" s="3476">
        <v>640.75</v>
      </c>
      <c r="K21" s="3476" t="s">
        <v>3477</v>
      </c>
    </row>
    <row r="22" spans="1:11">
      <c r="I22" s="3450" t="s">
        <v>3478</v>
      </c>
      <c r="J22" s="3476"/>
      <c r="K22" s="3476"/>
    </row>
    <row r="23" spans="1:11">
      <c r="I23" s="3450" t="s">
        <v>3479</v>
      </c>
      <c r="J23" s="3476">
        <v>664.45</v>
      </c>
      <c r="K23" s="3476" t="s">
        <v>3480</v>
      </c>
    </row>
    <row r="24" spans="1:11">
      <c r="I24" s="3450" t="s">
        <v>3481</v>
      </c>
      <c r="J24" s="3476">
        <v>746.1</v>
      </c>
      <c r="K24" s="3476" t="s">
        <v>3482</v>
      </c>
    </row>
    <row r="25" spans="1:11">
      <c r="I25" s="3450" t="s">
        <v>3483</v>
      </c>
      <c r="J25" s="3476">
        <v>685.75</v>
      </c>
      <c r="K25" s="3476" t="s">
        <v>3484</v>
      </c>
    </row>
    <row r="26" spans="1:11">
      <c r="I26" s="3450" t="s">
        <v>3485</v>
      </c>
      <c r="J26" s="3476">
        <v>688.47</v>
      </c>
      <c r="K26" s="3476" t="s">
        <v>3486</v>
      </c>
    </row>
    <row r="27" spans="1:11">
      <c r="I27" s="3450" t="s">
        <v>3487</v>
      </c>
      <c r="J27" s="3476">
        <v>671.37</v>
      </c>
      <c r="K27" s="3476" t="s">
        <v>3488</v>
      </c>
    </row>
    <row r="28" spans="1:11">
      <c r="I28" s="3450" t="s">
        <v>3489</v>
      </c>
      <c r="J28" s="3476"/>
      <c r="K28" s="3476"/>
    </row>
    <row r="29" spans="1:11">
      <c r="I29" s="3450" t="s">
        <v>3490</v>
      </c>
      <c r="J29" s="3476">
        <v>665.8</v>
      </c>
      <c r="K29" s="3476" t="s">
        <v>3491</v>
      </c>
    </row>
    <row r="30" spans="1:11">
      <c r="I30" s="3450" t="s">
        <v>3492</v>
      </c>
      <c r="J30" s="3476">
        <v>746.1</v>
      </c>
      <c r="K30" s="3476" t="s">
        <v>3482</v>
      </c>
    </row>
    <row r="31" spans="1:11">
      <c r="I31" s="3450" t="s">
        <v>3493</v>
      </c>
      <c r="J31" s="3476">
        <v>685.75</v>
      </c>
      <c r="K31" s="3476" t="s">
        <v>3484</v>
      </c>
    </row>
    <row r="32" spans="1:11">
      <c r="I32" s="3450" t="s">
        <v>3494</v>
      </c>
      <c r="J32" s="3476">
        <v>688.47</v>
      </c>
      <c r="K32" s="3476" t="s">
        <v>3486</v>
      </c>
    </row>
    <row r="33" spans="9:11">
      <c r="I33" s="3450" t="s">
        <v>3495</v>
      </c>
      <c r="J33" s="3476">
        <v>671.37</v>
      </c>
      <c r="K33" s="3476" t="s">
        <v>3488</v>
      </c>
    </row>
    <row r="34" spans="9:11">
      <c r="J34" s="3475">
        <f>SUM(J2:J33)</f>
        <v>18818.8</v>
      </c>
    </row>
  </sheetData>
  <mergeCells count="1">
    <mergeCell ref="A1:F1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28"/>
  <sheetViews>
    <sheetView workbookViewId="0">
      <selection activeCell="J33" sqref="J33"/>
    </sheetView>
  </sheetViews>
  <sheetFormatPr defaultRowHeight="13.5"/>
  <sheetData>
    <row r="4" spans="2:2">
      <c r="B4" s="3446" t="s">
        <v>3528</v>
      </c>
    </row>
    <row r="28" spans="2:2">
      <c r="B28" s="3446" t="s">
        <v>3529</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13"/>
  <sheetViews>
    <sheetView topLeftCell="A7" workbookViewId="0">
      <selection activeCell="Q10" sqref="Q10"/>
    </sheetView>
  </sheetViews>
  <sheetFormatPr defaultRowHeight="13.5"/>
  <sheetData>
    <row r="3" spans="14:18">
      <c r="P3" s="3446" t="s">
        <v>3573</v>
      </c>
      <c r="Q3" s="3446" t="s">
        <v>3574</v>
      </c>
      <c r="R3" s="3446" t="s">
        <v>2821</v>
      </c>
    </row>
    <row r="4" spans="14:18">
      <c r="N4" s="3446" t="s">
        <v>3569</v>
      </c>
      <c r="P4">
        <v>3.8</v>
      </c>
      <c r="Q4">
        <v>663</v>
      </c>
      <c r="R4" s="3446" t="s">
        <v>3575</v>
      </c>
    </row>
    <row r="5" spans="14:18">
      <c r="N5" s="3446" t="s">
        <v>3570</v>
      </c>
      <c r="P5">
        <v>4.2</v>
      </c>
      <c r="Q5">
        <v>362</v>
      </c>
      <c r="R5" s="3446" t="s">
        <v>3575</v>
      </c>
    </row>
    <row r="6" spans="14:18">
      <c r="N6" s="3446" t="s">
        <v>3571</v>
      </c>
      <c r="P6">
        <v>4</v>
      </c>
      <c r="Q6">
        <v>318</v>
      </c>
      <c r="R6" s="3446" t="s">
        <v>3575</v>
      </c>
    </row>
    <row r="10" spans="14:18">
      <c r="O10" s="3446" t="s">
        <v>3593</v>
      </c>
      <c r="P10" s="3446" t="s">
        <v>3574</v>
      </c>
    </row>
    <row r="11" spans="14:18">
      <c r="N11" s="3446" t="s">
        <v>3590</v>
      </c>
      <c r="O11">
        <v>4.7</v>
      </c>
      <c r="P11">
        <v>95</v>
      </c>
    </row>
    <row r="12" spans="14:18">
      <c r="N12" s="3446" t="s">
        <v>3591</v>
      </c>
      <c r="O12">
        <v>5.5</v>
      </c>
      <c r="P12">
        <v>246.95</v>
      </c>
    </row>
    <row r="13" spans="14:18">
      <c r="N13" s="3446" t="s">
        <v>3592</v>
      </c>
      <c r="O13">
        <v>6</v>
      </c>
      <c r="P13">
        <v>115.31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949</v>
      </c>
      <c r="B1" s="3516"/>
      <c r="C1" s="3516"/>
      <c r="D1" s="3516"/>
    </row>
    <row r="2" spans="1:4" ht="18">
      <c r="A2" s="3517" t="s">
        <v>933</v>
      </c>
      <c r="B2" s="3517"/>
      <c r="C2" s="3517"/>
      <c r="D2" s="351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7" t="s">
        <v>939</v>
      </c>
      <c r="B6" s="3517"/>
      <c r="C6" s="3517"/>
      <c r="D6" s="351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产证指标</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 (元)</vt:lpstr>
      <vt:lpstr>收益法-酒店模型</vt:lpstr>
      <vt:lpstr>比较法-商业</vt:lpstr>
      <vt:lpstr>收益法-办公</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Sheet1</vt:lpstr>
      <vt:lpstr>Sheet2</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2023-12-05T01:54:24Z</dcterms:modified>
</cp:coreProperties>
</file>