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75" i="9" l="1"/>
  <c r="C66" i="9"/>
  <c r="L86" i="9"/>
  <c r="E17" i="31" l="1"/>
  <c r="D17" i="31"/>
  <c r="C17" i="31"/>
  <c r="B26" i="31"/>
  <c r="B25" i="31"/>
  <c r="B24" i="31"/>
  <c r="A26" i="31"/>
  <c r="A25" i="31"/>
  <c r="A24" i="31"/>
  <c r="I36" i="33"/>
  <c r="G36" i="33"/>
  <c r="E36" i="33"/>
  <c r="I7" i="33"/>
  <c r="G7" i="33"/>
  <c r="E7" i="33"/>
  <c r="G20" i="6"/>
  <c r="Y6" i="1"/>
  <c r="N6" i="1"/>
  <c r="F19" i="6"/>
  <c r="K13" i="3"/>
  <c r="I13" i="3"/>
  <c r="L7" i="77"/>
  <c r="L6" i="77"/>
  <c r="L5" i="77"/>
  <c r="L4" i="77"/>
  <c r="C46" i="77"/>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353" i="3" s="1"/>
  <c r="BA13" i="3"/>
  <c r="E10" i="6"/>
  <c r="BA5" i="3"/>
  <c r="E11" i="6"/>
  <c r="BL17" i="3"/>
  <c r="AZ17" i="3"/>
  <c r="BL13" i="3"/>
  <c r="G30" i="6"/>
  <c r="G31" i="6" s="1"/>
  <c r="J56" i="9"/>
  <c r="J57" i="9" s="1"/>
  <c r="J59" i="9" s="1"/>
  <c r="J61" i="9" s="1"/>
  <c r="A24" i="51"/>
  <c r="B18" i="72"/>
  <c r="U29" i="34"/>
  <c r="E14" i="6"/>
  <c r="E64" i="39" s="1"/>
  <c r="E5" i="6"/>
  <c r="D9" i="11" s="1"/>
  <c r="C9" i="11" s="1"/>
  <c r="H22" i="43"/>
  <c r="D101" i="43"/>
  <c r="D109" i="43" s="1"/>
  <c r="M101" i="43"/>
  <c r="M109" i="43" s="1"/>
  <c r="I101" i="43"/>
  <c r="I109" i="43" s="1"/>
  <c r="E101" i="43"/>
  <c r="E32" i="6"/>
  <c r="L19" i="6"/>
  <c r="G1" i="68"/>
  <c r="K1" i="12"/>
  <c r="F30" i="6"/>
  <c r="E28" i="6"/>
  <c r="AR12" i="1"/>
  <c r="AQ12" i="1"/>
  <c r="T12" i="1"/>
  <c r="AR10" i="1"/>
  <c r="T10" i="1"/>
  <c r="E19" i="69"/>
  <c r="E19" i="68"/>
  <c r="E19" i="11"/>
  <c r="E1" i="73"/>
  <c r="G22" i="69"/>
  <c r="G22" i="68"/>
  <c r="G26" i="12"/>
  <c r="G22" i="11"/>
  <c r="C100" i="43"/>
  <c r="E11" i="43"/>
  <c r="E10" i="43"/>
  <c r="E9" i="43"/>
  <c r="E8" i="43"/>
  <c r="C7" i="43"/>
  <c r="E81" i="43"/>
  <c r="B79" i="43"/>
  <c r="S5"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B6" i="1"/>
  <c r="E6" i="1" s="1"/>
  <c r="S8" i="1"/>
  <c r="AR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9" i="69"/>
  <c r="C9" i="69" s="1"/>
  <c r="D19" i="12"/>
  <c r="C19" i="12" s="1"/>
  <c r="T9" i="1"/>
  <c r="T13"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AY6" i="3" s="1"/>
  <c r="K14" i="1"/>
  <c r="M14" i="1" s="1"/>
  <c r="O14" i="1" s="1"/>
  <c r="P14" i="1" s="1"/>
  <c r="BL5"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89" i="3"/>
  <c r="E102" i="43"/>
  <c r="E104" i="43"/>
  <c r="E106" i="43"/>
  <c r="E107" i="43"/>
  <c r="E103" i="43"/>
  <c r="E105" i="43"/>
  <c r="M102" i="43"/>
  <c r="M104" i="43"/>
  <c r="M106" i="43"/>
  <c r="M107" i="43"/>
  <c r="M103" i="43"/>
  <c r="M105" i="43"/>
  <c r="E109" i="43"/>
  <c r="I102" i="43"/>
  <c r="I106" i="43"/>
  <c r="I103" i="43"/>
  <c r="D103" i="43"/>
  <c r="D104" i="43"/>
  <c r="D107"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L27" i="6"/>
  <c r="AP7" i="1"/>
  <c r="C36" i="69" s="1"/>
  <c r="AB45" i="21"/>
  <c r="AC33" i="21"/>
  <c r="W33" i="21"/>
  <c r="S33" i="21"/>
  <c r="AA33" i="21"/>
  <c r="W32" i="21"/>
  <c r="AC32" i="21"/>
  <c r="AB9" i="21"/>
  <c r="U9" i="21"/>
  <c r="AA32" i="21"/>
  <c r="S32" i="21"/>
  <c r="W9" i="21"/>
  <c r="AC9" i="21"/>
  <c r="AB32" i="21"/>
  <c r="U32" i="21"/>
  <c r="AA10" i="21"/>
  <c r="S10" i="2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AB36" i="33"/>
  <c r="W27" i="33"/>
  <c r="AC27" i="33"/>
  <c r="W25" i="33"/>
  <c r="AC25" i="33"/>
  <c r="AA23" i="33"/>
  <c r="S23" i="33"/>
  <c r="AB19" i="33"/>
  <c r="U19" i="33"/>
  <c r="AA17" i="33"/>
  <c r="S17" i="33"/>
  <c r="U17" i="33"/>
  <c r="AB17" i="33"/>
  <c r="U23" i="21"/>
  <c r="AB23" i="21"/>
  <c r="AC23" i="21"/>
  <c r="W23" i="21"/>
  <c r="E6" i="6"/>
  <c r="D10" i="68" s="1"/>
  <c r="C10" i="68" s="1"/>
  <c r="D19" i="11"/>
  <c r="C19" i="11" s="1"/>
  <c r="C17" i="4"/>
  <c r="B4" i="52" s="1"/>
  <c r="B43" i="72" s="1"/>
  <c r="D37" i="11"/>
  <c r="L18" i="9"/>
  <c r="D14" i="12"/>
  <c r="D17" i="12" s="1"/>
  <c r="C17" i="12" s="1"/>
  <c r="D3" i="37"/>
  <c r="M18" i="9"/>
  <c r="B118" i="9" s="1"/>
  <c r="B14" i="74" s="1"/>
  <c r="B1" i="74" s="1"/>
  <c r="C7"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5"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11"/>
  <c r="C10" i="11" s="1"/>
  <c r="D20" i="12"/>
  <c r="C20" i="12" s="1"/>
  <c r="M19" i="9"/>
  <c r="C118" i="9" s="1"/>
  <c r="C14" i="74" s="1"/>
  <c r="B2" i="74" s="1"/>
  <c r="D7" i="74" s="1"/>
  <c r="D19" i="6"/>
  <c r="D26" i="6"/>
  <c r="C18" i="4"/>
  <c r="A7" i="51" s="1"/>
  <c r="B7" i="72" s="1"/>
  <c r="D8" i="6"/>
  <c r="D23" i="6"/>
  <c r="D20" i="6"/>
  <c r="D5" i="6"/>
  <c r="D9" i="6"/>
  <c r="D13" i="6"/>
  <c r="D28" i="6"/>
  <c r="E61" i="40"/>
  <c r="F34" i="11"/>
  <c r="C37" i="11" s="1"/>
  <c r="F11" i="12"/>
  <c r="C23" i="12" s="1"/>
  <c r="F34" i="68"/>
  <c r="R8" i="1"/>
  <c r="D10" i="69"/>
  <c r="C10" i="69" s="1"/>
  <c r="AE7" i="1"/>
  <c r="AE8" i="1"/>
  <c r="AG6" i="1"/>
  <c r="H109" i="9"/>
  <c r="H110" i="9"/>
  <c r="D18" i="53" s="1"/>
  <c r="B35" i="72" s="1"/>
  <c r="D124" i="9"/>
  <c r="D16" i="53"/>
  <c r="B34" i="72" s="1"/>
  <c r="D10" i="52"/>
  <c r="H14" i="74"/>
  <c r="D125" i="9"/>
  <c r="D11" i="52" s="1"/>
  <c r="B7" i="74"/>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G17" i="43"/>
  <c r="C16" i="43"/>
  <c r="D5" i="43"/>
  <c r="C5" i="43"/>
  <c r="E68" i="39"/>
  <c r="F68" i="39" s="1"/>
  <c r="V16" i="71"/>
  <c r="C16" i="71"/>
  <c r="D17" i="71"/>
  <c r="E41" i="43"/>
  <c r="C41" i="43"/>
  <c r="C20" i="43"/>
  <c r="I59" i="34"/>
  <c r="J59" i="34" s="1"/>
  <c r="D14" i="71"/>
  <c r="T16" i="71"/>
  <c r="D15" i="71"/>
  <c r="D16" i="71"/>
  <c r="U16" i="71"/>
  <c r="AO12" i="1"/>
  <c r="M9" i="15"/>
  <c r="F37" i="67"/>
  <c r="B8" i="76"/>
  <c r="B9" i="76"/>
  <c r="F8" i="67"/>
  <c r="D2" i="34"/>
  <c r="D2" i="35"/>
  <c r="L48" i="15"/>
  <c r="E11" i="76"/>
  <c r="E10" i="76"/>
  <c r="C76" i="67"/>
  <c r="M27" i="15"/>
  <c r="M21" i="67"/>
  <c r="F40" i="67"/>
  <c r="D3" i="73"/>
  <c r="M6" i="67"/>
  <c r="F42" i="15"/>
  <c r="AO10" i="1"/>
  <c r="AO11" i="1"/>
  <c r="E8" i="76"/>
  <c r="M22" i="15"/>
  <c r="M9" i="67"/>
  <c r="F35" i="67"/>
  <c r="F7" i="73"/>
  <c r="D6" i="73"/>
  <c r="F8" i="15"/>
  <c r="F40" i="15"/>
  <c r="E2" i="69"/>
  <c r="F9" i="15"/>
  <c r="D2" i="37"/>
  <c r="E9" i="76"/>
  <c r="AO8" i="1"/>
  <c r="F13" i="67"/>
  <c r="F38" i="67"/>
  <c r="J15" i="15"/>
  <c r="F13" i="15"/>
  <c r="D7" i="73"/>
  <c r="L47" i="15"/>
  <c r="AO9" i="1"/>
  <c r="F5" i="73"/>
  <c r="F7" i="67"/>
  <c r="B11" i="76"/>
  <c r="M29" i="15"/>
  <c r="F16" i="15"/>
  <c r="D2" i="36"/>
  <c r="M26" i="67"/>
  <c r="F38" i="15"/>
  <c r="F9" i="67"/>
  <c r="B7" i="76"/>
  <c r="M22" i="67"/>
  <c r="M8" i="67"/>
  <c r="F3" i="73"/>
  <c r="F26" i="15"/>
  <c r="M27" i="67"/>
  <c r="E2" i="68"/>
  <c r="B10" i="76"/>
  <c r="D35" i="9"/>
  <c r="C19" i="9"/>
  <c r="D5" i="73"/>
  <c r="M24" i="67"/>
  <c r="F42" i="67"/>
  <c r="E13" i="76"/>
  <c r="J15" i="67"/>
  <c r="C76" i="15"/>
  <c r="L48" i="67"/>
  <c r="F6" i="67"/>
  <c r="F20" i="31"/>
  <c r="AO7" i="1"/>
  <c r="F43" i="15"/>
  <c r="M23" i="15"/>
  <c r="M8" i="15"/>
  <c r="F41" i="67"/>
  <c r="M28" i="15"/>
  <c r="M29" i="67"/>
  <c r="F36" i="15"/>
  <c r="F7" i="15"/>
  <c r="D2" i="33"/>
  <c r="M24" i="15"/>
  <c r="L47" i="67"/>
  <c r="M23" i="67"/>
  <c r="E7" i="76"/>
  <c r="B13" i="76"/>
  <c r="F16" i="67"/>
  <c r="B12" i="76"/>
  <c r="F6" i="73"/>
  <c r="M28" i="67"/>
  <c r="F37" i="15"/>
  <c r="C20" i="9"/>
  <c r="D4" i="73"/>
  <c r="F43" i="67"/>
  <c r="AO13" i="1"/>
  <c r="F36" i="67"/>
  <c r="M26" i="15"/>
  <c r="M6" i="15"/>
  <c r="F4" i="73"/>
  <c r="D2" i="21"/>
  <c r="F26" i="67"/>
  <c r="F6" i="15"/>
  <c r="D34" i="9"/>
  <c r="E12" i="76"/>
  <c r="U8" i="33" l="1"/>
  <c r="S8" i="33"/>
  <c r="P61" i="15"/>
  <c r="C20" i="11"/>
  <c r="F30" i="69"/>
  <c r="D68" i="9"/>
  <c r="M18" i="15"/>
  <c r="F52" i="9"/>
  <c r="C30" i="11"/>
  <c r="F32" i="15"/>
  <c r="F60" i="15" s="1"/>
  <c r="F32" i="67"/>
  <c r="F60" i="67" s="1"/>
  <c r="F28" i="67"/>
  <c r="C28" i="67" s="1"/>
  <c r="C77" i="9"/>
  <c r="C74" i="9" s="1"/>
  <c r="C13" i="12"/>
  <c r="F54" i="9"/>
  <c r="F28" i="15"/>
  <c r="C28" i="15" s="1"/>
  <c r="C48" i="69"/>
  <c r="M18" i="67"/>
  <c r="F31" i="12"/>
  <c r="C31" i="12" s="1"/>
  <c r="F30" i="68"/>
  <c r="F53" i="9"/>
  <c r="C21" i="69"/>
  <c r="D22" i="67"/>
  <c r="C36" i="11"/>
  <c r="Q16" i="1"/>
  <c r="K15" i="1"/>
  <c r="K16" i="1" s="1"/>
  <c r="E30" i="6"/>
  <c r="D30" i="6"/>
  <c r="E12" i="6"/>
  <c r="E62" i="39" s="1"/>
  <c r="E15" i="6"/>
  <c r="E57" i="40"/>
  <c r="A10" i="51"/>
  <c r="B9" i="72" s="1"/>
  <c r="C4" i="52"/>
  <c r="B45" i="72" s="1"/>
  <c r="D29" i="6"/>
  <c r="L19" i="9"/>
  <c r="D11" i="6"/>
  <c r="D12" i="6"/>
  <c r="D24" i="6"/>
  <c r="D21" i="6"/>
  <c r="D27" i="6" s="1"/>
  <c r="D31" i="6" s="1"/>
  <c r="D22" i="6"/>
  <c r="D15" i="6"/>
  <c r="E157" i="3"/>
  <c r="E122" i="3"/>
  <c r="E181" i="3"/>
  <c r="E269" i="3"/>
  <c r="E228" i="3"/>
  <c r="E148" i="3"/>
  <c r="E188" i="3"/>
  <c r="E236" i="3"/>
  <c r="E99" i="3"/>
  <c r="E156" i="3"/>
  <c r="E191" i="3"/>
  <c r="E159" i="3"/>
  <c r="E245" i="3"/>
  <c r="E301" i="3"/>
  <c r="E263" i="3"/>
  <c r="E303" i="3"/>
  <c r="E382" i="3"/>
  <c r="E350" i="3"/>
  <c r="E423" i="3"/>
  <c r="E402" i="3"/>
  <c r="E578" i="3"/>
  <c r="E586" i="3"/>
  <c r="AI6" i="3"/>
  <c r="AN6" i="3"/>
  <c r="E518" i="3"/>
  <c r="E495" i="3"/>
  <c r="E385" i="3"/>
  <c r="F27" i="6"/>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E16" i="6"/>
  <c r="D10" i="6"/>
  <c r="D6" i="6"/>
  <c r="D14" i="6"/>
  <c r="E59" i="40"/>
  <c r="C34" i="69"/>
  <c r="C35" i="69" s="1"/>
  <c r="H16" i="1"/>
  <c r="T8" i="1"/>
  <c r="D102" i="43"/>
  <c r="D106" i="43"/>
  <c r="D105" i="43"/>
  <c r="I105" i="43"/>
  <c r="I107" i="43"/>
  <c r="I104" i="43"/>
  <c r="AR11" i="1"/>
  <c r="P7" i="1"/>
  <c r="P11" i="1"/>
  <c r="O12" i="1"/>
  <c r="P12" i="1" s="1"/>
  <c r="O8" i="1"/>
  <c r="P8" i="1" s="1"/>
  <c r="F27" i="11"/>
  <c r="M16" i="1"/>
  <c r="C34" i="68" s="1"/>
  <c r="F28" i="12"/>
  <c r="C29" i="12" s="1"/>
  <c r="D28" i="12" s="1"/>
  <c r="E61" i="39"/>
  <c r="E56" i="40"/>
  <c r="O9" i="1"/>
  <c r="P9" i="1" s="1"/>
  <c r="F22" i="43"/>
  <c r="K101" i="43"/>
  <c r="F101" i="43"/>
  <c r="N101" i="43"/>
  <c r="E22" i="43"/>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Q9" i="1"/>
  <c r="D19" i="53"/>
  <c r="I14" i="74"/>
  <c r="B8" i="74" s="1"/>
  <c r="D8" i="74" s="1"/>
  <c r="D12" i="52"/>
  <c r="D127" i="9"/>
  <c r="D13" i="52" s="1"/>
  <c r="C8" i="74"/>
  <c r="D17" i="53"/>
  <c r="B36" i="72" s="1"/>
  <c r="E70" i="39"/>
  <c r="T14" i="43"/>
  <c r="V14" i="43" s="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1" i="43"/>
  <c r="V11" i="43" s="1"/>
  <c r="T12" i="43"/>
  <c r="V12" i="43" s="1"/>
  <c r="Y12" i="71"/>
  <c r="Z12" i="71" s="1"/>
  <c r="Y11" i="71"/>
  <c r="Z11" i="71" s="1"/>
  <c r="AA12" i="71"/>
  <c r="AB3" i="71"/>
  <c r="C35" i="43"/>
  <c r="E35" i="43" s="1"/>
  <c r="C36" i="43"/>
  <c r="E36" i="43" s="1"/>
  <c r="T9" i="43"/>
  <c r="V9" i="43" s="1"/>
  <c r="C39" i="43"/>
  <c r="D19" i="68"/>
  <c r="C19" i="68" s="1"/>
  <c r="C37" i="43"/>
  <c r="E37" i="43" s="1"/>
  <c r="B12" i="71"/>
  <c r="B11" i="71" s="1"/>
  <c r="B10" i="71" s="1"/>
  <c r="B9" i="71" s="1"/>
  <c r="B8" i="71" s="1"/>
  <c r="B7" i="71" s="1"/>
  <c r="B6" i="71" s="1"/>
  <c r="B5" i="71" s="1"/>
  <c r="X12" i="71"/>
  <c r="AB12" i="71"/>
  <c r="T4" i="43"/>
  <c r="V4" i="43" s="1"/>
  <c r="T15" i="43"/>
  <c r="V15" i="43" s="1"/>
  <c r="T6" i="43"/>
  <c r="V6" i="43" s="1"/>
  <c r="Y3" i="71"/>
  <c r="Z3" i="71" s="1"/>
  <c r="D12" i="71"/>
  <c r="F12" i="71"/>
  <c r="F11" i="71" s="1"/>
  <c r="F10" i="71" s="1"/>
  <c r="F9" i="71" s="1"/>
  <c r="F8" i="71" s="1"/>
  <c r="F7" i="71" s="1"/>
  <c r="F6" i="71" s="1"/>
  <c r="F5" i="71" s="1"/>
  <c r="C14" i="12"/>
  <c r="AF3" i="71"/>
  <c r="P22" i="43" s="1"/>
  <c r="C18" i="12"/>
  <c r="C29" i="43"/>
  <c r="C34" i="43"/>
  <c r="T10" i="43"/>
  <c r="V10" i="43" s="1"/>
  <c r="T7" i="43"/>
  <c r="V7" i="43" s="1"/>
  <c r="C33" i="43"/>
  <c r="T16" i="43"/>
  <c r="V16" i="43" s="1"/>
  <c r="T13" i="43"/>
  <c r="V13" i="43" s="1"/>
  <c r="T8" i="43"/>
  <c r="V8" i="43" s="1"/>
  <c r="C38" i="43"/>
  <c r="T3" i="43"/>
  <c r="V3" i="43" s="1"/>
  <c r="C8" i="69"/>
  <c r="C5" i="69" s="1"/>
  <c r="T5" i="43"/>
  <c r="V5" i="43" s="1"/>
  <c r="C36" i="68"/>
  <c r="D19" i="69"/>
  <c r="C19" i="69" s="1"/>
  <c r="C6" i="67"/>
  <c r="C21" i="9"/>
  <c r="C102" i="9"/>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C103" i="9"/>
  <c r="N59" i="67"/>
  <c r="L59" i="67"/>
  <c r="L58" i="67"/>
  <c r="M59" i="67"/>
  <c r="B13" i="70"/>
  <c r="M7" i="67"/>
  <c r="J6" i="67" s="1"/>
  <c r="F50" i="67"/>
  <c r="F63" i="67"/>
  <c r="C62" i="67" s="1"/>
  <c r="C34" i="67"/>
  <c r="F68" i="67"/>
  <c r="F64" i="67"/>
  <c r="F68" i="15"/>
  <c r="G1" i="73"/>
  <c r="C16" i="67"/>
  <c r="C17" i="15"/>
  <c r="C14" i="15"/>
  <c r="C14" i="67"/>
  <c r="C17" i="67"/>
  <c r="C16" i="15"/>
  <c r="F48" i="69" l="1"/>
  <c r="C30" i="69"/>
  <c r="F48" i="68"/>
  <c r="C30" i="68"/>
  <c r="C48" i="68"/>
  <c r="C38" i="69"/>
  <c r="F27" i="69"/>
  <c r="F27" i="68"/>
  <c r="D16" i="6"/>
  <c r="E60" i="40"/>
  <c r="E65" i="39"/>
  <c r="E66" i="39" s="1"/>
  <c r="F31" i="6"/>
  <c r="I6" i="6" s="1"/>
  <c r="E27" i="6"/>
  <c r="H6" i="3"/>
  <c r="E6" i="3" s="1"/>
  <c r="C35" i="68"/>
  <c r="C38" i="68"/>
  <c r="O16" i="1"/>
  <c r="C18" i="15"/>
  <c r="C15" i="15"/>
  <c r="H102" i="43"/>
  <c r="H103" i="43"/>
  <c r="H104" i="43"/>
  <c r="H109" i="43"/>
  <c r="H107" i="43"/>
  <c r="H106" i="43"/>
  <c r="H105" i="43"/>
  <c r="L109" i="43"/>
  <c r="L106" i="43"/>
  <c r="L107" i="43"/>
  <c r="L103" i="43"/>
  <c r="L102" i="43"/>
  <c r="L105" i="43"/>
  <c r="L104" i="43"/>
  <c r="J104" i="43"/>
  <c r="J107" i="43"/>
  <c r="J102" i="43"/>
  <c r="J106" i="43"/>
  <c r="J105" i="43"/>
  <c r="J103" i="43"/>
  <c r="J109" i="43"/>
  <c r="G105" i="43"/>
  <c r="G107" i="43"/>
  <c r="G104" i="43"/>
  <c r="G106" i="43"/>
  <c r="G109" i="43"/>
  <c r="G102" i="43"/>
  <c r="G103" i="43"/>
  <c r="D22" i="43"/>
  <c r="F104" i="43"/>
  <c r="F102" i="43"/>
  <c r="F105" i="43"/>
  <c r="F107" i="43"/>
  <c r="F106" i="43"/>
  <c r="F103" i="43"/>
  <c r="F109" i="43"/>
  <c r="C28" i="11"/>
  <c r="C27" i="11" s="1"/>
  <c r="C47" i="11"/>
  <c r="D45" i="11" s="1"/>
  <c r="C29" i="11"/>
  <c r="D27" i="11" s="1"/>
  <c r="P16" i="1"/>
  <c r="C11" i="12" s="1"/>
  <c r="C104" i="43"/>
  <c r="C107" i="43"/>
  <c r="C103" i="43"/>
  <c r="C109" i="43"/>
  <c r="C105" i="43"/>
  <c r="C102" i="43"/>
  <c r="C106"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N102" i="43"/>
  <c r="N105" i="43"/>
  <c r="N104" i="43"/>
  <c r="N106" i="43"/>
  <c r="N103" i="43"/>
  <c r="N107" i="43"/>
  <c r="N109" i="43"/>
  <c r="K103" i="43"/>
  <c r="K102" i="43"/>
  <c r="K105" i="43"/>
  <c r="K104" i="43"/>
  <c r="K107" i="43"/>
  <c r="K106" i="43"/>
  <c r="K109" i="43"/>
  <c r="L16" i="1"/>
  <c r="N16" i="1"/>
  <c r="C34" i="11"/>
  <c r="J10" i="40"/>
  <c r="W10" i="40" s="1"/>
  <c r="G36" i="43"/>
  <c r="I36" i="43" s="1"/>
  <c r="H10" i="39"/>
  <c r="U10" i="39" s="1"/>
  <c r="F10" i="40"/>
  <c r="AA10" i="40" s="1"/>
  <c r="J10" i="39"/>
  <c r="W10" i="39" s="1"/>
  <c r="H10" i="40"/>
  <c r="U10" i="40" s="1"/>
  <c r="B38" i="72"/>
  <c r="D20" i="53"/>
  <c r="B40" i="72" s="1"/>
  <c r="J7" i="37"/>
  <c r="H7" i="36"/>
  <c r="H7" i="34"/>
  <c r="F7" i="34"/>
  <c r="F59" i="67"/>
  <c r="G35" i="43"/>
  <c r="I35" i="43" s="1"/>
  <c r="D37" i="69"/>
  <c r="C37" i="69" s="1"/>
  <c r="G70" i="39"/>
  <c r="H68" i="39"/>
  <c r="H7" i="37"/>
  <c r="AB7" i="37" s="1"/>
  <c r="T42" i="37" s="1"/>
  <c r="G42" i="37" s="1"/>
  <c r="B40" i="1"/>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G37" i="43"/>
  <c r="I37" i="43" s="1"/>
  <c r="D10" i="71"/>
  <c r="C9" i="71"/>
  <c r="M17" i="67"/>
  <c r="M17" i="15"/>
  <c r="F59" i="15"/>
  <c r="P24" i="43"/>
  <c r="B66" i="40" s="1"/>
  <c r="P21" i="43"/>
  <c r="D37" i="68"/>
  <c r="C37" i="68" s="1"/>
  <c r="C20" i="69"/>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C20" i="68"/>
  <c r="Q61" i="67"/>
  <c r="Q74" i="67"/>
  <c r="Q74" i="15"/>
  <c r="Q61" i="15"/>
  <c r="AE6" i="1"/>
  <c r="C33" i="69" l="1"/>
  <c r="C39" i="69" s="1"/>
  <c r="C28" i="69"/>
  <c r="C27" i="69" s="1"/>
  <c r="F45" i="68"/>
  <c r="C47" i="68"/>
  <c r="D45" i="68" s="1"/>
  <c r="C29" i="68"/>
  <c r="D27" i="68" s="1"/>
  <c r="F45" i="69"/>
  <c r="C29" i="69"/>
  <c r="D27" i="69" s="1"/>
  <c r="C47" i="69"/>
  <c r="D45" i="69" s="1"/>
  <c r="C19" i="15"/>
  <c r="I91" i="9" s="1"/>
  <c r="C88" i="9" s="1"/>
  <c r="C89" i="9" s="1"/>
  <c r="C87" i="9" s="1"/>
  <c r="K20" i="6"/>
  <c r="K24" i="6"/>
  <c r="M24" i="6" s="1"/>
  <c r="I24" i="6" s="1"/>
  <c r="K22" i="6"/>
  <c r="M22" i="6" s="1"/>
  <c r="I22" i="6" s="1"/>
  <c r="K23" i="6"/>
  <c r="M23" i="6" s="1"/>
  <c r="I23" i="6" s="1"/>
  <c r="K26" i="6"/>
  <c r="M26" i="6" s="1"/>
  <c r="I26" i="6" s="1"/>
  <c r="K19" i="6"/>
  <c r="S6" i="1" s="1"/>
  <c r="E6" i="70" s="1"/>
  <c r="E2" i="70" s="1"/>
  <c r="E31" i="6"/>
  <c r="I5" i="6" s="1"/>
  <c r="K25" i="6"/>
  <c r="M25" i="6" s="1"/>
  <c r="I25" i="6" s="1"/>
  <c r="K21" i="6"/>
  <c r="M21" i="6" s="1"/>
  <c r="I21" i="6" s="1"/>
  <c r="C33" i="68"/>
  <c r="AC10" i="40"/>
  <c r="S10" i="40"/>
  <c r="C38" i="11"/>
  <c r="C35" i="11"/>
  <c r="D113" i="43"/>
  <c r="C115" i="43"/>
  <c r="C15" i="12"/>
  <c r="C12" i="12"/>
  <c r="F50" i="11"/>
  <c r="F50" i="68"/>
  <c r="F50" i="69"/>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28" i="68"/>
  <c r="C27" i="68" s="1"/>
  <c r="F41" i="15"/>
  <c r="E6" i="76"/>
  <c r="C20" i="15" l="1"/>
  <c r="C26" i="15" s="1"/>
  <c r="C39" i="68"/>
  <c r="C46" i="68" s="1"/>
  <c r="C45" i="68" s="1"/>
  <c r="C91" i="9"/>
  <c r="F69" i="15"/>
  <c r="J29" i="15"/>
  <c r="M20" i="6"/>
  <c r="I20" i="6" s="1"/>
  <c r="S20" i="6" s="1"/>
  <c r="S7" i="1"/>
  <c r="C33" i="11"/>
  <c r="C39" i="11" s="1"/>
  <c r="C46" i="11" s="1"/>
  <c r="C45" i="11" s="1"/>
  <c r="C46" i="69"/>
  <c r="C45" i="69" s="1"/>
  <c r="AQ6" i="1"/>
  <c r="S16" i="1"/>
  <c r="AR6" i="1"/>
  <c r="T6" i="1"/>
  <c r="S21" i="6"/>
  <c r="H21" i="6"/>
  <c r="R21" i="6" s="1"/>
  <c r="S26" i="6"/>
  <c r="H26" i="6"/>
  <c r="R26" i="6" s="1"/>
  <c r="H22" i="6"/>
  <c r="R22" i="6" s="1"/>
  <c r="S22" i="6"/>
  <c r="H20" i="6"/>
  <c r="R20" i="6" s="1"/>
  <c r="R7" i="1" s="1"/>
  <c r="S25" i="6"/>
  <c r="H25" i="6"/>
  <c r="R25" i="6" s="1"/>
  <c r="M19" i="6"/>
  <c r="K27" i="6"/>
  <c r="H23" i="6"/>
  <c r="R23" i="6" s="1"/>
  <c r="S23" i="6"/>
  <c r="H24" i="6"/>
  <c r="R24" i="6" s="1"/>
  <c r="S24" i="6"/>
  <c r="C16" i="12"/>
  <c r="C21" i="12"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C25" i="68"/>
  <c r="F41" i="68"/>
  <c r="E2" i="76"/>
  <c r="B2" i="43"/>
  <c r="C60" i="15"/>
  <c r="C66" i="15"/>
  <c r="C23" i="15"/>
  <c r="C29" i="15" s="1"/>
  <c r="C26" i="69"/>
  <c r="D22" i="69" s="1"/>
  <c r="C44" i="69"/>
  <c r="D41" i="69" s="1"/>
  <c r="C23" i="69"/>
  <c r="C24" i="69"/>
  <c r="C25" i="69"/>
  <c r="C42" i="69"/>
  <c r="C44" i="68"/>
  <c r="D41" i="68" s="1"/>
  <c r="C23" i="68"/>
  <c r="C26" i="68"/>
  <c r="D22" i="68" s="1"/>
  <c r="C42" i="68"/>
  <c r="C24" i="68"/>
  <c r="C26" i="12"/>
  <c r="D25" i="12" s="1"/>
  <c r="C44" i="11"/>
  <c r="D41" i="11" s="1"/>
  <c r="C23" i="11"/>
  <c r="C24" i="11"/>
  <c r="C25" i="11"/>
  <c r="C26" i="11"/>
  <c r="D22" i="11" s="1"/>
  <c r="C42" i="11"/>
  <c r="C43" i="69"/>
  <c r="C38" i="67"/>
  <c r="C38" i="15"/>
  <c r="C66" i="67"/>
  <c r="C60" i="67"/>
  <c r="C23" i="67"/>
  <c r="C29" i="67" s="1"/>
  <c r="B6" i="76"/>
  <c r="C43" i="68" l="1"/>
  <c r="C41" i="68" s="1"/>
  <c r="C49" i="68" s="1"/>
  <c r="C51" i="68" s="1"/>
  <c r="C92" i="9"/>
  <c r="C94" i="9"/>
  <c r="T16" i="1"/>
  <c r="T7" i="1"/>
  <c r="AQ7" i="1"/>
  <c r="AR7" i="1"/>
  <c r="C43" i="11"/>
  <c r="C41" i="11" s="1"/>
  <c r="C49" i="11" s="1"/>
  <c r="C51" i="11" s="1"/>
  <c r="M27" i="6"/>
  <c r="I19" i="6"/>
  <c r="C22" i="12"/>
  <c r="C27" i="12" s="1"/>
  <c r="C25" i="12" s="1"/>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B2" i="76"/>
  <c r="B3" i="76" s="1"/>
  <c r="B3" i="43"/>
  <c r="J14" i="15"/>
  <c r="C57" i="15"/>
  <c r="C61" i="15" s="1"/>
  <c r="C36" i="15"/>
  <c r="C33" i="15"/>
  <c r="C13" i="15"/>
  <c r="Q49" i="15"/>
  <c r="J19" i="15"/>
  <c r="J59" i="15"/>
  <c r="J60" i="15" s="1"/>
  <c r="C22" i="69"/>
  <c r="C31" i="69" s="1"/>
  <c r="C22" i="11"/>
  <c r="C31" i="11" s="1"/>
  <c r="C41" i="69"/>
  <c r="C49" i="69" s="1"/>
  <c r="C51" i="69" s="1"/>
  <c r="C36" i="67"/>
  <c r="C33" i="67"/>
  <c r="C31" i="67" s="1"/>
  <c r="J14" i="67"/>
  <c r="C13" i="67"/>
  <c r="J19" i="67"/>
  <c r="J17" i="67" s="1"/>
  <c r="C57" i="67"/>
  <c r="C61" i="67" s="1"/>
  <c r="Q49" i="67"/>
  <c r="J59" i="67"/>
  <c r="J60" i="67" s="1"/>
  <c r="S19" i="6" l="1"/>
  <c r="S27" i="6" s="1"/>
  <c r="I27" i="6"/>
  <c r="H19" i="6"/>
  <c r="C30" i="12"/>
  <c r="C28" i="12" s="1"/>
  <c r="C32" i="12" s="1"/>
  <c r="B2" i="12" s="1"/>
  <c r="B3" i="12" s="1"/>
  <c r="D5" i="71"/>
  <c r="M20" i="43"/>
  <c r="K70" i="39"/>
  <c r="L68" i="39"/>
  <c r="I63" i="40"/>
  <c r="H65" i="40"/>
  <c r="I58" i="21"/>
  <c r="J58" i="21" s="1"/>
  <c r="K58" i="21" s="1"/>
  <c r="L58" i="21" s="1"/>
  <c r="M58" i="21" s="1"/>
  <c r="N58" i="21" s="1"/>
  <c r="O58" i="21" s="1"/>
  <c r="H7" i="21" s="1"/>
  <c r="J7" i="21"/>
  <c r="F7" i="21"/>
  <c r="J48" i="35"/>
  <c r="C52" i="68"/>
  <c r="B2" i="68" s="1"/>
  <c r="B3" i="68" s="1"/>
  <c r="C52" i="11"/>
  <c r="B2" i="11" s="1"/>
  <c r="B3" i="11"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L51" i="67"/>
  <c r="R19" i="6" l="1"/>
  <c r="H27" i="6"/>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57" i="68"/>
  <c r="C56" i="68" s="1"/>
  <c r="J16" i="67"/>
  <c r="J25" i="67" s="1"/>
  <c r="C80" i="67"/>
  <c r="C79" i="67" s="1"/>
  <c r="C58" i="67"/>
  <c r="C67" i="67" s="1"/>
  <c r="C68" i="67" s="1"/>
  <c r="Q69" i="67"/>
  <c r="Q68" i="67" s="1"/>
  <c r="C40" i="67"/>
  <c r="C57" i="69"/>
  <c r="C56" i="69" s="1"/>
  <c r="R27" i="6" l="1"/>
  <c r="R6" i="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J20" i="15" l="1"/>
  <c r="J17" i="15" s="1"/>
  <c r="J16" i="15" s="1"/>
  <c r="J25" i="15" s="1"/>
  <c r="C34" i="15"/>
  <c r="C31" i="15" s="1"/>
  <c r="C30" i="15" s="1"/>
  <c r="C39" i="15" s="1"/>
  <c r="F63" i="15"/>
  <c r="C62" i="15" s="1"/>
  <c r="C59" i="15" s="1"/>
  <c r="C58" i="15" s="1"/>
  <c r="C67" i="15" s="1"/>
  <c r="C68"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L57" i="15"/>
  <c r="L60" i="15" s="1"/>
  <c r="C40" i="15"/>
  <c r="C46" i="15" s="1"/>
  <c r="C80" i="15"/>
  <c r="C79" i="15" s="1"/>
  <c r="Q69" i="15"/>
  <c r="Q68" i="15" s="1"/>
  <c r="C71" i="15"/>
  <c r="H7" i="39"/>
  <c r="J7" i="39"/>
  <c r="AA7" i="39"/>
  <c r="R47" i="39" s="1"/>
  <c r="S7" i="39"/>
  <c r="R39" i="35"/>
  <c r="E38" i="35"/>
  <c r="M63" i="40"/>
  <c r="L65" i="40"/>
  <c r="L46" i="15" l="1"/>
  <c r="B2" i="15" s="1"/>
  <c r="Q57" i="15"/>
  <c r="Q66" i="15"/>
  <c r="Q65" i="15"/>
  <c r="Q47" i="15"/>
  <c r="Q53" i="15" s="1"/>
  <c r="Q56" i="15"/>
  <c r="C43" i="15"/>
  <c r="C83" i="15"/>
  <c r="C82" i="15" s="1"/>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G19" i="9" l="1"/>
  <c r="G21" i="9" s="1"/>
  <c r="D21" i="9"/>
  <c r="D22" i="9"/>
  <c r="D102" i="9"/>
  <c r="B6" i="70"/>
  <c r="B2" i="70" s="1"/>
  <c r="B3" i="70" s="1"/>
  <c r="B3" i="15"/>
  <c r="Q62" i="15"/>
  <c r="Q75" i="15"/>
  <c r="E52" i="39"/>
  <c r="F52" i="39" s="1"/>
  <c r="E51" i="39"/>
  <c r="F51" i="39" s="1"/>
  <c r="G51" i="39"/>
  <c r="H51" i="39" s="1"/>
  <c r="G52" i="39"/>
  <c r="H52" i="39" s="1"/>
  <c r="I51" i="39"/>
  <c r="J51" i="39" s="1"/>
  <c r="I52" i="39"/>
  <c r="J52" i="39" s="1"/>
  <c r="C48" i="39"/>
  <c r="C47" i="39"/>
  <c r="O63" i="40"/>
  <c r="O65" i="40" s="1"/>
  <c r="N65" i="40"/>
  <c r="D20" i="9"/>
  <c r="D103" i="9" l="1"/>
  <c r="G20"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2" i="9" l="1"/>
  <c r="C35" i="9" s="1"/>
  <c r="C34" i="9" s="1"/>
  <c r="R24" i="31"/>
  <c r="U7" i="40"/>
  <c r="AB7" i="40"/>
  <c r="T42" i="40" s="1"/>
  <c r="G42" i="40" s="1"/>
  <c r="AA7" i="40"/>
  <c r="R42" i="40" s="1"/>
  <c r="S7" i="40"/>
  <c r="AC7" i="40"/>
  <c r="V42" i="40" s="1"/>
  <c r="I42" i="40" s="1"/>
  <c r="W7" i="40"/>
  <c r="S24" i="31" l="1"/>
  <c r="R25" i="31"/>
  <c r="S25" i="31" s="1"/>
  <c r="R26" i="31"/>
  <c r="S26" i="31" s="1"/>
  <c r="I46" i="40"/>
  <c r="J46" i="40" s="1"/>
  <c r="R43" i="40"/>
  <c r="E42" i="40"/>
  <c r="G47" i="40"/>
  <c r="H47" i="40" s="1"/>
  <c r="G46" i="40"/>
  <c r="H46" i="40" s="1"/>
  <c r="S22" i="31" l="1"/>
  <c r="C42" i="40"/>
  <c r="C43" i="40"/>
  <c r="E47" i="40"/>
  <c r="F47" i="40" s="1"/>
  <c r="E46" i="40"/>
  <c r="F46" i="40" s="1"/>
  <c r="I47" i="40"/>
  <c r="J47" i="40" s="1"/>
  <c r="D45" i="9" l="1"/>
  <c r="D52" i="9" s="1"/>
  <c r="M48" i="9"/>
  <c r="M49" i="9" s="1"/>
  <c r="R22" i="31"/>
  <c r="B20" i="31"/>
  <c r="B21"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93" i="9" l="1"/>
  <c r="C86" i="9" s="1"/>
  <c r="C72" i="9"/>
  <c r="C85" i="9"/>
  <c r="C95" i="9" s="1"/>
  <c r="D55" i="9"/>
  <c r="M53" i="9" s="1"/>
  <c r="C78" i="9"/>
  <c r="C73" i="9" s="1"/>
  <c r="C64" i="9"/>
  <c r="C63" i="9" s="1"/>
  <c r="C67" i="9" s="1"/>
  <c r="C68" i="9" s="1"/>
  <c r="D54" i="9" s="1"/>
  <c r="D48" i="9" s="1"/>
  <c r="M52" i="9" s="1"/>
  <c r="D53" i="9"/>
  <c r="D59" i="9"/>
  <c r="M55" i="9" s="1"/>
  <c r="C79" i="9" l="1"/>
  <c r="C96" i="9"/>
  <c r="E96" i="9" s="1"/>
  <c r="E97" i="9" s="1"/>
  <c r="C80" i="9"/>
  <c r="E80" i="9" s="1"/>
  <c r="E81" i="9" s="1"/>
  <c r="C81" i="9" l="1"/>
  <c r="C97" i="9"/>
  <c r="D58" i="9" l="1"/>
  <c r="D56" i="9" s="1"/>
  <c r="M54" i="9" s="1"/>
  <c r="N57" i="9" s="1"/>
  <c r="N58" i="9" s="1"/>
  <c r="L63" i="9"/>
  <c r="M63" i="9" s="1"/>
  <c r="L64" i="9"/>
  <c r="M64" i="9" s="1"/>
  <c r="L65" i="9"/>
  <c r="M65" i="9" s="1"/>
  <c r="L66" i="9"/>
  <c r="M66" i="9" s="1"/>
  <c r="L67" i="9"/>
  <c r="M67" i="9" s="1"/>
  <c r="L68" i="9"/>
  <c r="M68" i="9" s="1"/>
  <c r="P57" i="9" l="1"/>
  <c r="N59" i="9"/>
  <c r="N60" i="9" s="1"/>
  <c r="M69" i="9"/>
  <c r="N69" i="9" s="1"/>
  <c r="N61" i="9"/>
  <c r="H101" i="9"/>
  <c r="H102" i="9"/>
  <c r="C104" i="9"/>
  <c r="C105" i="9"/>
  <c r="H107" i="9"/>
  <c r="H108" i="9"/>
  <c r="D118" i="9"/>
  <c r="E118" i="9"/>
  <c r="F118" i="9"/>
  <c r="G118" i="9"/>
  <c r="H118" i="9"/>
  <c r="I118" i="9"/>
  <c r="D119" i="9"/>
  <c r="F119" i="9"/>
  <c r="H119" i="9"/>
  <c r="D122" i="9"/>
  <c r="D123" i="9"/>
  <c r="B5" i="74"/>
  <c r="C5" i="74"/>
  <c r="D5" i="74"/>
  <c r="B6" i="74"/>
  <c r="C6" i="74"/>
  <c r="D6" i="74"/>
  <c r="D14" i="74"/>
  <c r="E14" i="74"/>
  <c r="F14" i="74"/>
  <c r="G14"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<sst xmlns="http://schemas.openxmlformats.org/spreadsheetml/2006/main" count="7515" uniqueCount="3260">
  <si>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</si>
  <si>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</si>
  <si>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</si>
  <si>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</si>
  <si>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</si>
  <si>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</si>
  <si>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</si>
  <si>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</si>
  <si>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</si>
  <si>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</si>
  <si>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</si>
  <si>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</si>
  <si>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</si>
  <si>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</si>
  <si>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</si>
  <si>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</si>
  <si>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</si>
  <si>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</si>
  <si>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</si>
  <si>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</si>
  <si>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</si>
  <si>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</si>
  <si>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</si>
  <si>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</si>
  <si>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</si>
  <si>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</si>
  <si>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</si>
  <si>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</si>
  <si>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</si>
  <si>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</si>
  <si>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</si>
  <si>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</si>
  <si>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</si>
  <si>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</si>
  <si>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</si>
  <si>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</si>
  <si>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</si>
  <si>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</si>
  <si>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</si>
  <si>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</si>
  <si>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</si>
  <si>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</si>
  <si>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</si>
  <si>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</si>
  <si>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</si>
  <si>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</si>
  <si>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</si>
  <si>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</si>
  <si>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</si>
  <si>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</si>
  <si>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</si>
  <si>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</si>
  <si>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</si>
  <si>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</si>
  <si>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</si>
  <si>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</si>
  <si>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</si>
  <si>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</si>
  <si>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</si>
  <si>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</si>
  <si>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</si>
  <si>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</si>
  <si>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</si>
  <si>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</si>
  <si>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</si>
  <si>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</si>
  <si>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</si>
  <si>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</si>
  <si>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</si>
  <si>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</si>
  <si>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</si>
  <si>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</si>
  <si>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</si>
  <si>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</si>
  <si>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</si>
  <si>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</si>
  <si>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</si>
  <si>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</si>
  <si>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</si>
  <si>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</si>
  <si>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</si>
  <si>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</si>
  <si>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</si>
  <si>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</si>
  <si>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</si>
  <si>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</si>
  <si>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</si>
  <si>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</si>
  <si>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</si>
  <si>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</si>
  <si>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</si>
  <si>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</si>
  <si>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</si>
  <si>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</si>
  <si>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</si>
  <si>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</si>
  <si>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</si>
  <si>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</si>
  <si>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</si>
  <si>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</si>
  <si>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</si>
  <si>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</si>
  <si>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</si>
  <si>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</si>
  <si>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</si>
  <si>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</si>
  <si>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</si>
  <si>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</si>
  <si>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</si>
  <si>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</si>
  <si>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</si>
  <si>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</si>
  <si>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</si>
  <si>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</si>
  <si>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</si>
  <si>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</si>
  <si>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</si>
  <si>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</si>
  <si>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</si>
  <si>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</si>
  <si>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</si>
  <si>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</si>
  <si>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</si>
  <si>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</si>
  <si>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</si>
  <si>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</si>
  <si>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</si>
  <si>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</si>
  <si>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</si>
  <si>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</si>
  <si>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</si>
  <si>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</si>
  <si>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</si>
  <si>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</si>
  <si>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</si>
  <si>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</si>
  <si>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</si>
  <si>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</si>
  <si>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</si>
  <si>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</si>
  <si>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</si>
  <si>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</si>
  <si>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</si>
  <si>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</si>
  <si>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</si>
  <si>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</si>
  <si>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</si>
  <si>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</si>
  <si>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</si>
  <si>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</si>
  <si>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</si>
  <si>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</si>
  <si>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</si>
  <si>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</si>
  <si>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</si>
  <si>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</si>
  <si>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</si>
  <si>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</si>
  <si>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</si>
  <si>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</si>
  <si>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</si>
  <si>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</si>
  <si>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</si>
  <si>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</si>
  <si>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</si>
  <si>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</si>
  <si>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</si>
  <si>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</si>
  <si>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</si>
  <si>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</si>
  <si>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</si>
  <si>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</si>
  <si>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</si>
  <si>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</si>
  <si>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</si>
  <si>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</si>
  <si>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</si>
  <si>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</si>
  <si>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</si>
  <si>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</si>
  <si>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</si>
  <si>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</si>
  <si>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</si>
  <si>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</si>
  <si>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</si>
  <si>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</si>
  <si>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</si>
  <si>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</si>
  <si>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</si>
  <si>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</si>
  <si>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</si>
  <si>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</si>
  <si>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</si>
  <si>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</si>
  <si>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</si>
  <si>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</si>
  <si>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</si>
  <si>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</si>
  <si>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</si>
  <si>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</si>
  <si>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</si>
  <si>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</si>
  <si>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</si>
  <si>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</si>
  <si>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</si>
  <si>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</si>
  <si>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</si>
  <si>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</si>
  <si>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</si>
  <si>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</si>
  <si>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</si>
  <si>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</si>
  <si>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</si>
  <si>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</si>
  <si>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</si>
  <si>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</si>
  <si>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</si>
  <si>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</si>
  <si>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</si>
  <si>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</si>
  <si>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</si>
  <si>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</si>
  <si>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</si>
  <si>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</si>
  <si>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</si>
  <si>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</si>
  <si>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</si>
  <si>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</si>
  <si>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</si>
  <si>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</si>
  <si>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</si>
  <si>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</si>
  <si>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</si>
  <si>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</si>
  <si>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</si>
  <si>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</si>
  <si>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</si>
  <si>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</si>
  <si>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</si>
  <si>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</si>
  <si>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</si>
  <si>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</si>
  <si>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</si>
  <si>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</si>
  <si>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</si>
  <si>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</si>
  <si>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</si>
  <si>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</si>
  <si>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</si>
  <si>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</si>
  <si>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</si>
  <si>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</si>
  <si>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</si>
  <si>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</si>
  <si>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</si>
  <si>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</si>
  <si>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</si>
  <si>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</si>
  <si>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</si>
  <si>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</si>
  <si>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</si>
  <si>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</si>
  <si>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</si>
  <si>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</si>
  <si>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</si>
  <si>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</si>
  <si>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</si>
  <si>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</si>
  <si>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</si>
  <si>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</si>
  <si>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</si>
  <si>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</si>
  <si>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</si>
  <si>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</si>
  <si>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</si>
  <si>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</si>
  <si>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</si>
  <si>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</si>
  <si>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</si>
  <si>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</si>
  <si>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</si>
  <si>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</si>
  <si>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</si>
  <si>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</si>
  <si>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</si>
  <si>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</si>
  <si>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</si>
  <si>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</si>
  <si>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</si>
  <si>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</si>
  <si>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</si>
  <si>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</si>
  <si>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</si>
  <si>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</si>
  <si>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</si>
  <si>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</si>
  <si>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</si>
  <si>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</si>
  <si>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</si>
  <si>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</si>
  <si>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</si>
  <si>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</si>
  <si>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</si>
  <si>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</si>
  <si>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</si>
  <si>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</si>
  <si>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</si>
  <si>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</si>
  <si>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</si>
  <si>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</si>
  <si>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</si>
  <si>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</si>
  <si>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</si>
  <si>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</si>
  <si>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</si>
  <si>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</si>
  <si>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</si>
  <si>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</si>
  <si>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</si>
  <si>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</si>
  <si>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</si>
  <si>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</si>
  <si>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</si>
  <si>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</si>
  <si>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</si>
  <si>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</si>
  <si>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</si>
  <si>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</si>
  <si>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</si>
  <si>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</si>
  <si>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</si>
  <si>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</si>
  <si>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</si>
  <si>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</si>
  <si>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</si>
  <si>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</si>
  <si>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</si>
  <si>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</si>
  <si>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</si>
  <si>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</si>
  <si>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</si>
  <si>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</si>
  <si>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</si>
  <si>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</si>
  <si>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</si>
  <si>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</si>
  <si>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</si>
  <si>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</si>
  <si>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</si>
  <si>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</si>
  <si>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</si>
  <si>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</si>
  <si>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</si>
  <si>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</si>
  <si>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</si>
  <si>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</si>
  <si>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</si>
  <si>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</si>
  <si>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</si>
  <si>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</si>
  <si>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</si>
  <si>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</si>
  <si>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</si>
  <si>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</si>
  <si>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</si>
  <si>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</si>
  <si>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</si>
  <si>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</si>
  <si>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</si>
  <si>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</si>
  <si>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</si>
  <si>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</si>
  <si>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</si>
  <si>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</si>
  <si>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</si>
  <si>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</si>
  <si>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</si>
  <si>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</si>
  <si>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</si>
  <si>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</si>
  <si>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</si>
  <si>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</si>
  <si>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</si>
  <si>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</si>
  <si>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</si>
  <si>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</si>
  <si>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</si>
  <si>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</si>
  <si>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</si>
  <si>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</si>
  <si>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</si>
  <si>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</si>
  <si>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</si>
  <si>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</si>
  <si>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</si>
  <si>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</si>
  <si>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</si>
  <si>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</si>
  <si>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</si>
  <si>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</si>
  <si>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</si>
  <si>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</si>
  <si>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</si>
  <si>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</si>
  <si>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</si>
  <si>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</si>
  <si>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</si>
  <si>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</si>
  <si>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</si>
  <si>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</si>
  <si>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</si>
  <si>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</si>
  <si>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</si>
  <si>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</si>
  <si>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</si>
  <si>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</si>
  <si>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</si>
  <si>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</si>
  <si>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</si>
  <si>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</si>
  <si>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</si>
  <si>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</si>
  <si>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</si>
  <si>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</si>
  <si>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</si>
  <si>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</si>
  <si>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</si>
  <si>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</si>
  <si>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</si>
  <si>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</si>
  <si>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</si>
  <si>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</si>
  <si>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</si>
  <si>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</si>
  <si>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</si>
  <si>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</si>
  <si>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</si>
  <si>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</si>
  <si>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</si>
  <si>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</si>
  <si>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</si>
  <si>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</si>
  <si>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</si>
  <si>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</si>
  <si>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</si>
  <si>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</si>
  <si>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</si>
  <si>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</si>
  <si>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</si>
  <si>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</si>
  <si>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</si>
  <si>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</si>
  <si>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</si>
  <si>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</si>
  <si>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</si>
  <si>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</si>
  <si>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</si>
  <si>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</si>
  <si>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</si>
  <si>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</si>
  <si>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</si>
  <si>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</si>
  <si>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</si>
  <si>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</si>
  <si>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</si>
  <si>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</si>
  <si>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</si>
  <si>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</si>
  <si>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</si>
  <si>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</si>
  <si>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</si>
  <si>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</si>
  <si>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</si>
  <si>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</si>
  <si>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</si>
  <si>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</si>
  <si>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</si>
  <si>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</si>
  <si>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</si>
  <si>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</si>
  <si>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</si>
  <si>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</si>
  <si>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</si>
  <si>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</si>
  <si>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</si>
  <si>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</si>
  <si>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</si>
  <si>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</si>
  <si>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</si>
  <si>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</si>
  <si>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</si>
  <si>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</si>
  <si>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</si>
  <si>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</si>
  <si>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</si>
  <si>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</si>
  <si>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</si>
  <si>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</si>
  <si>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</si>
  <si>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</si>
  <si>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</si>
  <si>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</si>
  <si>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</si>
  <si>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</si>
  <si>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</si>
  <si>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</si>
  <si>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</si>
  <si>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</si>
  <si>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</si>
  <si>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</si>
  <si>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</si>
  <si>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</si>
  <si>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</si>
  <si>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</si>
  <si>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</si>
  <si>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</si>
  <si>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</si>
  <si>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</si>
  <si>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</si>
  <si>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</si>
  <si>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</si>
  <si>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</si>
  <si>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</si>
  <si>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</si>
  <si>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</si>
  <si>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</si>
  <si>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</si>
  <si>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</si>
  <si>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</si>
  <si>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</si>
  <si>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</si>
  <si>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</si>
  <si>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</si>
  <si>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</si>
  <si>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</si>
  <si>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</si>
  <si>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</si>
  <si>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</si>
  <si>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</si>
  <si>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</si>
  <si>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</si>
  <si>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</si>
  <si>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</si>
  <si>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</si>
  <si>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</si>
  <si>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</si>
  <si>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</si>
  <si>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</si>
  <si>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</si>
  <si>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</si>
  <si>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</si>
  <si>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</si>
  <si>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</si>
  <si>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</si>
  <si>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</si>
  <si>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</si>
  <si>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</si>
  <si>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</si>
  <si>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</si>
  <si>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</si>
  <si>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</si>
  <si>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</si>
  <si>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</si>
  <si>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</si>
  <si>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</si>
  <si>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</si>
  <si>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</si>
  <si>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</si>
  <si>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</si>
  <si>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</si>
  <si>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</si>
  <si>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</si>
  <si>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</si>
  <si>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</si>
  <si>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</si>
  <si>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</si>
  <si>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</si>
  <si>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</si>
  <si>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</si>
  <si>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</si>
  <si>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</si>
  <si>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</si>
  <si>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</si>
  <si>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</si>
  <si>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</si>
  <si>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</si>
  <si>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</si>
  <si>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</si>
  <si>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</si>
  <si>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</si>
  <si>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</si>
  <si>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</si>
  <si>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</si>
  <si>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</si>
  <si>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</si>
  <si>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</si>
  <si>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</si>
  <si>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</si>
  <si>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</si>
  <si>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</si>
  <si>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</si>
  <si>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</si>
  <si>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</si>
  <si>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</si>
  <si>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</si>
  <si>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</si>
  <si>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</si>
  <si>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</si>
  <si>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</si>
  <si>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</si>
  <si>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</si>
  <si>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</si>
  <si>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</si>
  <si>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</si>
  <si>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</si>
  <si>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</si>
  <si>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</si>
  <si>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</si>
  <si>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</si>
  <si>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</si>
  <si>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</si>
  <si>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</si>
  <si>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</si>
  <si>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</si>
  <si>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</si>
  <si>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</si>
  <si>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</si>
  <si>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</si>
  <si>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</si>
  <si>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</si>
  <si>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</si>
  <si>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</si>
  <si>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</si>
  <si>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</si>
  <si>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</si>
  <si>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</si>
  <si>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</si>
  <si>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</si>
  <si>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</si>
  <si>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</si>
  <si>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</si>
  <si>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</si>
  <si>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</si>
  <si>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</si>
  <si>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</si>
  <si>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</si>
  <si>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</si>
  <si>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</si>
  <si>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</si>
  <si>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</si>
  <si>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</si>
  <si>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</si>
  <si>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</si>
  <si>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</si>
  <si>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</si>
  <si>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</si>
  <si>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</si>
  <si>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</si>
  <si>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</si>
  <si>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</si>
  <si>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</si>
  <si>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</si>
  <si>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</si>
  <si>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</si>
  <si>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</si>
  <si>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</si>
  <si>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</si>
  <si>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</si>
  <si>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</si>
  <si>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</si>
  <si>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</si>
  <si>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</si>
  <si>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</si>
  <si>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</si>
  <si>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</si>
  <si>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</si>
  <si>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</si>
  <si>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</si>
  <si>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</si>
  <si>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</si>
  <si>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</si>
  <si>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</si>
  <si>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</si>
  <si>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</si>
  <si>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</si>
  <si>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</si>
  <si>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</si>
  <si>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</si>
  <si>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</si>
  <si>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</si>
  <si>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</si>
  <si>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</si>
  <si>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</si>
  <si>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</si>
  <si>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</si>
  <si>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</si>
  <si>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</si>
  <si>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</si>
  <si>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</si>
  <si>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</si>
  <si>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</si>
  <si>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</si>
  <si>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</si>
  <si>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</si>
  <si>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</si>
  <si>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</si>
  <si>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</si>
  <si>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</si>
  <si>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</si>
  <si>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</si>
  <si>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</si>
  <si>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</si>
  <si>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</si>
  <si>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</si>
  <si>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</si>
  <si>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</si>
  <si>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</si>
  <si>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</si>
  <si>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</si>
  <si>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</si>
  <si>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</si>
  <si>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</si>
  <si>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</si>
  <si>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</si>
  <si>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</si>
  <si>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</si>
  <si>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</si>
  <si>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</si>
  <si>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</si>
  <si>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</si>
  <si>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</si>
  <si>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</si>
  <si>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</si>
  <si>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</si>
  <si>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</si>
  <si>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</si>
  <si>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</si>
  <si>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</si>
  <si>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</si>
  <si>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</si>
  <si>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</si>
  <si>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</si>
  <si>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</si>
  <si>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</si>
  <si>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</si>
  <si>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</si>
  <si>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</si>
  <si>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</si>
  <si>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</si>
  <si>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</si>
  <si>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</si>
  <si>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</si>
  <si>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</si>
  <si>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</si>
  <si>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</si>
  <si>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</si>
  <si>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</si>
  <si>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</si>
  <si>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</si>
  <si>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</si>
  <si>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</si>
  <si>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</si>
  <si>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</si>
  <si>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</si>
  <si>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</si>
  <si>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</si>
  <si>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</si>
  <si>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</si>
  <si>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</si>
  <si>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</si>
  <si>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</si>
  <si>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</si>
  <si>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</si>
  <si>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</si>
  <si>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</si>
  <si>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</si>
  <si>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</si>
  <si>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</si>
  <si>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</si>
  <si>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</si>
  <si>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</si>
  <si>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</si>
  <si>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</si>
  <si>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</si>
  <si>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</si>
  <si>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</si>
  <si>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</si>
  <si>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</si>
  <si>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</si>
  <si>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</si>
  <si>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</si>
  <si>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</si>
  <si>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</si>
  <si>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</si>
  <si>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</si>
  <si>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</si>
  <si>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</si>
  <si>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</si>
  <si>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</si>
  <si>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</si>
  <si>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</si>
  <si>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</si>
  <si>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</si>
  <si>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</si>
  <si>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</si>
  <si>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</si>
  <si>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</si>
  <si>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</si>
  <si>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</si>
  <si>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</si>
  <si>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</si>
  <si>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</si>
  <si>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</si>
  <si>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</si>
  <si>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</si>
  <si>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</si>
  <si>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</si>
  <si>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</si>
  <si>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</si>
  <si>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</si>
  <si>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</si>
  <si>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</si>
  <si>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</si>
  <si>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</si>
  <si>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</si>
  <si>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</si>
  <si>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</si>
  <si>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</si>
  <si>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</si>
  <si>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</si>
  <si>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</si>
  <si>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</si>
  <si>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</si>
  <si>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</si>
  <si>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</si>
  <si>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</si>
  <si>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</si>
  <si>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</si>
  <si>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</si>
  <si>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</si>
  <si>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</si>
  <si>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</si>
  <si>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</si>
  <si>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</si>
  <si>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</si>
  <si>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</si>
  <si>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</si>
  <si>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</si>
  <si>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</si>
  <si>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</si>
  <si>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</si>
  <si>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</si>
  <si>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</si>
  <si>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</si>
  <si>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</si>
  <si>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</si>
  <si>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</si>
  <si>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</si>
  <si>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</si>
  <si>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</si>
  <si>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</si>
  <si>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</si>
  <si>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</si>
  <si>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</si>
  <si>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</si>
  <si>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</si>
  <si>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</si>
  <si>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</si>
  <si>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</si>
  <si>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</si>
  <si>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</si>
  <si>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</si>
  <si>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</si>
  <si>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</si>
  <si>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</si>
  <si>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</si>
  <si>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</si>
  <si>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</si>
  <si>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</si>
  <si>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</si>
  <si>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</si>
  <si>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</si>
  <si>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</si>
  <si>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</si>
  <si>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</si>
  <si>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</si>
  <si>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</si>
  <si>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</si>
  <si>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</si>
  <si>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</si>
  <si>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</si>
  <si>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</si>
  <si>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</si>
  <si>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</si>
  <si>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</si>
  <si>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</si>
  <si>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</si>
  <si>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</si>
  <si>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</si>
  <si>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</si>
  <si>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</si>
  <si>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</si>
  <si>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</si>
  <si>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</si>
  <si>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</si>
  <si>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</si>
  <si>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</si>
  <si>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</si>
  <si>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</si>
  <si>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</si>
  <si>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</si>
  <si>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</si>
  <si>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</si>
  <si>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</si>
  <si>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</si>
  <si>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</si>
  <si>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</si>
  <si>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</si>
  <si>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</si>
  <si>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</si>
  <si>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</si>
  <si>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</si>
  <si>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</si>
  <si>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</si>
  <si>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</si>
  <si>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</si>
  <si>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</si>
  <si>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</si>
  <si>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</si>
  <si>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</si>
  <si>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</si>
  <si>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</si>
  <si>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</si>
  <si>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</si>
  <si>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</si>
  <si>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</si>
  <si>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</si>
  <si>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</si>
  <si>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</si>
  <si>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</si>
  <si>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</si>
  <si>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</si>
  <si>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</si>
  <si>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</si>
  <si>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</si>
  <si>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</si>
  <si>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</si>
  <si>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</si>
  <si>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</si>
  <si>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</si>
  <si>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</si>
  <si>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</si>
  <si>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</si>
  <si>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</si>
  <si>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</si>
  <si>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</si>
  <si>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</si>
  <si>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</si>
  <si>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</si>
  <si>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</si>
  <si>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</si>
  <si>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</si>
  <si>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</si>
  <si>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</si>
  <si>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</si>
  <si>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</si>
  <si>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</si>
  <si>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</si>
  <si>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</si>
  <si>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</si>
  <si>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</si>
  <si>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</si>
  <si>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</si>
  <si>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</si>
  <si>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</si>
  <si>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</si>
  <si>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</si>
  <si>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</si>
  <si>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</si>
  <si>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</si>
  <si>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</si>
  <si>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</si>
  <si>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</si>
  <si>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</si>
  <si>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</si>
  <si>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</si>
  <si>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</si>
  <si>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</si>
  <si>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</si>
  <si>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</si>
  <si>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</si>
  <si>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</si>
  <si>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</si>
  <si>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</si>
  <si>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</si>
  <si>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</si>
  <si>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</si>
  <si>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</si>
  <si>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</si>
  <si>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</si>
  <si>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</si>
  <si>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</si>
  <si>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</si>
  <si>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</si>
  <si>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</si>
  <si>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</si>
  <si>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</si>
  <si>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</si>
  <si>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</si>
  <si>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</si>
  <si>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</si>
  <si>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</si>
  <si>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</si>
  <si>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</si>
  <si>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</si>
  <si>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</si>
  <si>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</si>
  <si>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</si>
  <si>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</si>
  <si>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</si>
  <si>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</si>
  <si>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</si>
  <si>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</si>
  <si>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</si>
  <si>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</si>
  <si>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</si>
  <si>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</si>
  <si>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</si>
  <si>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</si>
  <si>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</si>
  <si>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</si>
  <si>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</si>
  <si>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</si>
  <si>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</si>
  <si>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</si>
  <si>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</si>
  <si>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</si>
  <si>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</si>
  <si>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</si>
  <si>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</si>
  <si>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</si>
  <si>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</si>
  <si>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</si>
  <si>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</si>
  <si>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</si>
  <si>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</si>
  <si>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</si>
  <si>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</si>
  <si>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</si>
  <si>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</si>
  <si>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</si>
  <si>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</si>
  <si>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</si>
  <si>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</si>
  <si>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</si>
  <si>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</si>
  <si>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</si>
  <si>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</si>
  <si>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</si>
  <si>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</si>
  <si>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</si>
  <si>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</si>
  <si>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</si>
  <si>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</si>
  <si>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</si>
  <si>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</si>
  <si>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</si>
  <si>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</si>
  <si>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</si>
  <si>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</si>
  <si>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</si>
  <si>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</si>
  <si>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</si>
  <si>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</si>
  <si>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</si>
  <si>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</si>
  <si>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</si>
  <si>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</si>
  <si>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</si>
  <si>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</si>
  <si>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</si>
  <si>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</si>
  <si>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</si>
  <si>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</si>
  <si>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</si>
  <si>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</si>
  <si>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</si>
  <si>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</si>
  <si>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</si>
  <si>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</si>
  <si>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</si>
  <si>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</si>
  <si>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</si>
  <si>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</si>
  <si>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</si>
  <si>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</si>
  <si>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</si>
  <si>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</si>
  <si>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</si>
  <si>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</si>
  <si>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</si>
  <si>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</si>
  <si>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</si>
  <si>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</si>
  <si>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</si>
  <si>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</si>
  <si>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</si>
  <si>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</si>
  <si>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</si>
  <si>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</si>
  <si>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</si>
  <si>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</si>
  <si>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</si>
  <si>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</si>
  <si>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</si>
  <si>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</si>
  <si>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</si>
  <si>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</si>
  <si>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</si>
  <si>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</si>
  <si>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</si>
  <si>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</si>
  <si>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</si>
  <si>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</si>
  <si>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</si>
  <si>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</si>
  <si>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</si>
  <si>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</si>
  <si>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</si>
  <si>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</si>
  <si>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</si>
  <si>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</si>
  <si>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</si>
  <si>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</si>
  <si>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</si>
  <si>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</si>
  <si>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</si>
  <si>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</si>
  <si>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</si>
  <si>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</si>
  <si>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</si>
  <si>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</si>
  <si>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</si>
  <si>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</si>
  <si>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</si>
  <si>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</si>
  <si>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</si>
  <si>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</si>
  <si>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</si>
  <si>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</si>
  <si>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</si>
  <si>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</si>
  <si>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</si>
  <si>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</si>
  <si>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</si>
  <si>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</si>
  <si>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</si>
  <si>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</si>
  <si>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</si>
  <si>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</si>
  <si>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</si>
  <si>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</si>
  <si>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</si>
  <si>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</si>
  <si>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</si>
  <si>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</si>
  <si>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</si>
  <si>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</si>
  <si>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</si>
  <si>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</si>
  <si>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</si>
  <si>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</si>
  <si>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</si>
  <si>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</si>
  <si>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</si>
  <si>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</si>
  <si>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</si>
  <si>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</si>
  <si>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</si>
  <si>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</si>
  <si>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</si>
  <si>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</si>
  <si>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</si>
  <si>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</si>
  <si>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</si>
  <si>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</si>
  <si>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</si>
  <si>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</si>
  <si>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</si>
  <si>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</si>
  <si>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</si>
  <si>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</si>
  <si>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</si>
  <si>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</si>
  <si>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</si>
  <si>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</si>
  <si>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</si>
  <si>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</si>
  <si>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</si>
  <si>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</si>
  <si>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</si>
  <si>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</si>
  <si>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</si>
  <si>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</si>
  <si>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</si>
  <si>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</si>
  <si>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</si>
  <si>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</si>
  <si>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</si>
  <si>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</si>
  <si>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</si>
  <si>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</si>
  <si>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</si>
  <si>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</si>
  <si>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</si>
  <si>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</si>
  <si>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</si>
  <si>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</si>
  <si>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</si>
  <si>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</si>
  <si>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</si>
  <si>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</si>
  <si>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</si>
  <si>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</si>
  <si>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</si>
  <si>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</si>
  <si>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</si>
  <si>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</si>
  <si>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</si>
  <si>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</si>
  <si>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</si>
  <si>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</si>
  <si>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</si>
  <si>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</si>
  <si>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</si>
  <si>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</si>
  <si>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</si>
  <si>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</si>
  <si>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</si>
  <si>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</si>
  <si>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</si>
  <si>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</si>
  <si>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</si>
  <si>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</si>
  <si>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</si>
  <si>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</si>
  <si>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</si>
  <si>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</si>
  <si>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</si>
  <si>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</si>
  <si>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</si>
  <si>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</si>
  <si>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</si>
  <si>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</si>
  <si>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</si>
  <si>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</si>
  <si>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</si>
  <si>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</si>
  <si>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</si>
  <si>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</si>
  <si>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</si>
  <si>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</si>
  <si>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</si>
  <si>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</si>
  <si>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</si>
  <si>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</si>
  <si>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</si>
  <si>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</si>
  <si>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</si>
  <si>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</si>
  <si>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</si>
  <si>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</si>
  <si>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</si>
  <si>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</si>
  <si>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</si>
  <si>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</si>
  <si>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</si>
  <si>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</si>
  <si>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</si>
  <si>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</si>
  <si>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</si>
  <si>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</si>
  <si>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</si>
  <si>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</si>
  <si>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</si>
  <si>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</si>
  <si>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</si>
  <si>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</si>
  <si>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</si>
  <si>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</si>
  <si>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</si>
  <si>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</si>
  <si>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</si>
  <si>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</si>
  <si>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</si>
  <si>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</si>
  <si>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</si>
  <si>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</si>
  <si>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</si>
  <si>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</si>
  <si>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</si>
  <si>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</si>
  <si>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</si>
  <si>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</si>
  <si>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</si>
  <si>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</si>
  <si>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</si>
  <si>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</si>
  <si>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</si>
  <si>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</si>
  <si>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</si>
  <si>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</si>
  <si>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</si>
  <si>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</si>
  <si>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</si>
  <si>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</si>
  <si>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</si>
  <si>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</si>
  <si>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</si>
  <si>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</si>
  <si>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</si>
  <si>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</si>
  <si>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</si>
  <si>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</si>
  <si>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</si>
  <si>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</si>
  <si>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</si>
  <si>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</si>
  <si>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</si>
  <si>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</si>
  <si>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</si>
  <si>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</si>
  <si>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</si>
  <si>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</si>
  <si>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</si>
  <si>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</si>
  <si>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</si>
  <si>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</si>
  <si>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</si>
  <si>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</si>
  <si>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</si>
  <si>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</si>
  <si>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</si>
  <si>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</si>
  <si>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</si>
  <si>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</si>
  <si>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</si>
  <si>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</si>
  <si>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</si>
  <si>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</si>
  <si>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</si>
  <si>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</si>
  <si>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</si>
  <si>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</si>
  <si>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</si>
  <si>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</si>
  <si>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</si>
  <si>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</si>
  <si>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</si>
  <si>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</si>
  <si>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</si>
  <si>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</si>
  <si>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</si>
  <si>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</si>
  <si>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</si>
  <si>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</si>
  <si>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</si>
  <si>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</si>
  <si>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</si>
  <si>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</si>
  <si>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</si>
  <si>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</si>
  <si>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</si>
  <si>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</si>
  <si>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</si>
  <si>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</si>
  <si>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</si>
  <si>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</si>
  <si>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</si>
  <si>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</si>
  <si>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</si>
  <si>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</si>
  <si>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</si>
  <si>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</si>
  <si>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</si>
  <si>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</si>
  <si>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</si>
  <si>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</si>
  <si>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</si>
  <si>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</si>
  <si>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</si>
  <si>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</si>
  <si>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</si>
  <si>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</si>
  <si>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</si>
  <si>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</si>
  <si>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</si>
  <si>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</si>
  <si>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</si>
  <si>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</si>
  <si>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</si>
  <si>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</si>
  <si>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</si>
  <si>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</si>
  <si>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</si>
  <si>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</si>
  <si>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</si>
  <si>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</si>
  <si>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</si>
  <si>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</si>
  <si>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</si>
  <si>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</si>
  <si>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</si>
  <si>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</si>
  <si>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</si>
  <si>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</si>
  <si>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</si>
  <si>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</si>
  <si>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</si>
  <si>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</si>
  <si>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</si>
  <si>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</si>
  <si>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</si>
  <si>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</si>
  <si>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</si>
  <si>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</si>
  <si>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</si>
  <si>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</si>
  <si>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</si>
  <si>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</si>
  <si>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</si>
  <si>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</si>
  <si>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</si>
  <si>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</si>
  <si>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</si>
  <si>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</si>
  <si>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</si>
  <si>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</si>
  <si>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</si>
  <si>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</si>
  <si>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</si>
  <si>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</si>
  <si>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</si>
  <si>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</si>
  <si>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</si>
  <si>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</si>
  <si>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</si>
  <si>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</si>
  <si>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</si>
  <si>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</si>
  <si>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</si>
  <si>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</si>
  <si>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</si>
  <si>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</si>
  <si>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</si>
  <si>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</si>
  <si>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</si>
  <si>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</si>
  <si>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</si>
  <si>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</si>
  <si>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</si>
  <si>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</si>
  <si>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</si>
  <si>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</si>
  <si>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</si>
  <si>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</si>
  <si>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</si>
  <si>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</si>
  <si>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</si>
  <si>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</si>
  <si>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</si>
  <si>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</si>
  <si>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</si>
  <si>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</si>
  <si>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</si>
  <si>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</si>
  <si>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</si>
  <si>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</si>
  <si>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</si>
  <si>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</si>
  <si>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</si>
  <si>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</si>
  <si>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</si>
  <si>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</si>
  <si>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</si>
  <si>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</si>
  <si>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</si>
  <si>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</si>
  <si>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</si>
  <si>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</si>
  <si>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</si>
  <si>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</si>
  <si>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</si>
  <si>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</si>
  <si>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</si>
  <si>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</si>
  <si>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</si>
  <si>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</si>
  <si>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</si>
  <si>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</si>
  <si>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</si>
  <si>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</si>
  <si>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</si>
  <si>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</si>
  <si>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</si>
  <si>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</si>
  <si>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</si>
  <si>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</si>
  <si>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</si>
  <si>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</si>
  <si>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</si>
  <si>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</si>
  <si>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</si>
  <si>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</si>
  <si>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</si>
  <si>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</si>
  <si>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</si>
  <si>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</si>
  <si>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</si>
  <si>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</si>
  <si>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</si>
  <si>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</si>
  <si>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</si>
  <si>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</si>
  <si>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</si>
  <si>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</si>
  <si>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</si>
  <si>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</si>
  <si>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</si>
  <si>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</si>
  <si>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</si>
  <si>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</si>
  <si>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</si>
  <si>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</si>
  <si>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</si>
  <si>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</si>
  <si>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</si>
  <si>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</si>
  <si>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</si>
  <si>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</si>
  <si>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</si>
  <si>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</si>
  <si>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</si>
  <si>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</si>
  <si>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</si>
  <si>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</si>
  <si>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</si>
  <si>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</si>
  <si>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</si>
  <si>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</si>
  <si>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</si>
  <si>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</si>
  <si>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</si>
  <si>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</si>
  <si>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</si>
  <si>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</si>
  <si>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</si>
  <si>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</si>
  <si>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</si>
  <si>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</si>
  <si>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</si>
  <si>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</si>
  <si>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</si>
  <si>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</si>
  <si>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</si>
  <si>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</si>
  <si>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</si>
  <si>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</si>
  <si>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</si>
  <si>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</si>
  <si>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</si>
  <si>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</si>
  <si>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</si>
  <si>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</si>
  <si>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</si>
  <si>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</si>
  <si>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</si>
  <si>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</si>
  <si>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</si>
  <si>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</si>
  <si>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</si>
  <si>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</si>
  <si>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</si>
  <si>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</si>
  <si>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</si>
  <si>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</si>
  <si>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</si>
  <si>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</si>
  <si>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</si>
  <si>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</si>
  <si>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</si>
  <si>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</si>
  <si>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</si>
  <si>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</si>
  <si>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</si>
  <si>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</si>
  <si>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</si>
  <si>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</si>
  <si>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</si>
  <si>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</si>
  <si>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</si>
  <si>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</si>
  <si>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</si>
  <si>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</si>
  <si>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</si>
  <si>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</si>
  <si>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</si>
  <si>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</si>
  <si>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</si>
  <si>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</si>
  <si>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</si>
  <si>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</si>
  <si>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</si>
  <si>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</si>
  <si>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</si>
  <si>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</si>
  <si>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</si>
  <si>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</si>
  <si>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</si>
  <si>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</si>
  <si>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</si>
  <si>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</si>
  <si>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</si>
  <si>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</si>
  <si>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</si>
  <si>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</si>
  <si>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</si>
  <si>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</si>
  <si>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</si>
  <si>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</si>
  <si>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</si>
  <si>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</si>
  <si>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</si>
  <si>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</si>
  <si>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</si>
  <si>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</si>
  <si>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</si>
  <si>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</si>
  <si>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</si>
  <si>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</si>
  <si>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</si>
  <si>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</si>
  <si>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</si>
  <si>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</si>
  <si>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</si>
  <si>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</si>
  <si>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</si>
  <si>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</si>
  <si>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</si>
  <si>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</si>
  <si>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</si>
  <si>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</si>
  <si>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</si>
  <si>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</si>
  <si>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</si>
  <si>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</si>
  <si>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</si>
  <si>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</si>
  <si>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</si>
  <si>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</si>
  <si>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</si>
  <si>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</si>
  <si>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</si>
  <si>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</si>
  <si>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</si>
  <si>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</si>
  <si>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</si>
  <si>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</si>
  <si>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</si>
  <si>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</si>
  <si>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</si>
  <si>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</si>
  <si>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</si>
  <si>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</si>
  <si>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</si>
  <si>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</si>
  <si>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</si>
  <si>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</si>
  <si>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</si>
  <si>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</si>
  <si>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</si>
  <si>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</si>
  <si>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</si>
  <si>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</si>
  <si>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</si>
  <si>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</si>
  <si>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</si>
  <si>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</si>
  <si>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</si>
  <si>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</si>
  <si>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</si>
  <si>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</si>
  <si>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</si>
  <si>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</si>
  <si>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</si>
  <si>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</si>
  <si>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</si>
  <si>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</si>
  <si>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</si>
  <si>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</si>
  <si>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</si>
  <si>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</si>
  <si>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</si>
  <si>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</si>
  <si>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</si>
  <si>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</si>
  <si>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</si>
  <si>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</si>
  <si>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</si>
  <si>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</si>
  <si>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</si>
  <si>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</si>
  <si>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</si>
  <si>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</si>
  <si>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</si>
  <si>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</si>
  <si>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</si>
  <si>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</si>
  <si>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</si>
  <si>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</si>
  <si>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</si>
  <si>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</si>
  <si>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</si>
  <si>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</si>
  <si>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</si>
  <si>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</si>
  <si>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</si>
  <si>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</si>
  <si>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</si>
  <si>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</si>
  <si>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</si>
  <si>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</si>
  <si>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</si>
  <si>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</si>
  <si>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</si>
  <si>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</si>
  <si>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</si>
  <si>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</si>
  <si>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</si>
  <si>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</si>
  <si>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</si>
  <si>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</si>
  <si>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</si>
  <si>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</si>
  <si>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</si>
  <si>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</si>
  <si>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</si>
  <si>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</si>
  <si>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</si>
  <si>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</si>
  <si>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</si>
  <si>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</si>
  <si>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</si>
  <si>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</si>
  <si>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</si>
  <si>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</si>
  <si>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</si>
  <si>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</si>
  <si>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</si>
  <si>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</si>
  <si>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</si>
  <si>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</si>
  <si>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</si>
  <si>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</si>
  <si>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</si>
  <si>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</si>
  <si>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</si>
  <si>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</si>
  <si>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</si>
  <si>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</si>
  <si>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</si>
  <si>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</si>
  <si>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</si>
  <si>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</si>
  <si>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</si>
  <si>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</si>
  <si>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</si>
  <si>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</si>
  <si>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</si>
  <si>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</si>
  <si>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</si>
  <si>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</si>
  <si>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</si>
  <si>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</si>
  <si>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</si>
  <si>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</si>
  <si>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</si>
  <si>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</si>
  <si>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</si>
  <si>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</si>
  <si>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</si>
  <si>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</si>
  <si>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</si>
  <si>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</si>
  <si>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</si>
  <si>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</si>
  <si>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</si>
  <si>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</si>
  <si>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</si>
  <si>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</si>
  <si>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</si>
  <si>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</si>
  <si>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</si>
  <si>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</si>
  <si>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</si>
  <si>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</si>
  <si>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</si>
  <si>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</si>
  <si>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</si>
  <si>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</si>
  <si>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</si>
  <si>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</si>
  <si>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</si>
  <si>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</si>
  <si>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</si>
  <si>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</si>
  <si>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</si>
  <si>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</si>
  <si>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</si>
  <si>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</si>
  <si>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</si>
  <si>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</si>
  <si>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</si>
  <si>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</si>
  <si>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</si>
  <si>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</si>
  <si>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</si>
  <si>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</si>
  <si>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</si>
  <si>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</si>
  <si>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</si>
  <si>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</si>
  <si>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</si>
  <si>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</si>
  <si>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</si>
  <si>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</si>
  <si>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</si>
  <si>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</si>
  <si>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</si>
  <si>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</si>
  <si>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</si>
  <si>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</si>
  <si>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</si>
  <si>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</si>
  <si>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</si>
  <si>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</si>
  <si>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</si>
  <si>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</si>
  <si>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</si>
  <si>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</si>
  <si>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</si>
  <si>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</si>
  <si>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</si>
  <si>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</si>
  <si>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</si>
  <si>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</si>
  <si>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</si>
  <si>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</si>
  <si>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</si>
  <si>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</si>
  <si>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</si>
  <si>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</si>
  <si>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</si>
  <si>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</si>
  <si>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</si>
  <si>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</si>
  <si>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</si>
  <si>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</si>
  <si>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</si>
  <si>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</si>
  <si>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</si>
  <si>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</si>
  <si>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</si>
  <si>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</si>
  <si>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</si>
  <si>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</si>
  <si>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</si>
  <si>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</si>
  <si>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</si>
  <si>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</si>
  <si>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</si>
  <si>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</si>
  <si>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</si>
  <si>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</si>
  <si>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</si>
  <si>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</si>
  <si>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</si>
  <si>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</si>
  <si>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</si>
  <si>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</si>
  <si>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</si>
  <si>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</si>
  <si>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</si>
  <si>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</si>
  <si>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</si>
  <si>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</si>
  <si>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</si>
  <si>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</si>
  <si>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</si>
  <si>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</si>
  <si>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</si>
  <si>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</si>
  <si>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</si>
  <si>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</si>
  <si>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</si>
  <si>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</si>
  <si>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</si>
  <si>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</si>
  <si>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</si>
  <si>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</si>
  <si>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</si>
  <si>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</si>
  <si>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</si>
  <si>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</si>
  <si>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</si>
  <si>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</si>
  <si>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</si>
  <si>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</si>
  <si>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</si>
  <si>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</si>
  <si>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</si>
  <si>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</si>
  <si>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</si>
  <si>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</si>
  <si>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</si>
  <si>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</si>
  <si>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</si>
  <si>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</si>
  <si>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</si>
  <si>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</si>
  <si>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</si>
  <si>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</si>
  <si>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</si>
  <si>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</si>
  <si>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</si>
  <si>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</si>
  <si>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</si>
  <si>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</si>
  <si>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</si>
  <si>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</si>
  <si>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</si>
  <si>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</si>
  <si>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</si>
  <si>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</si>
  <si>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</si>
  <si>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</si>
  <si>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</si>
  <si>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</si>
  <si>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</si>
  <si>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</si>
  <si>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</si>
  <si>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</si>
  <si>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</si>
  <si>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</si>
  <si>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</si>
  <si>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</si>
  <si>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</si>
  <si>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</si>
  <si>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</si>
  <si>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</si>
  <si>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</si>
  <si>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</si>
  <si>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</si>
  <si>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</si>
  <si>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</si>
  <si>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</si>
  <si>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</si>
  <si>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</si>
  <si>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</si>
  <si>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</si>
  <si>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</si>
  <si>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</si>
  <si>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</si>
  <si>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</si>
  <si>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</si>
  <si>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</si>
  <si>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</si>
  <si>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</si>
  <si>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</si>
  <si>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</si>
  <si>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</si>
  <si>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</si>
  <si>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</si>
  <si>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</si>
  <si>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</si>
  <si>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</si>
  <si>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</si>
  <si>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</si>
  <si>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</si>
  <si>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</si>
  <si>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</si>
  <si>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</si>
  <si>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</si>
  <si>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</si>
  <si>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</si>
  <si>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</si>
  <si>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</si>
  <si>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</si>
  <si>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</si>
  <si>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</si>
  <si>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</si>
  <si>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</si>
  <si>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</si>
  <si>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</si>
  <si>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</si>
  <si>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</si>
  <si>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</si>
  <si>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</si>
  <si>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</si>
  <si>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</si>
  <si>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</si>
  <si>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</si>
  <si>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</si>
  <si>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</si>
  <si>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</si>
  <si>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</si>
  <si>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</si>
  <si>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</si>
  <si>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</si>
  <si>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</si>
  <si>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</si>
  <si>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</si>
  <si>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</si>
  <si>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</si>
  <si>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</si>
  <si>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</si>
  <si>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</si>
  <si>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</si>
  <si>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</si>
  <si>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</si>
  <si>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</si>
  <si>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</si>
  <si>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</si>
  <si>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</si>
  <si>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</si>
  <si>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</si>
  <si>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</si>
  <si>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</si>
  <si>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</si>
  <si>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</si>
  <si>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</si>
  <si>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</si>
  <si>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</si>
  <si>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</si>
  <si>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</si>
  <si>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</si>
  <si>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</si>
  <si>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</si>
  <si>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</si>
  <si>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</si>
  <si>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</si>
  <si>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</si>
  <si>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</si>
  <si>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</si>
  <si>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</si>
  <si>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</si>
  <si>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</si>
  <si>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</si>
  <si>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</si>
  <si>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</si>
  <si>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</si>
  <si>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</si>
  <si>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</si>
  <si>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</si>
  <si>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</si>
  <si>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</si>
  <si>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</si>
  <si>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</si>
  <si>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</si>
  <si>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</si>
  <si>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</si>
  <si>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</si>
  <si>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</si>
  <si>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</si>
  <si>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</si>
  <si>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</si>
  <si>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</si>
  <si>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</si>
  <si>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</si>
  <si>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</si>
  <si>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</si>
  <si>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</si>
  <si>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</si>
  <si>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</si>
  <si>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</si>
  <si>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</si>
  <si>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</si>
  <si>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</si>
  <si>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</si>
  <si>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</si>
  <si>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</si>
  <si>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</si>
  <si>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</si>
  <si>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</si>
  <si>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</si>
  <si>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</si>
  <si>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</si>
  <si>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</si>
  <si>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</si>
  <si>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</si>
  <si>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</si>
  <si>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</si>
  <si>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</si>
  <si>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</si>
  <si>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</si>
  <si>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</si>
  <si>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</si>
  <si>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</si>
  <si>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</si>
  <si>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</si>
  <si>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</si>
  <si>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</si>
  <si>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</si>
  <si>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</si>
  <si>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</si>
  <si>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</si>
  <si>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</si>
  <si>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</si>
  <si>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</si>
  <si>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</si>
  <si>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</si>
  <si>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</si>
  <si>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</si>
  <si>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</si>
  <si>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</si>
  <si>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</si>
  <si>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</si>
  <si>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</si>
  <si>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</si>
  <si>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</si>
  <si>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</si>
  <si>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</si>
  <si>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</si>
  <si>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</si>
  <si>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</si>
  <si>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</si>
  <si>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</si>
  <si>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</si>
  <si>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</si>
  <si>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</si>
  <si>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</si>
  <si>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</si>
  <si>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</si>
  <si>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</si>
  <si>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</si>
  <si>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</si>
  <si>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</si>
  <si>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</si>
  <si>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</si>
  <si>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</si>
  <si>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</si>
  <si>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</si>
  <si>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</si>
  <si>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</si>
  <si>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</si>
  <si>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</si>
  <si>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</si>
  <si>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</si>
  <si>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</si>
  <si>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</si>
  <si>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</si>
  <si>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</si>
  <si>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</si>
  <si>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</si>
  <si>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</si>
  <si>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</si>
  <si>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</si>
  <si>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</si>
  <si>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</si>
  <si>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</si>
  <si>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</si>
  <si>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</si>
  <si>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</si>
  <si>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</si>
  <si>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</si>
  <si>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</si>
  <si>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</si>
  <si>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</si>
  <si>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</si>
  <si>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</si>
  <si>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</si>
  <si>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</si>
  <si>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</si>
  <si>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</si>
  <si>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</si>
  <si>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</si>
  <si>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</si>
  <si>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</si>
  <si>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</si>
  <si>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</si>
  <si>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</si>
  <si>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</si>
  <si>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</si>
  <si>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</si>
  <si>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</si>
  <si>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</si>
  <si>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</si>
  <si>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</si>
  <si>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</si>
  <si>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</si>
  <si>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</si>
  <si>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</si>
  <si>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</si>
  <si>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</si>
  <si>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</si>
  <si>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</si>
  <si>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</si>
  <si>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</si>
  <si>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</si>
  <si>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</si>
  <si>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</si>
  <si>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</si>
  <si>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</si>
  <si>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</si>
  <si>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</si>
  <si>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</si>
  <si>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</si>
  <si>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</si>
  <si>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</si>
  <si>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</si>
  <si>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</si>
  <si>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</si>
  <si>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</si>
  <si>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</si>
  <si>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</si>
  <si>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</si>
  <si>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</si>
  <si>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</si>
  <si>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</si>
  <si>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</si>
  <si>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</si>
  <si>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</si>
  <si>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</si>
  <si>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</si>
  <si>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</si>
  <si>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</si>
  <si>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</si>
  <si>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</si>
  <si>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</si>
  <si>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</si>
  <si>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</si>
  <si>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</si>
  <si>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</si>
  <si>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</si>
  <si>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</si>
  <si>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</si>
  <si>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</si>
  <si>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</si>
  <si>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</si>
  <si>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</si>
  <si>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</si>
  <si>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</si>
  <si>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</si>
  <si>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</si>
  <si>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</si>
  <si>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</si>
  <si>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</si>
  <si>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</si>
  <si>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</si>
  <si>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</si>
  <si>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</si>
  <si>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</si>
  <si>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</si>
  <si>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</si>
  <si>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</si>
  <si>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</si>
  <si>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</si>
  <si>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</si>
  <si>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</si>
  <si>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</si>
  <si>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</si>
  <si>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</si>
  <si>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</si>
  <si>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</si>
  <si>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</si>
  <si>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</si>
  <si>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</si>
  <si>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</si>
  <si>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</si>
  <si>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</si>
  <si>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</si>
  <si>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</si>
  <si>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</si>
  <si>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</si>
  <si>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</si>
  <si>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</si>
  <si>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</si>
  <si>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</si>
  <si>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</si>
  <si>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</si>
  <si>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</si>
  <si>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</si>
  <si>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</si>
  <si>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</si>
  <si>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</si>
  <si>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</si>
  <si>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</si>
  <si>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</si>
  <si>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</si>
  <si>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</si>
  <si>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</si>
  <si>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</si>
  <si>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</si>
  <si>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</si>
  <si>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</si>
  <si>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</si>
  <si>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</si>
  <si>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</si>
  <si>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</si>
  <si>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</si>
  <si>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</si>
  <si>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</si>
  <si>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</si>
  <si>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</si>
  <si>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</si>
  <si>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</si>
  <si>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</si>
  <si>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</si>
  <si>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</si>
  <si>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</si>
  <si>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</si>
  <si>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</si>
  <si>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</si>
  <si>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</si>
  <si>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</si>
  <si>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</si>
  <si>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</si>
  <si>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</si>
  <si>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</si>
  <si>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</si>
  <si>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</si>
  <si>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</si>
  <si>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</si>
  <si>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</si>
  <si>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</si>
  <si>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</si>
  <si>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</si>
  <si>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</si>
  <si>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</si>
  <si>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</si>
  <si>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</si>
  <si>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</si>
  <si>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</si>
  <si>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</si>
  <si>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</si>
  <si>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</si>
  <si>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</si>
  <si>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</si>
  <si>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</si>
  <si>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</si>
  <si>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</si>
  <si>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</si>
  <si>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</si>
  <si>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</si>
  <si>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</si>
  <si>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</si>
  <si>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</si>
  <si>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</si>
  <si>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</si>
  <si>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</si>
  <si>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</si>
  <si>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</si>
  <si>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</si>
  <si>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</si>
  <si>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</si>
  <si>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</si>
  <si>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</si>
  <si>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</si>
  <si>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</si>
  <si>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</si>
  <si>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</si>
  <si>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</si>
  <si>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</si>
  <si>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</si>
  <si>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</si>
  <si>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</si>
  <si>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</si>
  <si>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</si>
  <si>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</si>
  <si>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</si>
  <si>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</si>
  <si>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</si>
  <si>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</si>
  <si>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</si>
  <si>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</si>
  <si>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</si>
  <si>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</si>
  <si>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</si>
  <si>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</si>
  <si>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</si>
  <si>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</si>
  <si>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</si>
  <si>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</si>
  <si>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</si>
  <si>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</si>
  <si>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</si>
  <si>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</si>
  <si>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</si>
  <si>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</si>
  <si>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</si>
  <si>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</si>
  <si>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</si>
  <si>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</si>
  <si>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</si>
  <si>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</si>
  <si>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</si>
  <si>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</si>
  <si>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</si>
  <si>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</si>
  <si>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</si>
  <si>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</si>
  <si>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</si>
  <si>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</si>
  <si>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</si>
  <si>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</si>
  <si>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</si>
  <si>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</si>
  <si>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</si>
  <si>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</si>
  <si>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</si>
  <si>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</si>
  <si>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</si>
  <si>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</si>
  <si>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</si>
  <si>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</si>
  <si>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</si>
  <si>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</si>
  <si>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</si>
  <si>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</si>
  <si>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</si>
  <si>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</si>
  <si>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</si>
  <si>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</si>
  <si>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</si>
  <si>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</si>
  <si>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</si>
  <si>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</si>
  <si>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</si>
  <si>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</si>
  <si>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</si>
  <si>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</si>
  <si>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</si>
  <si>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</si>
  <si>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</si>
  <si>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</si>
  <si>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</si>
  <si>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</si>
  <si>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</si>
  <si>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</si>
  <si>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</si>
  <si>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</si>
  <si>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</si>
  <si>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</si>
  <si>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</si>
  <si>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</si>
  <si>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</si>
  <si>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</si>
  <si>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</si>
  <si>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</si>
  <si>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</si>
  <si>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</si>
  <si>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</si>
  <si>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</si>
  <si>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</si>
  <si>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</si>
  <si>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</si>
  <si>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</si>
  <si>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</si>
  <si>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</si>
  <si>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</si>
  <si>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</si>
  <si>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</si>
  <si>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</si>
  <si>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</si>
  <si>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</si>
  <si>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</si>
  <si>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</si>
  <si>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</si>
  <si>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</si>
  <si>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</si>
  <si>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</si>
  <si>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</si>
  <si>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</si>
  <si>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</si>
  <si>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</si>
  <si>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</si>
  <si>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</si>
  <si>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</si>
  <si>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</si>
  <si>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</si>
  <si>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</si>
  <si>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</si>
  <si>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</si>
  <si>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</si>
  <si>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</si>
  <si>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</si>
  <si>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</si>
  <si>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</si>
  <si>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</si>
  <si>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</si>
  <si>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</si>
  <si>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</si>
  <si>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</si>
  <si>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</si>
  <si>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</si>
  <si>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</si>
  <si>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</si>
  <si>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</si>
  <si>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</si>
  <si>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</si>
  <si>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</si>
  <si>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</si>
  <si>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</si>
  <si>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</si>
  <si>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</si>
  <si>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</si>
  <si>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</si>
  <si>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</si>
  <si>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</si>
  <si>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</si>
  <si>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</si>
  <si>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</si>
  <si>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</si>
  <si>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</si>
  <si>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</si>
  <si>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</si>
  <si>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</si>
  <si>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</si>
  <si>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</si>
  <si>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</si>
  <si>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</si>
  <si>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</si>
  <si>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</si>
  <si>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</si>
  <si>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</si>
  <si>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</si>
  <si>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</si>
  <si>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</si>
  <si>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</si>
  <si>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</si>
  <si>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</si>
  <si>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</si>
  <si>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</si>
  <si>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</si>
  <si>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</si>
  <si>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</si>
  <si>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</si>
  <si>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</si>
  <si>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</si>
  <si>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</si>
  <si>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</si>
  <si>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</si>
  <si>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</si>
  <si>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</si>
  <si>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</si>
  <si>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</si>
  <si>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</si>
  <si>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</si>
  <si>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</si>
  <si>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</si>
  <si>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</si>
  <si>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</si>
  <si>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</si>
  <si>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</si>
  <si>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</si>
  <si>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</si>
  <si>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</si>
  <si>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</si>
  <si>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</si>
  <si>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</si>
  <si>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</si>
  <si>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</si>
  <si>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</si>
  <si>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</si>
  <si>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</si>
  <si>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</si>
  <si>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</si>
  <si>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</si>
  <si>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</si>
  <si>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</si>
  <si>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</si>
  <si>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</si>
  <si>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</si>
  <si>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</si>
  <si>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</si>
  <si>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</si>
  <si>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</si>
  <si>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</si>
  <si>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</si>
  <si>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</si>
  <si>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</si>
  <si>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</si>
  <si>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</si>
  <si>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</si>
  <si>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</si>
  <si>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</si>
  <si>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</si>
  <si>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</si>
  <si>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</si>
  <si>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</si>
  <si>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</si>
  <si>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</si>
  <si>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</si>
  <si>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</si>
  <si>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</si>
  <si>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</si>
  <si>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</si>
  <si>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</si>
  <si>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</si>
  <si>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</si>
  <si>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</si>
  <si>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</si>
  <si>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</si>
  <si>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</si>
  <si>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</si>
  <si>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</si>
  <si>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</si>
  <si>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</si>
  <si>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</si>
  <si>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</si>
  <si>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</si>
  <si>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</si>
  <si>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</si>
  <si>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</si>
  <si>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</si>
  <si>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</si>
  <si>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</si>
  <si>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</si>
  <si>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</si>
  <si>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</si>
  <si>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</si>
  <si>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</si>
  <si>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</si>
  <si>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</si>
  <si>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</si>
  <si>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</si>
  <si>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</si>
  <si>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</si>
  <si>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</si>
  <si>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</si>
  <si>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</si>
  <si>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</si>
  <si>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</si>
  <si>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</si>
  <si>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</si>
  <si>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</si>
  <si>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</si>
  <si>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</si>
  <si>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</si>
  <si>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</si>
  <si>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</si>
  <si>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</si>
  <si>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</si>
  <si>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</si>
  <si>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</si>
  <si>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</si>
  <si>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</si>
  <si>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</si>
  <si>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</si>
  <si>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</si>
  <si>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</si>
  <si>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</si>
  <si>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</si>
  <si>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</si>
  <si>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</si>
  <si>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</si>
  <si>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</si>
  <si>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</si>
  <si>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</si>
  <si>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</si>
  <si>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</si>
  <si>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</si>
  <si>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</si>
  <si>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</si>
  <si>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</si>
  <si>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</si>
  <si>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</si>
  <si>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</si>
  <si>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</si>
  <si>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</si>
  <si>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</si>
  <si>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</si>
  <si>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</si>
  <si>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</si>
  <si>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</si>
  <si>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</si>
  <si>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</si>
  <si>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</si>
  <si>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</si>
  <si>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</si>
  <si>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</si>
  <si>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</si>
  <si>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</si>
  <si>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</si>
  <si>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</si>
  <si>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</si>
  <si>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</si>
  <si>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</si>
  <si>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</si>
  <si>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</si>
  <si>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</si>
  <si>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</si>
  <si>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</si>
  <si>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</si>
  <si>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</si>
  <si>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</si>
  <si>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</si>
  <si>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</si>
  <si>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</si>
  <si>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</si>
  <si>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</si>
  <si>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</si>
  <si>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</si>
  <si>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</si>
  <si>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</si>
  <si>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</si>
  <si>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</si>
  <si>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</si>
  <si>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</si>
  <si>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</si>
  <si>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</si>
  <si>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</si>
  <si>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</si>
  <si>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</si>
  <si>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</si>
  <si>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</si>
  <si>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</si>
  <si>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</si>
  <si>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</si>
  <si>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</si>
  <si>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</si>
  <si>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</si>
  <si>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</si>
  <si>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</si>
  <si>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</si>
  <si>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</si>
  <si>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</si>
  <si>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</si>
  <si>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</si>
  <si>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</si>
  <si>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</si>
  <si>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</si>
  <si>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</si>
  <si>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</si>
  <si>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</si>
  <si>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</si>
  <si>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</si>
  <si>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</si>
  <si>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</si>
  <si>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</si>
  <si>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</si>
  <si>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</si>
  <si>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</si>
  <si>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</si>
  <si>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</si>
  <si>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</si>
  <si>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</si>
  <si>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</si>
  <si>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</si>
  <si>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</si>
  <si>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</si>
  <si>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</si>
  <si>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</si>
  <si>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</si>
  <si>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</si>
  <si>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</si>
  <si>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</si>
  <si>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</si>
  <si>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</si>
  <si>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</si>
  <si>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</si>
  <si>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</si>
  <si>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</si>
  <si>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</si>
  <si>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</si>
  <si>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</si>
  <si>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</si>
  <si>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</si>
  <si>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</si>
  <si>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</si>
  <si>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</si>
  <si>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</si>
  <si>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</si>
  <si>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</si>
  <si>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</si>
  <si>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</si>
  <si>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</si>
  <si>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</si>
  <si>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</si>
  <si>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</si>
  <si>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</si>
  <si>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</si>
  <si>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</si>
  <si>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</si>
  <si>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</si>
  <si>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</si>
  <si>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</si>
  <si>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</si>
  <si>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</si>
  <si>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</si>
  <si>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</si>
  <si>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</si>
  <si>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</si>
  <si>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</si>
  <si>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</si>
  <si>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</si>
  <si>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</si>
  <si>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</si>
  <si>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</si>
  <si>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</si>
  <si>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</si>
  <si>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</si>
  <si>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</si>
  <si>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</si>
  <si>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</si>
  <si>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</si>
  <si>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</si>
  <si>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</si>
  <si>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</si>
  <si>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</si>
  <si>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</si>
  <si>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</si>
  <si>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</si>
  <si>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</si>
  <si>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</si>
  <si>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</si>
  <si>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</si>
  <si>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</si>
  <si>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</si>
  <si>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</si>
  <si>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</si>
  <si>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</si>
  <si>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</si>
  <si>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</si>
  <si>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</si>
  <si>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</si>
  <si>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</si>
  <si>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</si>
  <si>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</si>
  <si>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</si>
  <si>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</si>
  <si>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</si>
  <si>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</si>
  <si>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</si>
  <si>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</si>
  <si>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</si>
  <si>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</si>
  <si>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</si>
  <si>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</si>
  <si>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</si>
  <si>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</si>
  <si>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</si>
  <si>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</si>
  <si>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</si>
  <si>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</si>
  <si>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</si>
  <si>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</si>
  <si>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</si>
  <si>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</si>
  <si>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</si>
  <si>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</si>
  <si>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</si>
  <si>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</si>
  <si>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</si>
  <si>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</si>
  <si>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</si>
  <si>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</si>
  <si>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</si>
  <si>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</si>
  <si>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</si>
  <si>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</si>
  <si>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</si>
  <si>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</si>
  <si>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</si>
  <si>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</si>
  <si>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</si>
  <si>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</si>
  <si>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</si>
  <si>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</si>
  <si>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</si>
  <si>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</si>
  <si>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</si>
  <si>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</si>
  <si>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</si>
  <si>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</si>
  <si>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</si>
  <si>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</si>
  <si>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</si>
  <si>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</si>
  <si>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</si>
  <si>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</si>
  <si>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</si>
  <si>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</si>
  <si>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</si>
  <si>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</si>
  <si>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</si>
  <si>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</si>
  <si>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</si>
  <si>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</si>
  <si>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</si>
  <si>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</si>
  <si>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</si>
  <si>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</si>
  <si>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</si>
  <si>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</si>
  <si>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</si>
  <si>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</si>
  <si>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</si>
  <si>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</si>
  <si>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</si>
  <si>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</si>
  <si>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</si>
  <si>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</si>
  <si>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</si>
  <si>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</si>
  <si>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</si>
  <si>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</si>
  <si>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</si>
  <si>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</si>
  <si>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</si>
  <si>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</si>
  <si>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</si>
  <si>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</si>
  <si>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</si>
  <si>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</si>
  <si>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</si>
  <si>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</si>
  <si>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</si>
  <si>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</si>
  <si>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</si>
  <si>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</si>
  <si>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</si>
  <si>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</si>
  <si>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</si>
  <si>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</si>
  <si>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</si>
  <si>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</si>
  <si>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</si>
  <si>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</si>
  <si>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</si>
  <si>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</si>
  <si>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</si>
  <si>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</si>
  <si>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</si>
  <si>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</si>
  <si>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</si>
  <si>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</si>
  <si>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</si>
  <si>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</si>
  <si>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</si>
  <si>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</si>
  <si>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</si>
  <si>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</si>
  <si>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</si>
  <si>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</si>
  <si>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</si>
  <si>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</si>
  <si>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</si>
  <si>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</si>
  <si>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</si>
  <si>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</si>
  <si>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</si>
  <si>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</si>
  <si>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</si>
  <si>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</si>
  <si>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</si>
  <si>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</si>
  <si>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</si>
  <si>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</si>
  <si>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</si>
  <si>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</si>
  <si>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</si>
  <si>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</si>
  <si>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</si>
  <si>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</si>
  <si>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</si>
  <si>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</si>
  <si>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</si>
  <si>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</si>
  <si>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</si>
  <si>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</si>
  <si>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</si>
  <si>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</si>
  <si>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</si>
  <si>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</si>
  <si>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</si>
  <si>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</si>
  <si>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</si>
  <si>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</si>
  <si>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</si>
  <si>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</si>
  <si>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</si>
  <si>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</si>
  <si>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</si>
  <si>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</si>
  <si>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</si>
  <si>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</si>
  <si>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</si>
  <si>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</si>
  <si>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</si>
  <si>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</si>
  <si>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</si>
  <si>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</si>
  <si>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</si>
  <si>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</si>
  <si>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</si>
  <si>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</si>
  <si>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</si>
  <si>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</si>
  <si>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</si>
  <si>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</si>
  <si>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</si>
  <si>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</si>
  <si>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</si>
  <si>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</si>
  <si>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</si>
  <si>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</si>
  <si>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</si>
  <si>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</si>
  <si>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</si>
  <si>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</si>
  <si>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</si>
  <si>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</si>
  <si>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</si>
  <si>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</si>
  <si>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</si>
  <si>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</si>
  <si>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</si>
  <si>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</si>
  <si>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</si>
  <si>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</si>
  <si>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</si>
  <si>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</si>
  <si>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</si>
  <si>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</si>
  <si>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</si>
  <si>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</si>
  <si>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</si>
  <si>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</si>
  <si>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</si>
  <si>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</si>
  <si>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</si>
  <si>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</si>
  <si>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</si>
  <si>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</si>
  <si>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</si>
  <si>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</si>
  <si>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</si>
  <si>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</si>
  <si>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</si>
  <si>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</si>
  <si>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</si>
  <si>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</si>
  <si>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</si>
  <si>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</si>
  <si>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</si>
  <si>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</si>
  <si>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</si>
  <si>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</si>
  <si>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</si>
  <si>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</si>
  <si>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</si>
  <si>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</si>
  <si>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</si>
  <si>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</si>
  <si>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抵押物清单</t>
    <phoneticPr fontId="3" type="noConversion"/>
  </si>
  <si>
    <t>序</t>
    <phoneticPr fontId="3" type="noConversion"/>
  </si>
  <si>
    <t>房地产名称</t>
  </si>
  <si>
    <t>建筑面积㎡</t>
    <phoneticPr fontId="3" type="noConversion"/>
  </si>
  <si>
    <t>铺位号</t>
    <phoneticPr fontId="3" type="noConversion"/>
  </si>
  <si>
    <t>房地产证号</t>
  </si>
  <si>
    <t>商铺</t>
  </si>
  <si>
    <t>权属人</t>
    <phoneticPr fontId="3" type="noConversion"/>
  </si>
  <si>
    <t>租金账户</t>
    <phoneticPr fontId="3" type="noConversion"/>
  </si>
  <si>
    <t>原始租户</t>
    <phoneticPr fontId="3" type="noConversion"/>
  </si>
  <si>
    <t>太古城花园（北区）一期B108</t>
  </si>
  <si>
    <t>B108</t>
  </si>
  <si>
    <t>深房地字第4000492984号</t>
  </si>
  <si>
    <t>谭子帮（商铺品牌：谭厨小菜）</t>
  </si>
  <si>
    <t>宝能地产股份有限公司</t>
    <phoneticPr fontId="3" type="noConversion"/>
  </si>
  <si>
    <t>太古城花园（北区）一期B109</t>
  </si>
  <si>
    <t>B109</t>
  </si>
  <si>
    <t>深房地字第4000492985号</t>
  </si>
  <si>
    <t>太古城花园（北区）一期B110</t>
  </si>
  <si>
    <t>B110</t>
  </si>
  <si>
    <t>深房地字第4000492987号</t>
  </si>
  <si>
    <t>寇冠（商铺品牌：同顺居）</t>
  </si>
  <si>
    <t>太古城花园（北区）一期B111</t>
  </si>
  <si>
    <t>B111</t>
  </si>
  <si>
    <t>深房地字第4000492988号</t>
  </si>
  <si>
    <t>太古城花园（北区）一期B112</t>
  </si>
  <si>
    <t>B112</t>
  </si>
  <si>
    <t>深房地字第4000492989号</t>
  </si>
  <si>
    <t>深圳裕东方餐饮管理有限公司（商铺品牌：一品椰香）</t>
  </si>
  <si>
    <t>太古城花园（北区）一期B113</t>
  </si>
  <si>
    <t>B113</t>
  </si>
  <si>
    <t>深房地字第4000492990号</t>
  </si>
  <si>
    <t>广州屈臣氏个人用品商店有限公司</t>
  </si>
  <si>
    <t>太古城花园（北区）一期B114</t>
  </si>
  <si>
    <t>B114</t>
  </si>
  <si>
    <t>深房地字第4000492993号</t>
  </si>
  <si>
    <t>太古城花园（北区）一期B115</t>
  </si>
  <si>
    <t>B115</t>
  </si>
  <si>
    <t>深房地字第4000492994号</t>
  </si>
  <si>
    <t>太古城花园（北区）一期B116</t>
  </si>
  <si>
    <t>B116</t>
  </si>
  <si>
    <t>深房地字第4000492995号</t>
  </si>
  <si>
    <t>深圳百丽商贸有限公司</t>
  </si>
  <si>
    <t>太古城花园（北区）一期B117</t>
  </si>
  <si>
    <t>B117</t>
  </si>
  <si>
    <t>深房地字第4000492996号</t>
  </si>
  <si>
    <t>太古城花园（北区）一期B118</t>
  </si>
  <si>
    <t>B118</t>
  </si>
  <si>
    <t>深房地字第4000492998号</t>
  </si>
  <si>
    <t>太古城花园（北区）一期B119</t>
  </si>
  <si>
    <t>B119</t>
  </si>
  <si>
    <t>深房地字第4000492999号</t>
  </si>
  <si>
    <t>太古城花园（北区）一期B120</t>
  </si>
  <si>
    <t>B120</t>
  </si>
  <si>
    <t>深房地字第4000493000号</t>
  </si>
  <si>
    <t>太古城花园（北区）一期B121</t>
  </si>
  <si>
    <t>B121</t>
  </si>
  <si>
    <t>深房地字第4000493007号</t>
  </si>
  <si>
    <t>太古城花园（北区）一期B122</t>
  </si>
  <si>
    <t>B122</t>
  </si>
  <si>
    <t>深房地字第4000493008号</t>
  </si>
  <si>
    <t>太古城花园（北区）一期B123</t>
  </si>
  <si>
    <t>B123</t>
  </si>
  <si>
    <t>深房地字第4000493010号</t>
  </si>
  <si>
    <t>太古城花园（北区）一期B124</t>
  </si>
  <si>
    <t>B124</t>
  </si>
  <si>
    <t>深房地字第4000493012号</t>
  </si>
  <si>
    <t>深圳市立美力服装有限公司</t>
  </si>
  <si>
    <t>宝能地产股份有限公司</t>
    <phoneticPr fontId="3" type="noConversion"/>
  </si>
  <si>
    <t>太古城花园（北区）一期B125</t>
  </si>
  <si>
    <t>B125</t>
  </si>
  <si>
    <t>深房地字第4000493013号</t>
  </si>
  <si>
    <t>太古城花园（北区）一期B126</t>
  </si>
  <si>
    <t>B126</t>
  </si>
  <si>
    <t>深房地字第4000493014号</t>
  </si>
  <si>
    <t>博弈实业（品牌”遐”）</t>
  </si>
  <si>
    <t>太古城花园（北区）一期B127</t>
  </si>
  <si>
    <t>B127</t>
  </si>
  <si>
    <t>深房地字第4000493015号</t>
  </si>
  <si>
    <t>太古城花园（北区）一期B128</t>
  </si>
  <si>
    <t>B128</t>
  </si>
  <si>
    <t>深房地字第4000493016号</t>
  </si>
  <si>
    <t>伯伯加奴餐饮</t>
  </si>
  <si>
    <t>太古城花园（北区）一期B129</t>
  </si>
  <si>
    <t>B129</t>
  </si>
  <si>
    <t>深房地字第4000493017号</t>
  </si>
  <si>
    <t>宝能地产股份有限公司</t>
    <phoneticPr fontId="3" type="noConversion"/>
  </si>
  <si>
    <t>太古城花园（北区）一期B130</t>
  </si>
  <si>
    <t>B130</t>
  </si>
  <si>
    <t>深房地字第4000493018号</t>
  </si>
  <si>
    <t>太古城花园（北区）一期B144</t>
  </si>
  <si>
    <t>B144</t>
  </si>
  <si>
    <t>深房地字第4000493041号</t>
  </si>
  <si>
    <t>钱塘小馆</t>
  </si>
  <si>
    <t>太古城花园（北区）一期B145</t>
  </si>
  <si>
    <t>B145</t>
  </si>
  <si>
    <t>深房地字第4000493042号</t>
  </si>
  <si>
    <t>太古城花园（北区）一期B146</t>
  </si>
  <si>
    <t>B146</t>
  </si>
  <si>
    <t>深房地字第4000493043号</t>
  </si>
  <si>
    <t>天津玩氪科技有限公司</t>
  </si>
  <si>
    <t>太古城花园（北区）一期B147</t>
  </si>
  <si>
    <t>B147</t>
  </si>
  <si>
    <t>深房地字第4000493044号</t>
  </si>
  <si>
    <t>太古城花园（北区）一期B148</t>
  </si>
  <si>
    <t>B148</t>
  </si>
  <si>
    <t>深房地字第4000493045号</t>
  </si>
  <si>
    <t>太古城花园（北区）一期B149</t>
  </si>
  <si>
    <t>B149</t>
  </si>
  <si>
    <t>深房地字第4000493046号</t>
  </si>
  <si>
    <t>上海德圣服饰</t>
  </si>
  <si>
    <t>太古城花园（北区）一期B150</t>
  </si>
  <si>
    <t>B150</t>
  </si>
  <si>
    <t>深房地字第4000493047号</t>
  </si>
  <si>
    <t>太古城花园（北区）一期B152</t>
  </si>
  <si>
    <t>B152</t>
  </si>
  <si>
    <t>深房地字第4000493049号</t>
  </si>
  <si>
    <t>太古城花园（北区）一期B154</t>
  </si>
  <si>
    <t>B154</t>
  </si>
  <si>
    <t>深房地字第4000493051号</t>
  </si>
  <si>
    <t>太古城花园（北区）一期B155</t>
  </si>
  <si>
    <t>B155</t>
  </si>
  <si>
    <t>深房地字第4000493052号</t>
  </si>
  <si>
    <t>太古城花园（北区）一期B156</t>
  </si>
  <si>
    <t>B156</t>
  </si>
  <si>
    <t>深房地字第4000493053号</t>
  </si>
  <si>
    <t>太古城花园（北区）一期B158</t>
  </si>
  <si>
    <t>B158</t>
  </si>
  <si>
    <t>深房地字第4000493055号</t>
  </si>
  <si>
    <t>华立信通讯</t>
  </si>
  <si>
    <t>太古城花园（北区）一期B159</t>
  </si>
  <si>
    <t>B159</t>
  </si>
  <si>
    <t>深房地字第4000493056号</t>
  </si>
  <si>
    <t>联想科技</t>
  </si>
  <si>
    <t>太古城花园（北区）一期B160</t>
  </si>
  <si>
    <t>B160</t>
  </si>
  <si>
    <t>深房地字第4000493057号</t>
  </si>
  <si>
    <t>亨得利</t>
  </si>
  <si>
    <t>太古城花园（北区）一期B161</t>
  </si>
  <si>
    <t>B161</t>
  </si>
  <si>
    <t>深房地字第4000493058号</t>
  </si>
  <si>
    <t>世纪华腾商贸</t>
  </si>
  <si>
    <t>太古城花园（北区）一期B162</t>
  </si>
  <si>
    <t>B162</t>
  </si>
  <si>
    <t>深房地字第4000493059号</t>
  </si>
  <si>
    <t>强韧贸易（深圳）有限公司</t>
  </si>
  <si>
    <t>太古城花园（北区）一期B221</t>
  </si>
  <si>
    <t>B221</t>
  </si>
  <si>
    <t>深房地字第4000493223号</t>
  </si>
  <si>
    <t>舒达家居、吴敏红、爱帝宫</t>
  </si>
  <si>
    <t>太古城花园（北区）一期B222</t>
  </si>
  <si>
    <t>B222</t>
  </si>
  <si>
    <t>深房地字第4000493224号</t>
  </si>
  <si>
    <t>太古城花园（北区）一期L118</t>
  </si>
  <si>
    <t>L118</t>
  </si>
  <si>
    <t>深房地字第4000492965号</t>
  </si>
  <si>
    <t>深圳市宝玲珑投资有限公司</t>
  </si>
  <si>
    <t>太古城花园（南区）负201</t>
  </si>
  <si>
    <t>南区负201</t>
    <phoneticPr fontId="3" type="noConversion"/>
  </si>
  <si>
    <t>深房地字第4000486896号</t>
  </si>
  <si>
    <t>欧妮佳、华润万家、深圳威耀饮食、诗碧曼、宝能云味馆、奈雪、博士眼镜、钒奇科技、亿舜餐饮、星巴克、米芝莲、华润堂、良品铺子、麻辣福客、康美人生、捷智餐饮管理（大弗兰）、点芯侠、面点王、乐活</t>
  </si>
  <si>
    <t>合计</t>
    <phoneticPr fontId="3" type="noConversion"/>
  </si>
  <si>
    <t>1层</t>
  </si>
  <si>
    <t>1层</t>
    <phoneticPr fontId="140" type="noConversion"/>
  </si>
  <si>
    <t>面积</t>
    <phoneticPr fontId="140" type="noConversion"/>
  </si>
  <si>
    <t>-1层</t>
  </si>
  <si>
    <t>-1层</t>
    <phoneticPr fontId="140" type="noConversion"/>
  </si>
  <si>
    <t>-2层</t>
  </si>
  <si>
    <t>-2层</t>
    <phoneticPr fontId="140" type="noConversion"/>
  </si>
  <si>
    <t>抵押</t>
  </si>
  <si>
    <t>房地产抵押价值</t>
  </si>
  <si>
    <t>出让</t>
  </si>
  <si>
    <t>地上</t>
  </si>
  <si>
    <t>地下</t>
  </si>
  <si>
    <t>是</t>
  </si>
  <si>
    <t>利息：取LPR加浮动点数</t>
  </si>
  <si>
    <t>成新度</t>
  </si>
  <si>
    <t>收益法</t>
  </si>
  <si>
    <t>按租金收入计税</t>
  </si>
  <si>
    <t>钢混</t>
  </si>
  <si>
    <t>非生产用房</t>
  </si>
  <si>
    <t>1层商业</t>
  </si>
  <si>
    <t>1层商业</t>
    <phoneticPr fontId="7" type="noConversion"/>
  </si>
  <si>
    <t>地下商业</t>
    <phoneticPr fontId="7" type="noConversion"/>
  </si>
  <si>
    <t>押一</t>
  </si>
  <si>
    <t>售价</t>
  </si>
  <si>
    <t>比较法-商业</t>
  </si>
  <si>
    <t>正常</t>
  </si>
  <si>
    <t>非个人房产</t>
  </si>
  <si>
    <t>企业提供（在右侧录入）</t>
  </si>
  <si>
    <t>情况4</t>
  </si>
  <si>
    <t>转让取得</t>
  </si>
  <si>
    <t>转让价款</t>
    <phoneticPr fontId="8" type="noConversion"/>
  </si>
  <si>
    <t>买卖合同</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</si>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</sst>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9" fillId="0" borderId="1" xfId="0" applyFont="1" applyBorder="1" applyAlignment="1">
      <alignment horizontal="center" vertical="center"/>
    </xf>
    <xf numFmtId="0" fontId="99" fillId="0" borderId="0" xfId="0" applyFont="1" applyAlignment="1">
      <alignment horizontal="center" vertical="center"/>
    </xf>
    <xf numFmtId="0" fontId="99" fillId="0" borderId="0" xfId="0" applyFont="1">
      <alignment vertical="center"/>
    </xf>
    <xf numFmtId="0" fontId="254" fillId="0" borderId="1" xfId="0" applyFont="1"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0" xfId="0" applyAlignment="1">
      <alignment vertical="center"/>
    </xf>
    <xf numFmtId="0" fontId="98" fillId="0" borderId="0" xfId="0" applyFont="1">
      <alignment vertical="center"/>
    </xf>
    <xf numFmtId="49" fontId="98" fillId="0" borderId="0" xfId="0" applyNumberFormat="1" applyFont="1">
      <alignment vertical="center"/>
    </xf>
    <xf numFmtId="177" fontId="79" fillId="0" borderId="1" xfId="1" applyNumberFormat="1" applyFont="1" applyFill="1" applyBorder="1" applyAlignment="1" applyProtection="1">
      <alignment vertical="center"/>
      <protection locked="0" hidden="1"/>
    </xf>
    <xf numFmtId="0" fontId="188" fillId="0" borderId="1" xfId="0" applyFont="1" applyFill="1" applyBorder="1" applyAlignment="1" applyProtection="1">
      <alignment horizontal="center" vertical="center"/>
      <protection locked="0"/>
    </xf>
    <xf numFmtId="49" fontId="49" fillId="0" borderId="1" xfId="0" applyNumberFormat="1" applyFont="1" applyBorder="1" applyProtection="1">
      <alignment vertical="center"/>
      <protection locked="0"/>
    </xf>
    <xf numFmtId="49" fontId="49" fillId="10" borderId="9"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vertical="center"/>
    </xf>
    <xf numFmtId="0" fontId="205" fillId="0" borderId="60" xfId="0" applyFont="1" applyBorder="1" applyAlignment="1">
      <alignment horizontal="center" vertical="center"/>
    </xf>
    <xf numFmtId="0" fontId="0" fillId="0" borderId="1" xfId="0" applyBorder="1" applyAlignment="1">
      <alignment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20"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估价对象为房地产，为所有。根据《国有土地使用证》[]，估价对象（分摊）出让国有建设用地使用权面积为0平方米，建筑面积为22576.38平方米。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估价对象为房地产,属开发建设的，该项目尚在开发建设中。根据《国有土地使用证》[]，估价对象（分摊）出让国有建设用地使用权面积为0平方米，规划建筑面积为22576.38平方米。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2021年10月18日</v>
      </c>
    </row>
    <row r="13" spans="1:2" s="1365" customFormat="1">
      <c r="A13" s="1363" t="s">
        <v>1194</v>
      </c>
      <c r="B13" s="1364" t="str">
        <f>'预评函-1'!A18</f>
        <v>本次估价的“房地产价值”是指在正常市场情况下，在价值时点2021年10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22576.38</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7"/>
      <c r="B54" s="1739" t="s">
        <v>832</v>
      </c>
      <c r="C54" s="1736" t="s">
        <v>1248</v>
      </c>
    </row>
    <row r="55" spans="1:4">
      <c r="A55" s="3117"/>
      <c r="B55" s="1739" t="s">
        <v>833</v>
      </c>
      <c r="C55" s="1736" t="s">
        <v>1249</v>
      </c>
    </row>
    <row r="56" spans="1:4">
      <c r="A56" s="3117"/>
      <c r="B56" s="1739" t="s">
        <v>834</v>
      </c>
      <c r="C56" s="1736" t="s">
        <v>1253</v>
      </c>
    </row>
    <row r="57" spans="1:4">
      <c r="A57" s="311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6" t="str">
        <f>IF(B10="北京市","北京市",C10)&amp;F10&amp;IF(结果表!G1="在建","出让国有建设用地使用权及在建建筑物",IF(结果表!G1="土地","出让国有建设用地使用权",))&amp;B9&amp;"预评估"</f>
        <v>房地产抵押价值预评估</v>
      </c>
      <c r="C1" s="3127"/>
      <c r="D1" s="3127"/>
      <c r="E1" s="3127"/>
      <c r="F1" s="3127"/>
      <c r="G1" s="3127"/>
      <c r="H1" s="3127"/>
      <c r="I1" s="3128"/>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2916</v>
      </c>
      <c r="B3" s="2597"/>
      <c r="C3" s="2598" t="s">
        <v>2917</v>
      </c>
      <c r="D3" s="2597">
        <v>44487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3234</v>
      </c>
      <c r="C8" s="2614"/>
      <c r="D8" s="3129" t="s">
        <v>2923</v>
      </c>
      <c r="E8" s="2615" t="s">
        <v>3235</v>
      </c>
      <c r="F8" s="2616"/>
      <c r="G8" s="2890"/>
      <c r="H8" s="2890"/>
      <c r="I8" s="2890"/>
      <c r="J8" s="2665"/>
      <c r="K8" s="2840"/>
      <c r="L8" s="2839"/>
      <c r="M8" s="2839"/>
      <c r="N8" s="2665"/>
      <c r="O8" s="2676"/>
      <c r="P8" s="2665"/>
      <c r="Q8" s="2665"/>
      <c r="R8" s="2665"/>
    </row>
    <row r="9" spans="1:28" ht="13.5" thickBot="1">
      <c r="A9" s="2617" t="s">
        <v>2924</v>
      </c>
      <c r="B9" s="2618" t="s">
        <v>3235</v>
      </c>
      <c r="C9" s="2619"/>
      <c r="D9" s="3130"/>
      <c r="E9" s="2618" t="s">
        <v>70</v>
      </c>
      <c r="F9" s="2620"/>
      <c r="G9" s="2892"/>
      <c r="H9" s="2892"/>
      <c r="I9" s="2892"/>
      <c r="J9" s="2665"/>
      <c r="K9" s="2842"/>
      <c r="L9" s="2839"/>
      <c r="M9" s="2839"/>
      <c r="N9" s="2665"/>
      <c r="O9" s="2676"/>
      <c r="P9" s="2665"/>
      <c r="Q9" s="2665"/>
      <c r="R9" s="2665"/>
    </row>
    <row r="10" spans="1:28" ht="13.5" thickTop="1">
      <c r="A10" s="2621" t="s">
        <v>2925</v>
      </c>
      <c r="B10" s="2622"/>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c r="C11" s="2627"/>
      <c r="D11" s="2628"/>
      <c r="E11" s="2594"/>
      <c r="F11" s="2594"/>
      <c r="G11" s="2594"/>
      <c r="H11" s="2594"/>
      <c r="I11" s="2594"/>
      <c r="J11" s="2665"/>
      <c r="K11" s="2842"/>
      <c r="L11" s="2839"/>
      <c r="M11" s="2839"/>
      <c r="N11" s="2665"/>
      <c r="O11" s="2676"/>
      <c r="P11" s="2665"/>
      <c r="Q11" s="2665"/>
      <c r="R11" s="2665"/>
    </row>
    <row r="12" spans="1:28">
      <c r="A12" s="2629" t="s">
        <v>2928</v>
      </c>
      <c r="B12" s="2626" t="s">
        <v>3236</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v>53633</v>
      </c>
      <c r="F13" s="965"/>
      <c r="G13" s="965"/>
      <c r="H13" s="965"/>
      <c r="I13" s="965"/>
      <c r="J13" s="2665"/>
      <c r="K13" s="2842"/>
      <c r="L13" s="2839"/>
      <c r="M13" s="2839"/>
      <c r="N13" s="2665"/>
      <c r="O13" s="2676"/>
      <c r="P13" s="2665"/>
      <c r="Q13" s="2665"/>
      <c r="R13" s="2665"/>
    </row>
    <row r="14" spans="1:28">
      <c r="A14" s="1241"/>
      <c r="B14" s="2631"/>
      <c r="C14" s="2632" t="s">
        <v>2937</v>
      </c>
      <c r="D14" s="2633"/>
      <c r="E14" s="2633">
        <v>40</v>
      </c>
      <c r="F14" s="2633"/>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f>IF(B12="出让",IF(E13="","",ROUNDDOWN(MIN((E13-$D$3)/365,E14),2)),E14)</f>
        <v>25.05</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136"/>
      <c r="C16" s="3137"/>
      <c r="D16" s="3138"/>
      <c r="E16" s="2639" t="s">
        <v>2940</v>
      </c>
      <c r="F16" s="3139"/>
      <c r="G16" s="3140"/>
      <c r="H16" s="3140"/>
      <c r="I16" s="3141"/>
      <c r="J16" s="2665"/>
      <c r="K16" s="2844"/>
      <c r="L16" s="2677"/>
      <c r="M16" s="2677"/>
      <c r="N16" s="2735"/>
      <c r="O16" s="2677"/>
      <c r="P16" s="2735"/>
      <c r="Q16" s="2665"/>
      <c r="R16" s="2665"/>
    </row>
    <row r="17" spans="1:28">
      <c r="A17" s="319" t="s">
        <v>2941</v>
      </c>
      <c r="B17" s="308" t="s">
        <v>2942</v>
      </c>
      <c r="C17" s="11">
        <f>'数据-汇总表'!E3</f>
        <v>22576.38</v>
      </c>
      <c r="D17" s="2545" t="s">
        <v>2943</v>
      </c>
      <c r="E17" s="3142" t="s">
        <v>2944</v>
      </c>
      <c r="F17" s="3143"/>
      <c r="G17" s="3143"/>
      <c r="H17" s="3143"/>
      <c r="I17" s="3144"/>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0</v>
      </c>
      <c r="D18" s="1252" t="s">
        <v>2947</v>
      </c>
      <c r="E18" s="3145" t="s">
        <v>2948</v>
      </c>
      <c r="F18" s="3146"/>
      <c r="G18" s="3146"/>
      <c r="H18" s="3146"/>
      <c r="I18" s="3147"/>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32" t="s">
        <v>2952</v>
      </c>
      <c r="C20" s="3133"/>
      <c r="D20" s="3134" t="s">
        <v>2953</v>
      </c>
      <c r="E20" s="3135"/>
      <c r="F20" s="2874" t="s">
        <v>1742</v>
      </c>
      <c r="G20" s="2891"/>
      <c r="H20" s="2891"/>
      <c r="I20" s="2891"/>
      <c r="J20" s="2665"/>
      <c r="K20" s="3131"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19"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19"/>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19"/>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0"/>
      <c r="B30" s="308" t="s">
        <v>2964</v>
      </c>
      <c r="C30" s="3121"/>
      <c r="D30" s="3122"/>
      <c r="E30" s="2891"/>
      <c r="F30" s="2891"/>
      <c r="G30" s="2891"/>
      <c r="H30" s="2891"/>
      <c r="I30" s="2891"/>
      <c r="J30" s="2665"/>
      <c r="K30" s="2842"/>
      <c r="L30" s="2839"/>
      <c r="M30" s="2839"/>
      <c r="N30" s="2665"/>
      <c r="O30" s="2676"/>
      <c r="P30" s="2665"/>
      <c r="Q30" s="2665"/>
      <c r="R30" s="2665"/>
      <c r="S30" s="2665"/>
      <c r="T30" s="2665"/>
      <c r="U30" s="2665"/>
      <c r="V30" s="2665"/>
    </row>
    <row r="31" spans="1:28">
      <c r="A31" s="3123"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24"/>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24"/>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18" t="s">
        <v>2974</v>
      </c>
      <c r="T34" s="2654" t="str">
        <f>NUMBERSTRING(7-K34,1)&amp;"通"</f>
        <v>七通</v>
      </c>
      <c r="U34" s="2665"/>
      <c r="V34" s="2665"/>
    </row>
    <row r="35" spans="1:30">
      <c r="A35" s="2655"/>
      <c r="B35" s="3125" t="s">
        <v>2975</v>
      </c>
      <c r="C35" s="3125"/>
      <c r="D35" s="3125"/>
      <c r="E35" s="3125"/>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8"/>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22576.38</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22576.38</v>
      </c>
      <c r="H5" s="16">
        <f t="shared" ref="H5:AT5" si="0">SUM(H13:H656)</f>
        <v>22576.38</v>
      </c>
      <c r="I5" s="16">
        <f t="shared" si="0"/>
        <v>348.8</v>
      </c>
      <c r="J5" s="16">
        <f t="shared" si="0"/>
        <v>0</v>
      </c>
      <c r="K5" s="16">
        <f t="shared" si="0"/>
        <v>22227.58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22576.38</v>
      </c>
      <c r="BA5" s="18">
        <f t="shared" si="1"/>
        <v>22576.38</v>
      </c>
      <c r="BB5" s="18">
        <f t="shared" si="1"/>
        <v>348.8</v>
      </c>
      <c r="BC5" s="18">
        <f t="shared" si="1"/>
        <v>22227.58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3237</v>
      </c>
      <c r="J9" s="918"/>
      <c r="K9" s="1788" t="s">
        <v>3238</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3239</v>
      </c>
      <c r="E13" s="16">
        <f>IF($C$3="是",ROUND($A$3*G13/$B$3,2),ROUND($A$3*(G13-AT13)/$B$3,2))</f>
        <v>0</v>
      </c>
      <c r="F13" s="32"/>
      <c r="G13" s="33">
        <f>H13+AC13+AT13</f>
        <v>22576.38</v>
      </c>
      <c r="H13" s="20">
        <f>SUMIF(I$12:AB$12,"总值",I13:AB13)</f>
        <v>22576.38</v>
      </c>
      <c r="I13" s="1811">
        <f>清单!L4</f>
        <v>348.8</v>
      </c>
      <c r="J13" s="1811"/>
      <c r="K13" s="1811">
        <f>清单!L5+清单!L6</f>
        <v>22227.58</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22576.38</v>
      </c>
      <c r="BA13" s="16">
        <f>SUM(BB13:BK13)</f>
        <v>22576.38</v>
      </c>
      <c r="BB13" s="16">
        <f>IF($D13="是",I13-J13,0)</f>
        <v>348.8</v>
      </c>
      <c r="BC13" s="16">
        <f>IF($D13="是",K13-L13,0)</f>
        <v>22227.58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8" t="s">
        <v>0</v>
      </c>
      <c r="B1" s="3148" t="s">
        <v>4</v>
      </c>
      <c r="C1" s="3148" t="s">
        <v>5</v>
      </c>
      <c r="D1" s="3149" t="s">
        <v>53</v>
      </c>
      <c r="E1" s="3149" t="s">
        <v>54</v>
      </c>
      <c r="F1" s="3149"/>
      <c r="G1" s="3149"/>
      <c r="H1" s="3149"/>
      <c r="I1" s="3149"/>
      <c r="J1" s="3149"/>
      <c r="K1" s="3149"/>
      <c r="L1" s="3149"/>
      <c r="M1" s="3149"/>
    </row>
    <row r="2" spans="1:13" ht="27" customHeight="1">
      <c r="A2" s="3148"/>
      <c r="B2" s="3148"/>
      <c r="C2" s="3148"/>
      <c r="D2" s="3149"/>
      <c r="E2" s="3149" t="s">
        <v>37</v>
      </c>
      <c r="F2" s="3149" t="s">
        <v>38</v>
      </c>
      <c r="G2" s="3149"/>
      <c r="H2" s="3149"/>
      <c r="I2" s="3149"/>
      <c r="J2" s="3149" t="s">
        <v>39</v>
      </c>
      <c r="K2" s="3149"/>
      <c r="L2" s="3149"/>
      <c r="M2" s="3149"/>
    </row>
    <row r="3" spans="1:13" ht="28.5">
      <c r="A3" s="3148"/>
      <c r="B3" s="3148"/>
      <c r="C3" s="3148"/>
      <c r="D3" s="3149"/>
      <c r="E3" s="31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9" t="s">
        <v>55</v>
      </c>
      <c r="B9" s="3149"/>
      <c r="C9" s="31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6"/>
  <sheetViews>
    <sheetView workbookViewId="0">
      <selection activeCell="M8" sqref="M8"/>
    </sheetView>
  </sheetViews>
  <sheetFormatPr defaultRowHeight="13.5"/>
  <cols>
    <col min="1" max="1" width="3.625" bestFit="1" customWidth="1"/>
    <col min="2" max="2" width="25.75" customWidth="1"/>
    <col min="3" max="4" width="12.375" customWidth="1"/>
    <col min="5" max="5" width="27.5" customWidth="1"/>
    <col min="6" max="6" width="35.5" style="3068" hidden="1" customWidth="1"/>
    <col min="7" max="7" width="27.5" customWidth="1"/>
    <col min="8" max="8" width="11.5" hidden="1" customWidth="1"/>
    <col min="9" max="9" width="11.625" hidden="1" customWidth="1"/>
    <col min="12" max="12" width="10.5" customWidth="1"/>
    <col min="257" max="257" width="3.625" bestFit="1" customWidth="1"/>
    <col min="258" max="258" width="25.75" customWidth="1"/>
    <col min="259" max="260" width="12.375" customWidth="1"/>
    <col min="261" max="261" width="27.5" customWidth="1"/>
    <col min="262" max="262" width="0" hidden="1" customWidth="1"/>
    <col min="263" max="263" width="27.5" customWidth="1"/>
    <col min="264" max="265" width="0" hidden="1" customWidth="1"/>
    <col min="513" max="513" width="3.625" bestFit="1" customWidth="1"/>
    <col min="514" max="514" width="25.75" customWidth="1"/>
    <col min="515" max="516" width="12.375" customWidth="1"/>
    <col min="517" max="517" width="27.5" customWidth="1"/>
    <col min="518" max="518" width="0" hidden="1" customWidth="1"/>
    <col min="519" max="519" width="27.5" customWidth="1"/>
    <col min="520" max="521" width="0" hidden="1" customWidth="1"/>
    <col min="769" max="769" width="3.625" bestFit="1" customWidth="1"/>
    <col min="770" max="770" width="25.75" customWidth="1"/>
    <col min="771" max="772" width="12.375" customWidth="1"/>
    <col min="773" max="773" width="27.5" customWidth="1"/>
    <col min="774" max="774" width="0" hidden="1" customWidth="1"/>
    <col min="775" max="775" width="27.5" customWidth="1"/>
    <col min="776" max="777" width="0" hidden="1" customWidth="1"/>
    <col min="1025" max="1025" width="3.625" bestFit="1" customWidth="1"/>
    <col min="1026" max="1026" width="25.75" customWidth="1"/>
    <col min="1027" max="1028" width="12.375" customWidth="1"/>
    <col min="1029" max="1029" width="27.5" customWidth="1"/>
    <col min="1030" max="1030" width="0" hidden="1" customWidth="1"/>
    <col min="1031" max="1031" width="27.5" customWidth="1"/>
    <col min="1032" max="1033" width="0" hidden="1" customWidth="1"/>
    <col min="1281" max="1281" width="3.625" bestFit="1" customWidth="1"/>
    <col min="1282" max="1282" width="25.75" customWidth="1"/>
    <col min="1283" max="1284" width="12.375" customWidth="1"/>
    <col min="1285" max="1285" width="27.5" customWidth="1"/>
    <col min="1286" max="1286" width="0" hidden="1" customWidth="1"/>
    <col min="1287" max="1287" width="27.5" customWidth="1"/>
    <col min="1288" max="1289" width="0" hidden="1" customWidth="1"/>
    <col min="1537" max="1537" width="3.625" bestFit="1" customWidth="1"/>
    <col min="1538" max="1538" width="25.75" customWidth="1"/>
    <col min="1539" max="1540" width="12.375" customWidth="1"/>
    <col min="1541" max="1541" width="27.5" customWidth="1"/>
    <col min="1542" max="1542" width="0" hidden="1" customWidth="1"/>
    <col min="1543" max="1543" width="27.5" customWidth="1"/>
    <col min="1544" max="1545" width="0" hidden="1" customWidth="1"/>
    <col min="1793" max="1793" width="3.625" bestFit="1" customWidth="1"/>
    <col min="1794" max="1794" width="25.75" customWidth="1"/>
    <col min="1795" max="1796" width="12.375" customWidth="1"/>
    <col min="1797" max="1797" width="27.5" customWidth="1"/>
    <col min="1798" max="1798" width="0" hidden="1" customWidth="1"/>
    <col min="1799" max="1799" width="27.5" customWidth="1"/>
    <col min="1800" max="1801" width="0" hidden="1" customWidth="1"/>
    <col min="2049" max="2049" width="3.625" bestFit="1" customWidth="1"/>
    <col min="2050" max="2050" width="25.75" customWidth="1"/>
    <col min="2051" max="2052" width="12.375" customWidth="1"/>
    <col min="2053" max="2053" width="27.5" customWidth="1"/>
    <col min="2054" max="2054" width="0" hidden="1" customWidth="1"/>
    <col min="2055" max="2055" width="27.5" customWidth="1"/>
    <col min="2056" max="2057" width="0" hidden="1" customWidth="1"/>
    <col min="2305" max="2305" width="3.625" bestFit="1" customWidth="1"/>
    <col min="2306" max="2306" width="25.75" customWidth="1"/>
    <col min="2307" max="2308" width="12.375" customWidth="1"/>
    <col min="2309" max="2309" width="27.5" customWidth="1"/>
    <col min="2310" max="2310" width="0" hidden="1" customWidth="1"/>
    <col min="2311" max="2311" width="27.5" customWidth="1"/>
    <col min="2312" max="2313" width="0" hidden="1" customWidth="1"/>
    <col min="2561" max="2561" width="3.625" bestFit="1" customWidth="1"/>
    <col min="2562" max="2562" width="25.75" customWidth="1"/>
    <col min="2563" max="2564" width="12.375" customWidth="1"/>
    <col min="2565" max="2565" width="27.5" customWidth="1"/>
    <col min="2566" max="2566" width="0" hidden="1" customWidth="1"/>
    <col min="2567" max="2567" width="27.5" customWidth="1"/>
    <col min="2568" max="2569" width="0" hidden="1" customWidth="1"/>
    <col min="2817" max="2817" width="3.625" bestFit="1" customWidth="1"/>
    <col min="2818" max="2818" width="25.75" customWidth="1"/>
    <col min="2819" max="2820" width="12.375" customWidth="1"/>
    <col min="2821" max="2821" width="27.5" customWidth="1"/>
    <col min="2822" max="2822" width="0" hidden="1" customWidth="1"/>
    <col min="2823" max="2823" width="27.5" customWidth="1"/>
    <col min="2824" max="2825" width="0" hidden="1" customWidth="1"/>
    <col min="3073" max="3073" width="3.625" bestFit="1" customWidth="1"/>
    <col min="3074" max="3074" width="25.75" customWidth="1"/>
    <col min="3075" max="3076" width="12.375" customWidth="1"/>
    <col min="3077" max="3077" width="27.5" customWidth="1"/>
    <col min="3078" max="3078" width="0" hidden="1" customWidth="1"/>
    <col min="3079" max="3079" width="27.5" customWidth="1"/>
    <col min="3080" max="3081" width="0" hidden="1" customWidth="1"/>
    <col min="3329" max="3329" width="3.625" bestFit="1" customWidth="1"/>
    <col min="3330" max="3330" width="25.75" customWidth="1"/>
    <col min="3331" max="3332" width="12.375" customWidth="1"/>
    <col min="3333" max="3333" width="27.5" customWidth="1"/>
    <col min="3334" max="3334" width="0" hidden="1" customWidth="1"/>
    <col min="3335" max="3335" width="27.5" customWidth="1"/>
    <col min="3336" max="3337" width="0" hidden="1" customWidth="1"/>
    <col min="3585" max="3585" width="3.625" bestFit="1" customWidth="1"/>
    <col min="3586" max="3586" width="25.75" customWidth="1"/>
    <col min="3587" max="3588" width="12.375" customWidth="1"/>
    <col min="3589" max="3589" width="27.5" customWidth="1"/>
    <col min="3590" max="3590" width="0" hidden="1" customWidth="1"/>
    <col min="3591" max="3591" width="27.5" customWidth="1"/>
    <col min="3592" max="3593" width="0" hidden="1" customWidth="1"/>
    <col min="3841" max="3841" width="3.625" bestFit="1" customWidth="1"/>
    <col min="3842" max="3842" width="25.75" customWidth="1"/>
    <col min="3843" max="3844" width="12.375" customWidth="1"/>
    <col min="3845" max="3845" width="27.5" customWidth="1"/>
    <col min="3846" max="3846" width="0" hidden="1" customWidth="1"/>
    <col min="3847" max="3847" width="27.5" customWidth="1"/>
    <col min="3848" max="3849" width="0" hidden="1" customWidth="1"/>
    <col min="4097" max="4097" width="3.625" bestFit="1" customWidth="1"/>
    <col min="4098" max="4098" width="25.75" customWidth="1"/>
    <col min="4099" max="4100" width="12.375" customWidth="1"/>
    <col min="4101" max="4101" width="27.5" customWidth="1"/>
    <col min="4102" max="4102" width="0" hidden="1" customWidth="1"/>
    <col min="4103" max="4103" width="27.5" customWidth="1"/>
    <col min="4104" max="4105" width="0" hidden="1" customWidth="1"/>
    <col min="4353" max="4353" width="3.625" bestFit="1" customWidth="1"/>
    <col min="4354" max="4354" width="25.75" customWidth="1"/>
    <col min="4355" max="4356" width="12.375" customWidth="1"/>
    <col min="4357" max="4357" width="27.5" customWidth="1"/>
    <col min="4358" max="4358" width="0" hidden="1" customWidth="1"/>
    <col min="4359" max="4359" width="27.5" customWidth="1"/>
    <col min="4360" max="4361" width="0" hidden="1" customWidth="1"/>
    <col min="4609" max="4609" width="3.625" bestFit="1" customWidth="1"/>
    <col min="4610" max="4610" width="25.75" customWidth="1"/>
    <col min="4611" max="4612" width="12.375" customWidth="1"/>
    <col min="4613" max="4613" width="27.5" customWidth="1"/>
    <col min="4614" max="4614" width="0" hidden="1" customWidth="1"/>
    <col min="4615" max="4615" width="27.5" customWidth="1"/>
    <col min="4616" max="4617" width="0" hidden="1" customWidth="1"/>
    <col min="4865" max="4865" width="3.625" bestFit="1" customWidth="1"/>
    <col min="4866" max="4866" width="25.75" customWidth="1"/>
    <col min="4867" max="4868" width="12.375" customWidth="1"/>
    <col min="4869" max="4869" width="27.5" customWidth="1"/>
    <col min="4870" max="4870" width="0" hidden="1" customWidth="1"/>
    <col min="4871" max="4871" width="27.5" customWidth="1"/>
    <col min="4872" max="4873" width="0" hidden="1" customWidth="1"/>
    <col min="5121" max="5121" width="3.625" bestFit="1" customWidth="1"/>
    <col min="5122" max="5122" width="25.75" customWidth="1"/>
    <col min="5123" max="5124" width="12.375" customWidth="1"/>
    <col min="5125" max="5125" width="27.5" customWidth="1"/>
    <col min="5126" max="5126" width="0" hidden="1" customWidth="1"/>
    <col min="5127" max="5127" width="27.5" customWidth="1"/>
    <col min="5128" max="5129" width="0" hidden="1" customWidth="1"/>
    <col min="5377" max="5377" width="3.625" bestFit="1" customWidth="1"/>
    <col min="5378" max="5378" width="25.75" customWidth="1"/>
    <col min="5379" max="5380" width="12.375" customWidth="1"/>
    <col min="5381" max="5381" width="27.5" customWidth="1"/>
    <col min="5382" max="5382" width="0" hidden="1" customWidth="1"/>
    <col min="5383" max="5383" width="27.5" customWidth="1"/>
    <col min="5384" max="5385" width="0" hidden="1" customWidth="1"/>
    <col min="5633" max="5633" width="3.625" bestFit="1" customWidth="1"/>
    <col min="5634" max="5634" width="25.75" customWidth="1"/>
    <col min="5635" max="5636" width="12.375" customWidth="1"/>
    <col min="5637" max="5637" width="27.5" customWidth="1"/>
    <col min="5638" max="5638" width="0" hidden="1" customWidth="1"/>
    <col min="5639" max="5639" width="27.5" customWidth="1"/>
    <col min="5640" max="5641" width="0" hidden="1" customWidth="1"/>
    <col min="5889" max="5889" width="3.625" bestFit="1" customWidth="1"/>
    <col min="5890" max="5890" width="25.75" customWidth="1"/>
    <col min="5891" max="5892" width="12.375" customWidth="1"/>
    <col min="5893" max="5893" width="27.5" customWidth="1"/>
    <col min="5894" max="5894" width="0" hidden="1" customWidth="1"/>
    <col min="5895" max="5895" width="27.5" customWidth="1"/>
    <col min="5896" max="5897" width="0" hidden="1" customWidth="1"/>
    <col min="6145" max="6145" width="3.625" bestFit="1" customWidth="1"/>
    <col min="6146" max="6146" width="25.75" customWidth="1"/>
    <col min="6147" max="6148" width="12.375" customWidth="1"/>
    <col min="6149" max="6149" width="27.5" customWidth="1"/>
    <col min="6150" max="6150" width="0" hidden="1" customWidth="1"/>
    <col min="6151" max="6151" width="27.5" customWidth="1"/>
    <col min="6152" max="6153" width="0" hidden="1" customWidth="1"/>
    <col min="6401" max="6401" width="3.625" bestFit="1" customWidth="1"/>
    <col min="6402" max="6402" width="25.75" customWidth="1"/>
    <col min="6403" max="6404" width="12.375" customWidth="1"/>
    <col min="6405" max="6405" width="27.5" customWidth="1"/>
    <col min="6406" max="6406" width="0" hidden="1" customWidth="1"/>
    <col min="6407" max="6407" width="27.5" customWidth="1"/>
    <col min="6408" max="6409" width="0" hidden="1" customWidth="1"/>
    <col min="6657" max="6657" width="3.625" bestFit="1" customWidth="1"/>
    <col min="6658" max="6658" width="25.75" customWidth="1"/>
    <col min="6659" max="6660" width="12.375" customWidth="1"/>
    <col min="6661" max="6661" width="27.5" customWidth="1"/>
    <col min="6662" max="6662" width="0" hidden="1" customWidth="1"/>
    <col min="6663" max="6663" width="27.5" customWidth="1"/>
    <col min="6664" max="6665" width="0" hidden="1" customWidth="1"/>
    <col min="6913" max="6913" width="3.625" bestFit="1" customWidth="1"/>
    <col min="6914" max="6914" width="25.75" customWidth="1"/>
    <col min="6915" max="6916" width="12.375" customWidth="1"/>
    <col min="6917" max="6917" width="27.5" customWidth="1"/>
    <col min="6918" max="6918" width="0" hidden="1" customWidth="1"/>
    <col min="6919" max="6919" width="27.5" customWidth="1"/>
    <col min="6920" max="6921" width="0" hidden="1" customWidth="1"/>
    <col min="7169" max="7169" width="3.625" bestFit="1" customWidth="1"/>
    <col min="7170" max="7170" width="25.75" customWidth="1"/>
    <col min="7171" max="7172" width="12.375" customWidth="1"/>
    <col min="7173" max="7173" width="27.5" customWidth="1"/>
    <col min="7174" max="7174" width="0" hidden="1" customWidth="1"/>
    <col min="7175" max="7175" width="27.5" customWidth="1"/>
    <col min="7176" max="7177" width="0" hidden="1" customWidth="1"/>
    <col min="7425" max="7425" width="3.625" bestFit="1" customWidth="1"/>
    <col min="7426" max="7426" width="25.75" customWidth="1"/>
    <col min="7427" max="7428" width="12.375" customWidth="1"/>
    <col min="7429" max="7429" width="27.5" customWidth="1"/>
    <col min="7430" max="7430" width="0" hidden="1" customWidth="1"/>
    <col min="7431" max="7431" width="27.5" customWidth="1"/>
    <col min="7432" max="7433" width="0" hidden="1" customWidth="1"/>
    <col min="7681" max="7681" width="3.625" bestFit="1" customWidth="1"/>
    <col min="7682" max="7682" width="25.75" customWidth="1"/>
    <col min="7683" max="7684" width="12.375" customWidth="1"/>
    <col min="7685" max="7685" width="27.5" customWidth="1"/>
    <col min="7686" max="7686" width="0" hidden="1" customWidth="1"/>
    <col min="7687" max="7687" width="27.5" customWidth="1"/>
    <col min="7688" max="7689" width="0" hidden="1" customWidth="1"/>
    <col min="7937" max="7937" width="3.625" bestFit="1" customWidth="1"/>
    <col min="7938" max="7938" width="25.75" customWidth="1"/>
    <col min="7939" max="7940" width="12.375" customWidth="1"/>
    <col min="7941" max="7941" width="27.5" customWidth="1"/>
    <col min="7942" max="7942" width="0" hidden="1" customWidth="1"/>
    <col min="7943" max="7943" width="27.5" customWidth="1"/>
    <col min="7944" max="7945" width="0" hidden="1" customWidth="1"/>
    <col min="8193" max="8193" width="3.625" bestFit="1" customWidth="1"/>
    <col min="8194" max="8194" width="25.75" customWidth="1"/>
    <col min="8195" max="8196" width="12.375" customWidth="1"/>
    <col min="8197" max="8197" width="27.5" customWidth="1"/>
    <col min="8198" max="8198" width="0" hidden="1" customWidth="1"/>
    <col min="8199" max="8199" width="27.5" customWidth="1"/>
    <col min="8200" max="8201" width="0" hidden="1" customWidth="1"/>
    <col min="8449" max="8449" width="3.625" bestFit="1" customWidth="1"/>
    <col min="8450" max="8450" width="25.75" customWidth="1"/>
    <col min="8451" max="8452" width="12.375" customWidth="1"/>
    <col min="8453" max="8453" width="27.5" customWidth="1"/>
    <col min="8454" max="8454" width="0" hidden="1" customWidth="1"/>
    <col min="8455" max="8455" width="27.5" customWidth="1"/>
    <col min="8456" max="8457" width="0" hidden="1" customWidth="1"/>
    <col min="8705" max="8705" width="3.625" bestFit="1" customWidth="1"/>
    <col min="8706" max="8706" width="25.75" customWidth="1"/>
    <col min="8707" max="8708" width="12.375" customWidth="1"/>
    <col min="8709" max="8709" width="27.5" customWidth="1"/>
    <col min="8710" max="8710" width="0" hidden="1" customWidth="1"/>
    <col min="8711" max="8711" width="27.5" customWidth="1"/>
    <col min="8712" max="8713" width="0" hidden="1" customWidth="1"/>
    <col min="8961" max="8961" width="3.625" bestFit="1" customWidth="1"/>
    <col min="8962" max="8962" width="25.75" customWidth="1"/>
    <col min="8963" max="8964" width="12.375" customWidth="1"/>
    <col min="8965" max="8965" width="27.5" customWidth="1"/>
    <col min="8966" max="8966" width="0" hidden="1" customWidth="1"/>
    <col min="8967" max="8967" width="27.5" customWidth="1"/>
    <col min="8968" max="8969" width="0" hidden="1" customWidth="1"/>
    <col min="9217" max="9217" width="3.625" bestFit="1" customWidth="1"/>
    <col min="9218" max="9218" width="25.75" customWidth="1"/>
    <col min="9219" max="9220" width="12.375" customWidth="1"/>
    <col min="9221" max="9221" width="27.5" customWidth="1"/>
    <col min="9222" max="9222" width="0" hidden="1" customWidth="1"/>
    <col min="9223" max="9223" width="27.5" customWidth="1"/>
    <col min="9224" max="9225" width="0" hidden="1" customWidth="1"/>
    <col min="9473" max="9473" width="3.625" bestFit="1" customWidth="1"/>
    <col min="9474" max="9474" width="25.75" customWidth="1"/>
    <col min="9475" max="9476" width="12.375" customWidth="1"/>
    <col min="9477" max="9477" width="27.5" customWidth="1"/>
    <col min="9478" max="9478" width="0" hidden="1" customWidth="1"/>
    <col min="9479" max="9479" width="27.5" customWidth="1"/>
    <col min="9480" max="9481" width="0" hidden="1" customWidth="1"/>
    <col min="9729" max="9729" width="3.625" bestFit="1" customWidth="1"/>
    <col min="9730" max="9730" width="25.75" customWidth="1"/>
    <col min="9731" max="9732" width="12.375" customWidth="1"/>
    <col min="9733" max="9733" width="27.5" customWidth="1"/>
    <col min="9734" max="9734" width="0" hidden="1" customWidth="1"/>
    <col min="9735" max="9735" width="27.5" customWidth="1"/>
    <col min="9736" max="9737" width="0" hidden="1" customWidth="1"/>
    <col min="9985" max="9985" width="3.625" bestFit="1" customWidth="1"/>
    <col min="9986" max="9986" width="25.75" customWidth="1"/>
    <col min="9987" max="9988" width="12.375" customWidth="1"/>
    <col min="9989" max="9989" width="27.5" customWidth="1"/>
    <col min="9990" max="9990" width="0" hidden="1" customWidth="1"/>
    <col min="9991" max="9991" width="27.5" customWidth="1"/>
    <col min="9992" max="9993" width="0" hidden="1" customWidth="1"/>
    <col min="10241" max="10241" width="3.625" bestFit="1" customWidth="1"/>
    <col min="10242" max="10242" width="25.75" customWidth="1"/>
    <col min="10243" max="10244" width="12.375" customWidth="1"/>
    <col min="10245" max="10245" width="27.5" customWidth="1"/>
    <col min="10246" max="10246" width="0" hidden="1" customWidth="1"/>
    <col min="10247" max="10247" width="27.5" customWidth="1"/>
    <col min="10248" max="10249" width="0" hidden="1" customWidth="1"/>
    <col min="10497" max="10497" width="3.625" bestFit="1" customWidth="1"/>
    <col min="10498" max="10498" width="25.75" customWidth="1"/>
    <col min="10499" max="10500" width="12.375" customWidth="1"/>
    <col min="10501" max="10501" width="27.5" customWidth="1"/>
    <col min="10502" max="10502" width="0" hidden="1" customWidth="1"/>
    <col min="10503" max="10503" width="27.5" customWidth="1"/>
    <col min="10504" max="10505" width="0" hidden="1" customWidth="1"/>
    <col min="10753" max="10753" width="3.625" bestFit="1" customWidth="1"/>
    <col min="10754" max="10754" width="25.75" customWidth="1"/>
    <col min="10755" max="10756" width="12.375" customWidth="1"/>
    <col min="10757" max="10757" width="27.5" customWidth="1"/>
    <col min="10758" max="10758" width="0" hidden="1" customWidth="1"/>
    <col min="10759" max="10759" width="27.5" customWidth="1"/>
    <col min="10760" max="10761" width="0" hidden="1" customWidth="1"/>
    <col min="11009" max="11009" width="3.625" bestFit="1" customWidth="1"/>
    <col min="11010" max="11010" width="25.75" customWidth="1"/>
    <col min="11011" max="11012" width="12.375" customWidth="1"/>
    <col min="11013" max="11013" width="27.5" customWidth="1"/>
    <col min="11014" max="11014" width="0" hidden="1" customWidth="1"/>
    <col min="11015" max="11015" width="27.5" customWidth="1"/>
    <col min="11016" max="11017" width="0" hidden="1" customWidth="1"/>
    <col min="11265" max="11265" width="3.625" bestFit="1" customWidth="1"/>
    <col min="11266" max="11266" width="25.75" customWidth="1"/>
    <col min="11267" max="11268" width="12.375" customWidth="1"/>
    <col min="11269" max="11269" width="27.5" customWidth="1"/>
    <col min="11270" max="11270" width="0" hidden="1" customWidth="1"/>
    <col min="11271" max="11271" width="27.5" customWidth="1"/>
    <col min="11272" max="11273" width="0" hidden="1" customWidth="1"/>
    <col min="11521" max="11521" width="3.625" bestFit="1" customWidth="1"/>
    <col min="11522" max="11522" width="25.75" customWidth="1"/>
    <col min="11523" max="11524" width="12.375" customWidth="1"/>
    <col min="11525" max="11525" width="27.5" customWidth="1"/>
    <col min="11526" max="11526" width="0" hidden="1" customWidth="1"/>
    <col min="11527" max="11527" width="27.5" customWidth="1"/>
    <col min="11528" max="11529" width="0" hidden="1" customWidth="1"/>
    <col min="11777" max="11777" width="3.625" bestFit="1" customWidth="1"/>
    <col min="11778" max="11778" width="25.75" customWidth="1"/>
    <col min="11779" max="11780" width="12.375" customWidth="1"/>
    <col min="11781" max="11781" width="27.5" customWidth="1"/>
    <col min="11782" max="11782" width="0" hidden="1" customWidth="1"/>
    <col min="11783" max="11783" width="27.5" customWidth="1"/>
    <col min="11784" max="11785" width="0" hidden="1" customWidth="1"/>
    <col min="12033" max="12033" width="3.625" bestFit="1" customWidth="1"/>
    <col min="12034" max="12034" width="25.75" customWidth="1"/>
    <col min="12035" max="12036" width="12.375" customWidth="1"/>
    <col min="12037" max="12037" width="27.5" customWidth="1"/>
    <col min="12038" max="12038" width="0" hidden="1" customWidth="1"/>
    <col min="12039" max="12039" width="27.5" customWidth="1"/>
    <col min="12040" max="12041" width="0" hidden="1" customWidth="1"/>
    <col min="12289" max="12289" width="3.625" bestFit="1" customWidth="1"/>
    <col min="12290" max="12290" width="25.75" customWidth="1"/>
    <col min="12291" max="12292" width="12.375" customWidth="1"/>
    <col min="12293" max="12293" width="27.5" customWidth="1"/>
    <col min="12294" max="12294" width="0" hidden="1" customWidth="1"/>
    <col min="12295" max="12295" width="27.5" customWidth="1"/>
    <col min="12296" max="12297" width="0" hidden="1" customWidth="1"/>
    <col min="12545" max="12545" width="3.625" bestFit="1" customWidth="1"/>
    <col min="12546" max="12546" width="25.75" customWidth="1"/>
    <col min="12547" max="12548" width="12.375" customWidth="1"/>
    <col min="12549" max="12549" width="27.5" customWidth="1"/>
    <col min="12550" max="12550" width="0" hidden="1" customWidth="1"/>
    <col min="12551" max="12551" width="27.5" customWidth="1"/>
    <col min="12552" max="12553" width="0" hidden="1" customWidth="1"/>
    <col min="12801" max="12801" width="3.625" bestFit="1" customWidth="1"/>
    <col min="12802" max="12802" width="25.75" customWidth="1"/>
    <col min="12803" max="12804" width="12.375" customWidth="1"/>
    <col min="12805" max="12805" width="27.5" customWidth="1"/>
    <col min="12806" max="12806" width="0" hidden="1" customWidth="1"/>
    <col min="12807" max="12807" width="27.5" customWidth="1"/>
    <col min="12808" max="12809" width="0" hidden="1" customWidth="1"/>
    <col min="13057" max="13057" width="3.625" bestFit="1" customWidth="1"/>
    <col min="13058" max="13058" width="25.75" customWidth="1"/>
    <col min="13059" max="13060" width="12.375" customWidth="1"/>
    <col min="13061" max="13061" width="27.5" customWidth="1"/>
    <col min="13062" max="13062" width="0" hidden="1" customWidth="1"/>
    <col min="13063" max="13063" width="27.5" customWidth="1"/>
    <col min="13064" max="13065" width="0" hidden="1" customWidth="1"/>
    <col min="13313" max="13313" width="3.625" bestFit="1" customWidth="1"/>
    <col min="13314" max="13314" width="25.75" customWidth="1"/>
    <col min="13315" max="13316" width="12.375" customWidth="1"/>
    <col min="13317" max="13317" width="27.5" customWidth="1"/>
    <col min="13318" max="13318" width="0" hidden="1" customWidth="1"/>
    <col min="13319" max="13319" width="27.5" customWidth="1"/>
    <col min="13320" max="13321" width="0" hidden="1" customWidth="1"/>
    <col min="13569" max="13569" width="3.625" bestFit="1" customWidth="1"/>
    <col min="13570" max="13570" width="25.75" customWidth="1"/>
    <col min="13571" max="13572" width="12.375" customWidth="1"/>
    <col min="13573" max="13573" width="27.5" customWidth="1"/>
    <col min="13574" max="13574" width="0" hidden="1" customWidth="1"/>
    <col min="13575" max="13575" width="27.5" customWidth="1"/>
    <col min="13576" max="13577" width="0" hidden="1" customWidth="1"/>
    <col min="13825" max="13825" width="3.625" bestFit="1" customWidth="1"/>
    <col min="13826" max="13826" width="25.75" customWidth="1"/>
    <col min="13827" max="13828" width="12.375" customWidth="1"/>
    <col min="13829" max="13829" width="27.5" customWidth="1"/>
    <col min="13830" max="13830" width="0" hidden="1" customWidth="1"/>
    <col min="13831" max="13831" width="27.5" customWidth="1"/>
    <col min="13832" max="13833" width="0" hidden="1" customWidth="1"/>
    <col min="14081" max="14081" width="3.625" bestFit="1" customWidth="1"/>
    <col min="14082" max="14082" width="25.75" customWidth="1"/>
    <col min="14083" max="14084" width="12.375" customWidth="1"/>
    <col min="14085" max="14085" width="27.5" customWidth="1"/>
    <col min="14086" max="14086" width="0" hidden="1" customWidth="1"/>
    <col min="14087" max="14087" width="27.5" customWidth="1"/>
    <col min="14088" max="14089" width="0" hidden="1" customWidth="1"/>
    <col min="14337" max="14337" width="3.625" bestFit="1" customWidth="1"/>
    <col min="14338" max="14338" width="25.75" customWidth="1"/>
    <col min="14339" max="14340" width="12.375" customWidth="1"/>
    <col min="14341" max="14341" width="27.5" customWidth="1"/>
    <col min="14342" max="14342" width="0" hidden="1" customWidth="1"/>
    <col min="14343" max="14343" width="27.5" customWidth="1"/>
    <col min="14344" max="14345" width="0" hidden="1" customWidth="1"/>
    <col min="14593" max="14593" width="3.625" bestFit="1" customWidth="1"/>
    <col min="14594" max="14594" width="25.75" customWidth="1"/>
    <col min="14595" max="14596" width="12.375" customWidth="1"/>
    <col min="14597" max="14597" width="27.5" customWidth="1"/>
    <col min="14598" max="14598" width="0" hidden="1" customWidth="1"/>
    <col min="14599" max="14599" width="27.5" customWidth="1"/>
    <col min="14600" max="14601" width="0" hidden="1" customWidth="1"/>
    <col min="14849" max="14849" width="3.625" bestFit="1" customWidth="1"/>
    <col min="14850" max="14850" width="25.75" customWidth="1"/>
    <col min="14851" max="14852" width="12.375" customWidth="1"/>
    <col min="14853" max="14853" width="27.5" customWidth="1"/>
    <col min="14854" max="14854" width="0" hidden="1" customWidth="1"/>
    <col min="14855" max="14855" width="27.5" customWidth="1"/>
    <col min="14856" max="14857" width="0" hidden="1" customWidth="1"/>
    <col min="15105" max="15105" width="3.625" bestFit="1" customWidth="1"/>
    <col min="15106" max="15106" width="25.75" customWidth="1"/>
    <col min="15107" max="15108" width="12.375" customWidth="1"/>
    <col min="15109" max="15109" width="27.5" customWidth="1"/>
    <col min="15110" max="15110" width="0" hidden="1" customWidth="1"/>
    <col min="15111" max="15111" width="27.5" customWidth="1"/>
    <col min="15112" max="15113" width="0" hidden="1" customWidth="1"/>
    <col min="15361" max="15361" width="3.625" bestFit="1" customWidth="1"/>
    <col min="15362" max="15362" width="25.75" customWidth="1"/>
    <col min="15363" max="15364" width="12.375" customWidth="1"/>
    <col min="15365" max="15365" width="27.5" customWidth="1"/>
    <col min="15366" max="15366" width="0" hidden="1" customWidth="1"/>
    <col min="15367" max="15367" width="27.5" customWidth="1"/>
    <col min="15368" max="15369" width="0" hidden="1" customWidth="1"/>
    <col min="15617" max="15617" width="3.625" bestFit="1" customWidth="1"/>
    <col min="15618" max="15618" width="25.75" customWidth="1"/>
    <col min="15619" max="15620" width="12.375" customWidth="1"/>
    <col min="15621" max="15621" width="27.5" customWidth="1"/>
    <col min="15622" max="15622" width="0" hidden="1" customWidth="1"/>
    <col min="15623" max="15623" width="27.5" customWidth="1"/>
    <col min="15624" max="15625" width="0" hidden="1" customWidth="1"/>
    <col min="15873" max="15873" width="3.625" bestFit="1" customWidth="1"/>
    <col min="15874" max="15874" width="25.75" customWidth="1"/>
    <col min="15875" max="15876" width="12.375" customWidth="1"/>
    <col min="15877" max="15877" width="27.5" customWidth="1"/>
    <col min="15878" max="15878" width="0" hidden="1" customWidth="1"/>
    <col min="15879" max="15879" width="27.5" customWidth="1"/>
    <col min="15880" max="15881" width="0" hidden="1" customWidth="1"/>
    <col min="16129" max="16129" width="3.625" bestFit="1" customWidth="1"/>
    <col min="16130" max="16130" width="25.75" customWidth="1"/>
    <col min="16131" max="16132" width="12.375" customWidth="1"/>
    <col min="16133" max="16133" width="27.5" customWidth="1"/>
    <col min="16134" max="16134" width="0" hidden="1" customWidth="1"/>
    <col min="16135" max="16135" width="27.5" customWidth="1"/>
    <col min="16136" max="16137" width="0" hidden="1" customWidth="1"/>
  </cols>
  <sheetData>
    <row r="1" spans="1:12" ht="32.25" customHeight="1">
      <c r="B1" s="3151" t="s">
        <v>3065</v>
      </c>
      <c r="C1" s="3151"/>
      <c r="D1" s="3151"/>
      <c r="E1" s="3151"/>
      <c r="F1" s="3151"/>
      <c r="G1" s="3151"/>
    </row>
    <row r="2" spans="1:12" s="3064" customFormat="1" ht="25.5" customHeight="1">
      <c r="A2" s="3062" t="s">
        <v>3066</v>
      </c>
      <c r="B2" s="3062" t="s">
        <v>3067</v>
      </c>
      <c r="C2" s="3062" t="s">
        <v>3068</v>
      </c>
      <c r="D2" s="3062" t="s">
        <v>3069</v>
      </c>
      <c r="E2" s="3062" t="s">
        <v>3070</v>
      </c>
      <c r="F2" s="3062" t="s">
        <v>3071</v>
      </c>
      <c r="G2" s="3062" t="s">
        <v>3072</v>
      </c>
      <c r="H2" s="3063" t="s">
        <v>3073</v>
      </c>
      <c r="I2" s="3063" t="s">
        <v>3074</v>
      </c>
    </row>
    <row r="3" spans="1:12" ht="14.25">
      <c r="A3" s="3065">
        <v>1</v>
      </c>
      <c r="B3" s="3065" t="s">
        <v>3075</v>
      </c>
      <c r="C3" s="3065">
        <v>287.83</v>
      </c>
      <c r="D3" s="3065" t="s">
        <v>3076</v>
      </c>
      <c r="E3" s="3065" t="s">
        <v>3077</v>
      </c>
      <c r="F3" s="3150" t="s">
        <v>3078</v>
      </c>
      <c r="G3" s="3065" t="s">
        <v>3079</v>
      </c>
      <c r="L3" s="3069" t="s">
        <v>3229</v>
      </c>
    </row>
    <row r="4" spans="1:12" ht="14.25">
      <c r="A4" s="3065">
        <v>2</v>
      </c>
      <c r="B4" s="3065" t="s">
        <v>3080</v>
      </c>
      <c r="C4" s="3065">
        <v>476.87</v>
      </c>
      <c r="D4" s="3065" t="s">
        <v>3081</v>
      </c>
      <c r="E4" s="3065" t="s">
        <v>3082</v>
      </c>
      <c r="F4" s="3150"/>
      <c r="G4" s="3065" t="s">
        <v>3079</v>
      </c>
      <c r="K4" s="3069" t="s">
        <v>3228</v>
      </c>
      <c r="L4">
        <f>C44</f>
        <v>348.8</v>
      </c>
    </row>
    <row r="5" spans="1:12" ht="14.25">
      <c r="A5" s="3065">
        <v>3</v>
      </c>
      <c r="B5" s="3065" t="s">
        <v>3083</v>
      </c>
      <c r="C5" s="3065">
        <v>204.13</v>
      </c>
      <c r="D5" s="3065" t="s">
        <v>3084</v>
      </c>
      <c r="E5" s="3065" t="s">
        <v>3085</v>
      </c>
      <c r="F5" s="3150" t="s">
        <v>3086</v>
      </c>
      <c r="G5" s="3065" t="s">
        <v>3079</v>
      </c>
      <c r="K5" s="3070" t="s">
        <v>3231</v>
      </c>
      <c r="L5">
        <f>SUM(C3:C41)</f>
        <v>7399.5000000000018</v>
      </c>
    </row>
    <row r="6" spans="1:12" ht="14.25">
      <c r="A6" s="3065">
        <v>4</v>
      </c>
      <c r="B6" s="3065" t="s">
        <v>3087</v>
      </c>
      <c r="C6" s="3065">
        <v>400.81</v>
      </c>
      <c r="D6" s="3065" t="s">
        <v>3088</v>
      </c>
      <c r="E6" s="3065" t="s">
        <v>3089</v>
      </c>
      <c r="F6" s="3150"/>
      <c r="G6" s="3065" t="s">
        <v>3079</v>
      </c>
      <c r="K6" s="3070" t="s">
        <v>3233</v>
      </c>
      <c r="L6">
        <f>C42+C43+C45</f>
        <v>14828.08</v>
      </c>
    </row>
    <row r="7" spans="1:12" ht="17.100000000000001" customHeight="1">
      <c r="A7" s="3065">
        <v>5</v>
      </c>
      <c r="B7" s="3065" t="s">
        <v>3090</v>
      </c>
      <c r="C7" s="3065">
        <v>100.85</v>
      </c>
      <c r="D7" s="3065" t="s">
        <v>3091</v>
      </c>
      <c r="E7" s="3065" t="s">
        <v>3092</v>
      </c>
      <c r="F7" s="3066" t="s">
        <v>3093</v>
      </c>
      <c r="G7" s="3065" t="s">
        <v>3079</v>
      </c>
      <c r="L7">
        <f>SUM(L4:L6)</f>
        <v>22576.38</v>
      </c>
    </row>
    <row r="8" spans="1:12" ht="14.25">
      <c r="A8" s="3065">
        <v>6</v>
      </c>
      <c r="B8" s="3065" t="s">
        <v>3094</v>
      </c>
      <c r="C8" s="3065">
        <v>155.94</v>
      </c>
      <c r="D8" s="3065" t="s">
        <v>3095</v>
      </c>
      <c r="E8" s="3065" t="s">
        <v>3096</v>
      </c>
      <c r="F8" s="3152" t="s">
        <v>3097</v>
      </c>
      <c r="G8" s="3065" t="s">
        <v>3079</v>
      </c>
    </row>
    <row r="9" spans="1:12" ht="14.25">
      <c r="A9" s="3065">
        <v>7</v>
      </c>
      <c r="B9" s="3065" t="s">
        <v>3098</v>
      </c>
      <c r="C9" s="3065">
        <v>168.43</v>
      </c>
      <c r="D9" s="3065" t="s">
        <v>3099</v>
      </c>
      <c r="E9" s="3065" t="s">
        <v>3100</v>
      </c>
      <c r="F9" s="3152"/>
      <c r="G9" s="3065" t="s">
        <v>3079</v>
      </c>
    </row>
    <row r="10" spans="1:12" ht="14.25">
      <c r="A10" s="3065">
        <v>8</v>
      </c>
      <c r="B10" s="3065" t="s">
        <v>3101</v>
      </c>
      <c r="C10" s="3065">
        <v>126.94</v>
      </c>
      <c r="D10" s="3065" t="s">
        <v>3102</v>
      </c>
      <c r="E10" s="3065" t="s">
        <v>3103</v>
      </c>
      <c r="F10" s="3152"/>
      <c r="G10" s="3065" t="s">
        <v>3079</v>
      </c>
    </row>
    <row r="11" spans="1:12" ht="14.25">
      <c r="A11" s="3065">
        <v>9</v>
      </c>
      <c r="B11" s="3065" t="s">
        <v>3104</v>
      </c>
      <c r="C11" s="3065">
        <v>206.05</v>
      </c>
      <c r="D11" s="3065" t="s">
        <v>3105</v>
      </c>
      <c r="E11" s="3065" t="s">
        <v>3106</v>
      </c>
      <c r="F11" s="3150" t="s">
        <v>3107</v>
      </c>
      <c r="G11" s="3065" t="s">
        <v>3079</v>
      </c>
    </row>
    <row r="12" spans="1:12" ht="14.25">
      <c r="A12" s="3065">
        <v>10</v>
      </c>
      <c r="B12" s="3065" t="s">
        <v>3108</v>
      </c>
      <c r="C12" s="3065">
        <v>210.09</v>
      </c>
      <c r="D12" s="3065" t="s">
        <v>3109</v>
      </c>
      <c r="E12" s="3065" t="s">
        <v>3110</v>
      </c>
      <c r="F12" s="3150"/>
      <c r="G12" s="3065" t="s">
        <v>3079</v>
      </c>
    </row>
    <row r="13" spans="1:12" ht="14.25">
      <c r="A13" s="3065">
        <v>11</v>
      </c>
      <c r="B13" s="3065" t="s">
        <v>3111</v>
      </c>
      <c r="C13" s="3065">
        <v>261.76</v>
      </c>
      <c r="D13" s="3065" t="s">
        <v>3112</v>
      </c>
      <c r="E13" s="3065" t="s">
        <v>3113</v>
      </c>
      <c r="F13" s="3150"/>
      <c r="G13" s="3065" t="s">
        <v>3079</v>
      </c>
    </row>
    <row r="14" spans="1:12" ht="14.25">
      <c r="A14" s="3065">
        <v>12</v>
      </c>
      <c r="B14" s="3065" t="s">
        <v>3114</v>
      </c>
      <c r="C14" s="3065">
        <v>201</v>
      </c>
      <c r="D14" s="3065" t="s">
        <v>3115</v>
      </c>
      <c r="E14" s="3065" t="s">
        <v>3116</v>
      </c>
      <c r="F14" s="3150"/>
      <c r="G14" s="3065" t="s">
        <v>3079</v>
      </c>
    </row>
    <row r="15" spans="1:12" ht="14.25">
      <c r="A15" s="3065">
        <v>13</v>
      </c>
      <c r="B15" s="3065" t="s">
        <v>3117</v>
      </c>
      <c r="C15" s="3065">
        <v>107.75</v>
      </c>
      <c r="D15" s="3065" t="s">
        <v>3118</v>
      </c>
      <c r="E15" s="3065" t="s">
        <v>3119</v>
      </c>
      <c r="F15" s="3150"/>
      <c r="G15" s="3065" t="s">
        <v>3079</v>
      </c>
    </row>
    <row r="16" spans="1:12" ht="14.25">
      <c r="A16" s="3065">
        <v>14</v>
      </c>
      <c r="B16" s="3065" t="s">
        <v>3120</v>
      </c>
      <c r="C16" s="3065">
        <v>96.59</v>
      </c>
      <c r="D16" s="3065" t="s">
        <v>3121</v>
      </c>
      <c r="E16" s="3065" t="s">
        <v>3122</v>
      </c>
      <c r="F16" s="3150"/>
      <c r="G16" s="3065" t="s">
        <v>3079</v>
      </c>
    </row>
    <row r="17" spans="1:7" ht="14.25">
      <c r="A17" s="3065">
        <v>15</v>
      </c>
      <c r="B17" s="3065" t="s">
        <v>3123</v>
      </c>
      <c r="C17" s="3065">
        <v>118.23</v>
      </c>
      <c r="D17" s="3065" t="s">
        <v>3124</v>
      </c>
      <c r="E17" s="3065" t="s">
        <v>3125</v>
      </c>
      <c r="F17" s="3150"/>
      <c r="G17" s="3065" t="s">
        <v>3079</v>
      </c>
    </row>
    <row r="18" spans="1:7" ht="14.25">
      <c r="A18" s="3065">
        <v>16</v>
      </c>
      <c r="B18" s="3065" t="s">
        <v>3126</v>
      </c>
      <c r="C18" s="3065">
        <v>128.37</v>
      </c>
      <c r="D18" s="3065" t="s">
        <v>3127</v>
      </c>
      <c r="E18" s="3065" t="s">
        <v>3128</v>
      </c>
      <c r="F18" s="3150"/>
      <c r="G18" s="3065" t="s">
        <v>3079</v>
      </c>
    </row>
    <row r="19" spans="1:7" ht="14.25">
      <c r="A19" s="3065">
        <v>17</v>
      </c>
      <c r="B19" s="3065" t="s">
        <v>3129</v>
      </c>
      <c r="C19" s="3065">
        <v>93.01</v>
      </c>
      <c r="D19" s="3065" t="s">
        <v>3130</v>
      </c>
      <c r="E19" s="3065" t="s">
        <v>3131</v>
      </c>
      <c r="F19" s="3150" t="s">
        <v>3132</v>
      </c>
      <c r="G19" s="3065" t="s">
        <v>3133</v>
      </c>
    </row>
    <row r="20" spans="1:7" ht="14.25">
      <c r="A20" s="3065">
        <v>18</v>
      </c>
      <c r="B20" s="3065" t="s">
        <v>3134</v>
      </c>
      <c r="C20" s="3065">
        <v>107.11</v>
      </c>
      <c r="D20" s="3065" t="s">
        <v>3135</v>
      </c>
      <c r="E20" s="3065" t="s">
        <v>3136</v>
      </c>
      <c r="F20" s="3150"/>
      <c r="G20" s="3065" t="s">
        <v>3133</v>
      </c>
    </row>
    <row r="21" spans="1:7" ht="14.25">
      <c r="A21" s="3065">
        <v>19</v>
      </c>
      <c r="B21" s="3065" t="s">
        <v>3137</v>
      </c>
      <c r="C21" s="3065">
        <v>171.36</v>
      </c>
      <c r="D21" s="3065" t="s">
        <v>3138</v>
      </c>
      <c r="E21" s="3065" t="s">
        <v>3139</v>
      </c>
      <c r="F21" s="3150" t="s">
        <v>3140</v>
      </c>
      <c r="G21" s="3065" t="s">
        <v>3133</v>
      </c>
    </row>
    <row r="22" spans="1:7" ht="14.25">
      <c r="A22" s="3065">
        <v>20</v>
      </c>
      <c r="B22" s="3065" t="s">
        <v>3141</v>
      </c>
      <c r="C22" s="3065">
        <v>117.45</v>
      </c>
      <c r="D22" s="3065" t="s">
        <v>3142</v>
      </c>
      <c r="E22" s="3065" t="s">
        <v>3143</v>
      </c>
      <c r="F22" s="3150"/>
      <c r="G22" s="3065" t="s">
        <v>3133</v>
      </c>
    </row>
    <row r="23" spans="1:7" ht="14.25">
      <c r="A23" s="3065">
        <v>21</v>
      </c>
      <c r="B23" s="3065" t="s">
        <v>3144</v>
      </c>
      <c r="C23" s="3065">
        <v>83.97</v>
      </c>
      <c r="D23" s="3065" t="s">
        <v>3145</v>
      </c>
      <c r="E23" s="3065" t="s">
        <v>3146</v>
      </c>
      <c r="F23" s="3150" t="s">
        <v>3147</v>
      </c>
      <c r="G23" s="3065" t="s">
        <v>3133</v>
      </c>
    </row>
    <row r="24" spans="1:7" ht="14.25">
      <c r="A24" s="3065">
        <v>22</v>
      </c>
      <c r="B24" s="3065" t="s">
        <v>3148</v>
      </c>
      <c r="C24" s="3065">
        <v>81.83</v>
      </c>
      <c r="D24" s="3065" t="s">
        <v>3149</v>
      </c>
      <c r="E24" s="3065" t="s">
        <v>3150</v>
      </c>
      <c r="F24" s="3150"/>
      <c r="G24" s="3065" t="s">
        <v>3151</v>
      </c>
    </row>
    <row r="25" spans="1:7" ht="14.25">
      <c r="A25" s="3065">
        <v>23</v>
      </c>
      <c r="B25" s="3065" t="s">
        <v>3152</v>
      </c>
      <c r="C25" s="3065">
        <v>103.82</v>
      </c>
      <c r="D25" s="3065" t="s">
        <v>3153</v>
      </c>
      <c r="E25" s="3065" t="s">
        <v>3154</v>
      </c>
      <c r="F25" s="3150"/>
      <c r="G25" s="3065" t="s">
        <v>3151</v>
      </c>
    </row>
    <row r="26" spans="1:7" ht="14.25">
      <c r="A26" s="3065">
        <v>24</v>
      </c>
      <c r="B26" s="3065" t="s">
        <v>3155</v>
      </c>
      <c r="C26" s="3065">
        <v>275.16000000000003</v>
      </c>
      <c r="D26" s="3065" t="s">
        <v>3156</v>
      </c>
      <c r="E26" s="3065" t="s">
        <v>3157</v>
      </c>
      <c r="F26" s="3150" t="s">
        <v>3158</v>
      </c>
      <c r="G26" s="3065" t="s">
        <v>3151</v>
      </c>
    </row>
    <row r="27" spans="1:7" ht="14.25">
      <c r="A27" s="3065">
        <v>25</v>
      </c>
      <c r="B27" s="3065" t="s">
        <v>3159</v>
      </c>
      <c r="C27" s="3065">
        <v>116.76</v>
      </c>
      <c r="D27" s="3065" t="s">
        <v>3160</v>
      </c>
      <c r="E27" s="3065" t="s">
        <v>3161</v>
      </c>
      <c r="F27" s="3150"/>
      <c r="G27" s="3065" t="s">
        <v>3151</v>
      </c>
    </row>
    <row r="28" spans="1:7" ht="14.25">
      <c r="A28" s="3065">
        <v>26</v>
      </c>
      <c r="B28" s="3065" t="s">
        <v>3162</v>
      </c>
      <c r="C28" s="3065">
        <v>229.84</v>
      </c>
      <c r="D28" s="3065" t="s">
        <v>3163</v>
      </c>
      <c r="E28" s="3065" t="s">
        <v>3164</v>
      </c>
      <c r="F28" s="3150" t="s">
        <v>3165</v>
      </c>
      <c r="G28" s="3065" t="s">
        <v>3151</v>
      </c>
    </row>
    <row r="29" spans="1:7" ht="14.25">
      <c r="A29" s="3065">
        <v>27</v>
      </c>
      <c r="B29" s="3065" t="s">
        <v>3166</v>
      </c>
      <c r="C29" s="3065">
        <v>87.2</v>
      </c>
      <c r="D29" s="3065" t="s">
        <v>3167</v>
      </c>
      <c r="E29" s="3065" t="s">
        <v>3168</v>
      </c>
      <c r="F29" s="3150"/>
      <c r="G29" s="3065" t="s">
        <v>3151</v>
      </c>
    </row>
    <row r="30" spans="1:7" ht="14.25">
      <c r="A30" s="3065">
        <v>28</v>
      </c>
      <c r="B30" s="3065" t="s">
        <v>3169</v>
      </c>
      <c r="C30" s="3065">
        <v>148</v>
      </c>
      <c r="D30" s="3065" t="s">
        <v>3170</v>
      </c>
      <c r="E30" s="3065" t="s">
        <v>3171</v>
      </c>
      <c r="F30" s="3067" t="s">
        <v>3107</v>
      </c>
      <c r="G30" s="3065" t="s">
        <v>3151</v>
      </c>
    </row>
    <row r="31" spans="1:7" ht="14.25">
      <c r="A31" s="3065">
        <v>29</v>
      </c>
      <c r="B31" s="3065" t="s">
        <v>3172</v>
      </c>
      <c r="C31" s="3065">
        <v>489.03</v>
      </c>
      <c r="D31" s="3065" t="s">
        <v>3173</v>
      </c>
      <c r="E31" s="3065" t="s">
        <v>3174</v>
      </c>
      <c r="F31" s="3067" t="s">
        <v>3175</v>
      </c>
      <c r="G31" s="3065" t="s">
        <v>3151</v>
      </c>
    </row>
    <row r="32" spans="1:7" ht="14.25">
      <c r="A32" s="3065">
        <v>30</v>
      </c>
      <c r="B32" s="3065" t="s">
        <v>3176</v>
      </c>
      <c r="C32" s="3065">
        <v>348.98</v>
      </c>
      <c r="D32" s="3065" t="s">
        <v>3177</v>
      </c>
      <c r="E32" s="3065" t="s">
        <v>3178</v>
      </c>
      <c r="F32" s="3150" t="s">
        <v>3107</v>
      </c>
      <c r="G32" s="3065" t="s">
        <v>3151</v>
      </c>
    </row>
    <row r="33" spans="1:7" ht="14.25">
      <c r="A33" s="3065">
        <v>31</v>
      </c>
      <c r="B33" s="3065" t="s">
        <v>3179</v>
      </c>
      <c r="C33" s="3065">
        <v>195.09</v>
      </c>
      <c r="D33" s="3065" t="s">
        <v>3180</v>
      </c>
      <c r="E33" s="3065" t="s">
        <v>3181</v>
      </c>
      <c r="F33" s="3150"/>
      <c r="G33" s="3065" t="s">
        <v>3151</v>
      </c>
    </row>
    <row r="34" spans="1:7" ht="14.25">
      <c r="A34" s="3065">
        <v>32</v>
      </c>
      <c r="B34" s="3065" t="s">
        <v>3182</v>
      </c>
      <c r="C34" s="3065">
        <v>109.79</v>
      </c>
      <c r="D34" s="3065" t="s">
        <v>3183</v>
      </c>
      <c r="E34" s="3065" t="s">
        <v>3184</v>
      </c>
      <c r="F34" s="3150"/>
      <c r="G34" s="3065" t="s">
        <v>3151</v>
      </c>
    </row>
    <row r="35" spans="1:7" ht="14.25">
      <c r="A35" s="3065">
        <v>33</v>
      </c>
      <c r="B35" s="3065" t="s">
        <v>3185</v>
      </c>
      <c r="C35" s="3065">
        <v>177.21</v>
      </c>
      <c r="D35" s="3065" t="s">
        <v>3186</v>
      </c>
      <c r="E35" s="3065" t="s">
        <v>3187</v>
      </c>
      <c r="F35" s="3067"/>
      <c r="G35" s="3065" t="s">
        <v>3151</v>
      </c>
    </row>
    <row r="36" spans="1:7" ht="14.25">
      <c r="A36" s="3065">
        <v>34</v>
      </c>
      <c r="B36" s="3065" t="s">
        <v>3188</v>
      </c>
      <c r="C36" s="3065">
        <v>122.34</v>
      </c>
      <c r="D36" s="3065" t="s">
        <v>3189</v>
      </c>
      <c r="E36" s="3065" t="s">
        <v>3190</v>
      </c>
      <c r="F36" s="3067"/>
      <c r="G36" s="3065" t="s">
        <v>3151</v>
      </c>
    </row>
    <row r="37" spans="1:7" ht="14.25">
      <c r="A37" s="3065">
        <v>35</v>
      </c>
      <c r="B37" s="3065" t="s">
        <v>3191</v>
      </c>
      <c r="C37" s="3065">
        <v>258.35000000000002</v>
      </c>
      <c r="D37" s="3065" t="s">
        <v>3192</v>
      </c>
      <c r="E37" s="3065" t="s">
        <v>3193</v>
      </c>
      <c r="F37" s="3067" t="s">
        <v>3194</v>
      </c>
      <c r="G37" s="3065" t="s">
        <v>3151</v>
      </c>
    </row>
    <row r="38" spans="1:7" ht="14.25">
      <c r="A38" s="3065">
        <v>36</v>
      </c>
      <c r="B38" s="3065" t="s">
        <v>3195</v>
      </c>
      <c r="C38" s="3065">
        <v>355.91</v>
      </c>
      <c r="D38" s="3065" t="s">
        <v>3196</v>
      </c>
      <c r="E38" s="3065" t="s">
        <v>3197</v>
      </c>
      <c r="F38" s="3067" t="s">
        <v>3198</v>
      </c>
      <c r="G38" s="3065" t="s">
        <v>3151</v>
      </c>
    </row>
    <row r="39" spans="1:7" ht="14.25">
      <c r="A39" s="3065">
        <v>37</v>
      </c>
      <c r="B39" s="3065" t="s">
        <v>3199</v>
      </c>
      <c r="C39" s="3065">
        <v>193.4</v>
      </c>
      <c r="D39" s="3065" t="s">
        <v>3200</v>
      </c>
      <c r="E39" s="3065" t="s">
        <v>3201</v>
      </c>
      <c r="F39" s="3067" t="s">
        <v>3202</v>
      </c>
      <c r="G39" s="3065" t="s">
        <v>3151</v>
      </c>
    </row>
    <row r="40" spans="1:7" ht="14.25">
      <c r="A40" s="3065">
        <v>38</v>
      </c>
      <c r="B40" s="3065" t="s">
        <v>3203</v>
      </c>
      <c r="C40" s="3065">
        <v>168.66</v>
      </c>
      <c r="D40" s="3065" t="s">
        <v>3204</v>
      </c>
      <c r="E40" s="3065" t="s">
        <v>3205</v>
      </c>
      <c r="F40" s="3067" t="s">
        <v>3206</v>
      </c>
      <c r="G40" s="3065" t="s">
        <v>3151</v>
      </c>
    </row>
    <row r="41" spans="1:7" ht="14.25">
      <c r="A41" s="3065">
        <v>39</v>
      </c>
      <c r="B41" s="3065" t="s">
        <v>3207</v>
      </c>
      <c r="C41" s="3065">
        <v>113.59</v>
      </c>
      <c r="D41" s="3065" t="s">
        <v>3208</v>
      </c>
      <c r="E41" s="3065" t="s">
        <v>3209</v>
      </c>
      <c r="F41" s="3067" t="s">
        <v>3210</v>
      </c>
      <c r="G41" s="3065" t="s">
        <v>3151</v>
      </c>
    </row>
    <row r="42" spans="1:7" ht="14.25">
      <c r="A42" s="3065">
        <v>40</v>
      </c>
      <c r="B42" s="3065" t="s">
        <v>3211</v>
      </c>
      <c r="C42" s="3065">
        <v>107.22</v>
      </c>
      <c r="D42" s="3065" t="s">
        <v>3212</v>
      </c>
      <c r="E42" s="3065" t="s">
        <v>3213</v>
      </c>
      <c r="F42" s="3150" t="s">
        <v>3214</v>
      </c>
      <c r="G42" s="3065" t="s">
        <v>3151</v>
      </c>
    </row>
    <row r="43" spans="1:7" ht="14.25">
      <c r="A43" s="3065">
        <v>41</v>
      </c>
      <c r="B43" s="3065" t="s">
        <v>3215</v>
      </c>
      <c r="C43" s="3065">
        <v>117.93</v>
      </c>
      <c r="D43" s="3065" t="s">
        <v>3216</v>
      </c>
      <c r="E43" s="3065" t="s">
        <v>3217</v>
      </c>
      <c r="F43" s="3150"/>
      <c r="G43" s="3065" t="s">
        <v>3151</v>
      </c>
    </row>
    <row r="44" spans="1:7" ht="14.25">
      <c r="A44" s="3065">
        <v>42</v>
      </c>
      <c r="B44" s="3065" t="s">
        <v>3218</v>
      </c>
      <c r="C44" s="3065">
        <v>348.8</v>
      </c>
      <c r="D44" s="3065" t="s">
        <v>3219</v>
      </c>
      <c r="E44" s="3065" t="s">
        <v>3220</v>
      </c>
      <c r="F44" s="3067" t="s">
        <v>3221</v>
      </c>
      <c r="G44" s="3065" t="s">
        <v>3151</v>
      </c>
    </row>
    <row r="45" spans="1:7" ht="14.25">
      <c r="A45" s="3065">
        <v>43</v>
      </c>
      <c r="B45" s="3065" t="s">
        <v>3222</v>
      </c>
      <c r="C45" s="3065">
        <v>14602.93</v>
      </c>
      <c r="D45" s="3065" t="s">
        <v>3223</v>
      </c>
      <c r="E45" s="3065" t="s">
        <v>3224</v>
      </c>
      <c r="F45" s="3067" t="s">
        <v>3225</v>
      </c>
      <c r="G45" s="3065" t="s">
        <v>3151</v>
      </c>
    </row>
    <row r="46" spans="1:7" ht="14.25">
      <c r="A46" s="3065"/>
      <c r="B46" s="3065" t="s">
        <v>3226</v>
      </c>
      <c r="C46" s="3065">
        <f>SUM(C3:C45)</f>
        <v>22576.380000000005</v>
      </c>
      <c r="D46" s="3065"/>
      <c r="E46" s="3065"/>
      <c r="F46" s="3067"/>
      <c r="G46" s="3065"/>
    </row>
  </sheetData>
  <mergeCells count="12">
    <mergeCell ref="F42:F43"/>
    <mergeCell ref="B1:G1"/>
    <mergeCell ref="F3:F4"/>
    <mergeCell ref="F5:F6"/>
    <mergeCell ref="F8:F10"/>
    <mergeCell ref="F11:F18"/>
    <mergeCell ref="F19:F20"/>
    <mergeCell ref="F21:F22"/>
    <mergeCell ref="F23:F25"/>
    <mergeCell ref="F26:F27"/>
    <mergeCell ref="F28:F29"/>
    <mergeCell ref="F32:F34"/>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19" sqref="G1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2" t="s">
        <v>1817</v>
      </c>
      <c r="B2" s="3162"/>
      <c r="C2" s="3162"/>
      <c r="D2" s="904" t="s">
        <v>1793</v>
      </c>
      <c r="E2" s="1824" t="s">
        <v>1794</v>
      </c>
      <c r="F2" s="2886"/>
      <c r="G2" s="2877"/>
      <c r="H2" s="2878"/>
      <c r="I2" s="2548" t="s">
        <v>1818</v>
      </c>
      <c r="J2" s="2886"/>
      <c r="K2" s="2886"/>
      <c r="L2" s="2886"/>
      <c r="M2" s="2886"/>
      <c r="N2" s="2888"/>
      <c r="O2" s="2886"/>
      <c r="P2" s="2886"/>
    </row>
    <row r="3" spans="1:16" ht="15.75" thickBot="1">
      <c r="A3" s="3163" t="s">
        <v>1791</v>
      </c>
      <c r="B3" s="3163"/>
      <c r="C3" s="3163"/>
      <c r="D3" s="46">
        <f>'数据-基础表'!AY6</f>
        <v>0</v>
      </c>
      <c r="E3" s="46">
        <f>'数据-基础表'!AZ5</f>
        <v>22576.38</v>
      </c>
      <c r="F3" s="2886"/>
      <c r="G3" s="1307"/>
      <c r="H3" s="1157" t="s">
        <v>1792</v>
      </c>
      <c r="I3" s="964" t="e">
        <f>ROUND('数据-基础表'!B3/'数据-基础表'!A3,2)</f>
        <v>#DIV/0!</v>
      </c>
      <c r="J3" s="2886"/>
      <c r="K3" s="2886"/>
      <c r="L3" s="2886"/>
      <c r="M3" s="2886"/>
      <c r="N3" s="2888"/>
      <c r="O3" s="2886"/>
      <c r="P3" s="2886"/>
    </row>
    <row r="4" spans="1:16" ht="15">
      <c r="A4" s="3164"/>
      <c r="B4" s="3165"/>
      <c r="C4" s="3166"/>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67" t="s">
        <v>1796</v>
      </c>
      <c r="C5" s="3167"/>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167" t="s">
        <v>1797</v>
      </c>
      <c r="C6" s="3167"/>
      <c r="D6" s="48">
        <f>ROUND($D$3*E6/$E$3,2)</f>
        <v>0</v>
      </c>
      <c r="E6" s="49">
        <f>E3-E5</f>
        <v>22576.38</v>
      </c>
      <c r="F6" s="2886"/>
      <c r="G6" s="2880" t="s">
        <v>1798</v>
      </c>
      <c r="H6" s="1308" t="s">
        <v>1799</v>
      </c>
      <c r="I6" s="2881" t="e">
        <f>ROUND(F31/D31,2)</f>
        <v>#DIV/0!</v>
      </c>
      <c r="J6" s="2886"/>
      <c r="K6" s="2886"/>
      <c r="L6" s="2886"/>
      <c r="M6" s="2886"/>
      <c r="N6" s="2886"/>
      <c r="O6" s="2886"/>
      <c r="P6" s="2886"/>
    </row>
    <row r="7" spans="1:16" ht="15.75" thickBot="1">
      <c r="A7" s="3159"/>
      <c r="B7" s="3160"/>
      <c r="C7" s="3161"/>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348.8</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22227.58</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22576.38</v>
      </c>
      <c r="F16" s="2886"/>
      <c r="G16" s="2887"/>
      <c r="H16" s="1833" t="s">
        <v>1821</v>
      </c>
      <c r="I16" s="1834"/>
      <c r="J16" s="1301"/>
      <c r="K16" s="3156" t="s">
        <v>1821</v>
      </c>
      <c r="L16" s="3157"/>
      <c r="M16" s="3157"/>
      <c r="N16" s="3157"/>
      <c r="O16" s="3157"/>
      <c r="P16" s="3158"/>
    </row>
    <row r="17" spans="1:19" ht="15">
      <c r="A17" s="1835" t="s">
        <v>1822</v>
      </c>
      <c r="B17" s="1836" t="s">
        <v>1823</v>
      </c>
      <c r="C17" s="1837" t="s">
        <v>1824</v>
      </c>
      <c r="D17" s="1838" t="s">
        <v>1812</v>
      </c>
      <c r="E17" s="1839" t="s">
        <v>1813</v>
      </c>
      <c r="F17" s="1840"/>
      <c r="G17" s="1841"/>
      <c r="H17" s="1842" t="s">
        <v>1825</v>
      </c>
      <c r="I17" s="1843" t="s">
        <v>1810</v>
      </c>
      <c r="J17" s="1301"/>
      <c r="K17" s="3153" t="s">
        <v>1826</v>
      </c>
      <c r="L17" s="3154"/>
      <c r="M17" s="3155"/>
      <c r="N17" s="3153" t="s">
        <v>1827</v>
      </c>
      <c r="O17" s="3154"/>
      <c r="P17" s="3155"/>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1" t="s">
        <v>3247</v>
      </c>
      <c r="D19" s="48">
        <f>ROUND($D$3*E19/$E$3,2)</f>
        <v>0</v>
      </c>
      <c r="E19" s="56">
        <f t="shared" ref="E19:E26" si="1">SUM(F19:G19)</f>
        <v>348.8</v>
      </c>
      <c r="F19" s="3026">
        <f>'数据-基础表'!I13</f>
        <v>348.8</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348.8</v>
      </c>
    </row>
    <row r="20" spans="1:19">
      <c r="A20" s="1856"/>
      <c r="B20" s="50" t="s">
        <v>1839</v>
      </c>
      <c r="C20" s="3071" t="s">
        <v>3248</v>
      </c>
      <c r="D20" s="48">
        <f t="shared" ref="D20:D26" si="6">ROUND($D$3*E20/$E$3,2)</f>
        <v>0</v>
      </c>
      <c r="E20" s="56">
        <f t="shared" si="1"/>
        <v>22227.58</v>
      </c>
      <c r="F20" s="3026"/>
      <c r="G20" s="3027">
        <f>'数据-基础表'!K13</f>
        <v>22227.58</v>
      </c>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22227.58</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22576.38</v>
      </c>
      <c r="F27" s="1302">
        <f>IF(SUM(F19:F26)=E8,SUM(F19:F26),"地上面积有误")</f>
        <v>348.8</v>
      </c>
      <c r="G27" s="1304">
        <f>SUM(G19:G26)</f>
        <v>22227.58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22576.38</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22576.38</v>
      </c>
      <c r="F31" s="686">
        <f>F27+F30</f>
        <v>348.8</v>
      </c>
      <c r="G31" s="687">
        <f>G27+G30</f>
        <v>22227.58</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44487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3241</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1层商业</v>
      </c>
      <c r="B6" s="1899" t="str">
        <f>IF(A6=0,"","经营性")</f>
        <v>经营性</v>
      </c>
      <c r="C6" s="1900" t="s">
        <v>1343</v>
      </c>
      <c r="D6" s="967">
        <f>SUMIF(项目基本情况!D$12:I$12,C6,项目基本情况!D$14:I$14)</f>
        <v>40</v>
      </c>
      <c r="E6" s="966">
        <f>IF(B6="","",SUMIF(项目基本情况!D$12:I$12,C6,项目基本情况!D$13:I$13))</f>
        <v>53633</v>
      </c>
      <c r="F6" s="68">
        <f>SUMIF(项目基本情况!D$12:I$12,C6,项目基本情况!D$15:I$15)</f>
        <v>25.05</v>
      </c>
      <c r="G6" s="69">
        <f>IF(ISERROR(ROUND(POWER(1+H6,D6-F6)*(POWER(1+H6,F6)-1)/(POWER(1+H6,D6)-1),3)),0,ROUND(POWER(1+H6,D6-F6)*(POWER(1+H6,F6)-1)/(POWER(1+H6,D6)-1),3))</f>
        <v>0.83699999999999997</v>
      </c>
      <c r="H6" s="741">
        <v>5.5E-2</v>
      </c>
      <c r="I6" s="741">
        <v>0.06</v>
      </c>
      <c r="J6" s="70">
        <v>8.5000000000000006E-2</v>
      </c>
      <c r="K6" s="1161">
        <f>SUMIF('数据-汇总表'!C$19:C$33,A6,'数据-汇总表'!E$19:E$33)</f>
        <v>348.8</v>
      </c>
      <c r="L6" s="742">
        <v>5000</v>
      </c>
      <c r="M6" s="71">
        <f t="shared" ref="M6:M14" si="0">ROUND(K6*L6/10000,0)</f>
        <v>174</v>
      </c>
      <c r="N6" s="740">
        <f>ROUND(1-(2021-2010)/60,2)</f>
        <v>0.82</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v>16</v>
      </c>
      <c r="V6" s="75">
        <v>0.03</v>
      </c>
      <c r="W6" s="75">
        <v>0.1</v>
      </c>
      <c r="X6" s="1171"/>
      <c r="Y6" s="76">
        <f>N6</f>
        <v>0.82</v>
      </c>
      <c r="Z6" s="77"/>
      <c r="AA6" s="70"/>
      <c r="AB6" s="70"/>
      <c r="AC6" s="1171"/>
      <c r="AD6" s="78"/>
      <c r="AE6" s="1172">
        <f ca="1">IF(AN6="",0,SUMIF(INDIRECT("'"&amp;AN6&amp;"'"&amp;"!E:E"),$AE$5,INDIRECT("'"&amp;AN6&amp;"'"&amp;"!F:F")))</f>
        <v>25.05</v>
      </c>
      <c r="AF6" s="1532"/>
      <c r="AG6" s="143">
        <f>IF(AF6="",0,AE6-AF6)</f>
        <v>0</v>
      </c>
      <c r="AH6" s="79"/>
      <c r="AI6" s="81">
        <v>365</v>
      </c>
      <c r="AJ6" s="82"/>
      <c r="AK6" s="83">
        <v>1.4999999999999999E-2</v>
      </c>
      <c r="AL6" s="84">
        <v>1.5E-3</v>
      </c>
      <c r="AM6" s="85">
        <v>0.01</v>
      </c>
      <c r="AN6" s="1901" t="s">
        <v>3242</v>
      </c>
      <c r="AO6" s="55">
        <f ca="1">SUMIF(INDIRECT("'"&amp;AN6&amp;"'"&amp;"!A:A"),"总价",INDIRECT("'"&amp;AN6&amp;"'"&amp;"!B:B"))</f>
        <v>2496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地下商业</v>
      </c>
      <c r="B7" s="1899" t="str">
        <f t="shared" ref="B7:B13" si="1">IF(A7=0,"","经营性")</f>
        <v>经营性</v>
      </c>
      <c r="C7" s="1900"/>
      <c r="D7" s="967">
        <f>SUMIF(项目基本情况!D$12:I$12,C7,项目基本情况!D$14:I$14)</f>
        <v>0</v>
      </c>
      <c r="E7" s="966">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22227.58</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0.83699999999999997</v>
      </c>
      <c r="H16" s="95">
        <f>ROUND(SUMPRODUCT(H6:H13,K6:K13)/SUMPRODUCT((H6:H13&gt;0)*(K6:K13)),3)</f>
        <v>5.5E-2</v>
      </c>
      <c r="I16" s="96"/>
      <c r="J16" s="96"/>
      <c r="K16" s="97">
        <f>SUM(K6:K15)</f>
        <v>22576.38</v>
      </c>
      <c r="L16" s="98">
        <f>ROUND(M16*10000/SUM(K6:K14),0)</f>
        <v>77</v>
      </c>
      <c r="M16" s="98">
        <f>SUM(M6:M14)</f>
        <v>174</v>
      </c>
      <c r="N16" s="99">
        <f>ROUND(SUMPRODUCT(M6:M14,N6:N14)/M16,3)</f>
        <v>0.82</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3240</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v>0</v>
      </c>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137</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8" t="s">
        <v>3032</v>
      </c>
      <c r="B1" s="3169"/>
      <c r="C1" s="3169"/>
      <c r="D1" s="3169"/>
      <c r="E1" s="3169"/>
      <c r="F1" s="3169"/>
      <c r="G1" s="316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348.8</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44487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t="e">
        <f ca="1">SUM(D14:D23)</f>
        <v>#REF!</v>
      </c>
      <c r="C5" s="2738" t="e">
        <f ca="1">ROUND(B5*10000/$B$1,0)</f>
        <v>#REF!</v>
      </c>
      <c r="D5" s="2738" t="e">
        <f ca="1">ROUND(B5*10000/$B$2,0)</f>
        <v>#REF!</v>
      </c>
      <c r="E5" s="2915"/>
      <c r="F5" s="2916"/>
      <c r="G5" s="2916"/>
      <c r="H5" s="2917"/>
      <c r="I5" s="2917"/>
      <c r="J5" s="2917"/>
      <c r="K5" s="2917"/>
    </row>
    <row r="6" spans="1:11" ht="16.5">
      <c r="A6" s="2738" t="s">
        <v>1322</v>
      </c>
      <c r="B6" s="2738" t="e">
        <f ca="1">SUM(G14:G23)</f>
        <v>#REF!</v>
      </c>
      <c r="C6" s="2738" t="e">
        <f ca="1">ROUND(B6*10000/$B$1,0)</f>
        <v>#REF!</v>
      </c>
      <c r="D6" s="2738" t="e">
        <f ca="1">ROUND(B6*10000/$B$2,0)</f>
        <v>#REF!</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348.8</v>
      </c>
      <c r="C14" s="2744">
        <f>结果表!C118</f>
        <v>0</v>
      </c>
      <c r="D14" s="2744" t="e">
        <f ca="1">结果表!H118</f>
        <v>#REF!</v>
      </c>
      <c r="E14" s="2744" t="e">
        <f ca="1">ROUND(D14*10000/B14,0)</f>
        <v>#REF!</v>
      </c>
      <c r="F14" s="2744" t="e">
        <f ca="1">ROUND(D14*10000/C14,0)</f>
        <v>#REF!</v>
      </c>
      <c r="G14" s="2744" t="e">
        <f ca="1">结果表!D122</f>
        <v>#REF!</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3" zoomScaleNormal="100" zoomScaleSheetLayoutView="100" zoomScalePageLayoutView="80" workbookViewId="0">
      <selection activeCell="J80" sqref="J8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3246</v>
      </c>
      <c r="D1" s="1933"/>
      <c r="E1" s="1933"/>
      <c r="F1" s="1935" t="s">
        <v>1949</v>
      </c>
      <c r="G1" s="1746"/>
      <c r="H1" s="1936" t="str">
        <f>IF(G1="现房","——","估价对象范围")</f>
        <v>估价对象范围</v>
      </c>
      <c r="I1" s="1937"/>
    </row>
    <row r="2" spans="1:12" ht="21.75" customHeight="1" thickBot="1">
      <c r="A2" s="3204" t="str">
        <f>项目基本情况!S2</f>
        <v>房地产</v>
      </c>
      <c r="B2" s="3205"/>
      <c r="C2" s="3205"/>
      <c r="D2" s="3205"/>
      <c r="E2" s="3205"/>
      <c r="F2" s="3205"/>
      <c r="G2" s="3205"/>
      <c r="H2" s="3205"/>
      <c r="I2" s="3206"/>
    </row>
    <row r="3" spans="1:12" ht="12.75">
      <c r="A3" s="3208" t="s">
        <v>1950</v>
      </c>
      <c r="B3" s="3209"/>
      <c r="C3" s="3209"/>
      <c r="D3" s="3209"/>
      <c r="E3" s="3209"/>
      <c r="F3" s="3209"/>
      <c r="G3" s="3209"/>
      <c r="H3" s="3209"/>
      <c r="I3" s="3209"/>
    </row>
    <row r="4" spans="1:12" ht="14.25">
      <c r="A4" s="1940" t="s">
        <v>1951</v>
      </c>
      <c r="B4" s="1941" t="s">
        <v>1952</v>
      </c>
      <c r="C4" s="1942" t="s">
        <v>3251</v>
      </c>
      <c r="D4" s="1942" t="s">
        <v>3242</v>
      </c>
      <c r="E4" s="3210" t="s">
        <v>1953</v>
      </c>
      <c r="F4" s="3211"/>
      <c r="G4" s="3211"/>
      <c r="H4" s="3211"/>
      <c r="I4" s="321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4" t="s">
        <v>1954</v>
      </c>
      <c r="B5" s="3171">
        <v>25</v>
      </c>
      <c r="C5" s="3187"/>
      <c r="D5" s="3207"/>
      <c r="E5" s="136" t="s">
        <v>1955</v>
      </c>
      <c r="F5" s="1943"/>
      <c r="G5" s="1943"/>
      <c r="H5" s="1943"/>
      <c r="I5" s="1557"/>
    </row>
    <row r="6" spans="1:12" ht="12.75">
      <c r="A6" s="3184"/>
      <c r="B6" s="3171"/>
      <c r="C6" s="3188"/>
      <c r="D6" s="3207"/>
      <c r="E6" s="136" t="s">
        <v>1956</v>
      </c>
      <c r="F6" s="1943"/>
      <c r="G6" s="1943"/>
      <c r="H6" s="1943"/>
      <c r="I6" s="1557"/>
    </row>
    <row r="7" spans="1:12" ht="12.75">
      <c r="A7" s="3184"/>
      <c r="B7" s="3171"/>
      <c r="C7" s="3189"/>
      <c r="D7" s="3207"/>
      <c r="E7" s="136" t="s">
        <v>1957</v>
      </c>
      <c r="F7" s="1943"/>
      <c r="G7" s="1943"/>
      <c r="H7" s="1943"/>
      <c r="I7" s="1557"/>
    </row>
    <row r="8" spans="1:12" ht="12.75">
      <c r="A8" s="3184" t="s">
        <v>1958</v>
      </c>
      <c r="B8" s="3171">
        <v>15</v>
      </c>
      <c r="C8" s="3187"/>
      <c r="D8" s="3207"/>
      <c r="E8" s="136" t="s">
        <v>1959</v>
      </c>
      <c r="F8" s="1943"/>
      <c r="G8" s="1943"/>
      <c r="H8" s="1943"/>
      <c r="I8" s="1557"/>
    </row>
    <row r="9" spans="1:12" ht="12.75">
      <c r="A9" s="3184"/>
      <c r="B9" s="3171"/>
      <c r="C9" s="3189"/>
      <c r="D9" s="3207"/>
      <c r="E9" s="136" t="s">
        <v>1960</v>
      </c>
      <c r="F9" s="1943"/>
      <c r="G9" s="1943"/>
      <c r="H9" s="1943"/>
      <c r="I9" s="1557"/>
    </row>
    <row r="10" spans="1:12" ht="12.75">
      <c r="A10" s="3184" t="s">
        <v>1961</v>
      </c>
      <c r="B10" s="3171">
        <v>15</v>
      </c>
      <c r="C10" s="3187"/>
      <c r="D10" s="3207"/>
      <c r="E10" s="136" t="s">
        <v>1962</v>
      </c>
      <c r="F10" s="1943"/>
      <c r="G10" s="1943"/>
      <c r="H10" s="1943"/>
      <c r="I10" s="1557"/>
    </row>
    <row r="11" spans="1:12" ht="12.75">
      <c r="A11" s="3184"/>
      <c r="B11" s="3171"/>
      <c r="C11" s="3189"/>
      <c r="D11" s="3207"/>
      <c r="E11" s="136" t="s">
        <v>1963</v>
      </c>
      <c r="F11" s="1943"/>
      <c r="G11" s="1943"/>
      <c r="H11" s="1943"/>
      <c r="I11" s="1557"/>
    </row>
    <row r="12" spans="1:12" ht="12.75">
      <c r="A12" s="3184" t="s">
        <v>1964</v>
      </c>
      <c r="B12" s="3171">
        <v>15</v>
      </c>
      <c r="C12" s="3187"/>
      <c r="D12" s="3207"/>
      <c r="E12" s="136" t="s">
        <v>1965</v>
      </c>
      <c r="F12" s="1943"/>
      <c r="G12" s="1943"/>
      <c r="H12" s="1943"/>
      <c r="I12" s="1557"/>
    </row>
    <row r="13" spans="1:12" ht="12.75">
      <c r="A13" s="3184"/>
      <c r="B13" s="3171"/>
      <c r="C13" s="3189"/>
      <c r="D13" s="3207"/>
      <c r="E13" s="136" t="s">
        <v>1966</v>
      </c>
      <c r="F13" s="1943"/>
      <c r="G13" s="1943"/>
      <c r="H13" s="1943"/>
      <c r="I13" s="1557"/>
    </row>
    <row r="14" spans="1:12" ht="12.75">
      <c r="A14" s="3184" t="s">
        <v>1967</v>
      </c>
      <c r="B14" s="3171">
        <v>30</v>
      </c>
      <c r="C14" s="3187">
        <v>7</v>
      </c>
      <c r="D14" s="3207">
        <v>3</v>
      </c>
      <c r="E14" s="136" t="s">
        <v>1968</v>
      </c>
      <c r="F14" s="1943"/>
      <c r="G14" s="1943"/>
      <c r="H14" s="1943"/>
      <c r="I14" s="1557"/>
    </row>
    <row r="15" spans="1:12" ht="12.75">
      <c r="A15" s="3184"/>
      <c r="B15" s="3171"/>
      <c r="C15" s="3188"/>
      <c r="D15" s="3207"/>
      <c r="E15" s="136" t="s">
        <v>1969</v>
      </c>
      <c r="F15" s="1943"/>
      <c r="G15" s="1943"/>
      <c r="H15" s="1943"/>
      <c r="I15" s="1557"/>
    </row>
    <row r="16" spans="1:12" ht="12.75">
      <c r="A16" s="3184"/>
      <c r="B16" s="3171"/>
      <c r="C16" s="3189"/>
      <c r="D16" s="3207"/>
      <c r="E16" s="136" t="s">
        <v>1970</v>
      </c>
      <c r="F16" s="1943"/>
      <c r="G16" s="1943"/>
      <c r="H16" s="1943"/>
      <c r="I16" s="1557"/>
    </row>
    <row r="17" spans="1:36" ht="15">
      <c r="A17" s="1944" t="s">
        <v>1971</v>
      </c>
      <c r="B17" s="60"/>
      <c r="C17" s="137">
        <f>SUM(C5:C16)</f>
        <v>7</v>
      </c>
      <c r="D17" s="137">
        <f>SUM(D5:D16)</f>
        <v>3</v>
      </c>
      <c r="E17" s="134"/>
      <c r="F17" s="134"/>
      <c r="G17" s="134"/>
      <c r="H17" s="134"/>
      <c r="I17" s="134"/>
      <c r="K17" s="308"/>
      <c r="L17" s="308" t="s">
        <v>1972</v>
      </c>
      <c r="M17" s="308" t="s">
        <v>1973</v>
      </c>
    </row>
    <row r="18" spans="1:36" ht="31.9" customHeight="1" thickBot="1">
      <c r="A18" s="1945" t="s">
        <v>1974</v>
      </c>
      <c r="B18" s="1946"/>
      <c r="C18" s="138">
        <f>ROUND(C17/SUM(C17:D17),2)</f>
        <v>0.7</v>
      </c>
      <c r="D18" s="138">
        <f>1-C18</f>
        <v>0.30000000000000004</v>
      </c>
      <c r="E18" s="3194" t="s">
        <v>2873</v>
      </c>
      <c r="F18" s="3195"/>
      <c r="G18" s="3195"/>
      <c r="H18" s="3195"/>
      <c r="I18" s="3195"/>
      <c r="K18" s="308" t="s">
        <v>1975</v>
      </c>
      <c r="L18" s="308">
        <f>IF(C1="",'数据-汇总表'!E3,SUMIF(项目类型,C1,'数据-汇总表'!E17:E26)+SUMIF(项目类型,C1,'数据-汇总表'!I17:I26))</f>
        <v>348.8</v>
      </c>
      <c r="M18" s="308">
        <f>IF(C1="",'数据-汇总表'!E3,SUMIF(项目类型,C1,'数据-汇总表'!E17:E26))</f>
        <v>348.8</v>
      </c>
    </row>
    <row r="19" spans="1:36" ht="15">
      <c r="A19" s="1947" t="s">
        <v>1976</v>
      </c>
      <c r="B19" s="1948" t="s">
        <v>1977</v>
      </c>
      <c r="C19" s="139">
        <f ca="1">SUMIF(INDIRECT("'"&amp;C4&amp;"'"&amp;"!A:A"),结果表!B19,INDIRECT("'"&amp;C4&amp;"'"&amp;"!B:B"))</f>
        <v>5581</v>
      </c>
      <c r="D19" s="140">
        <f ca="1">SUMIF(INDIRECT("'"&amp;D4&amp;"'"&amp;"!A:A"),结果表!B19,INDIRECT("'"&amp;D4&amp;"'"&amp;"!B:B"))</f>
        <v>2496</v>
      </c>
      <c r="E19" s="1947" t="s">
        <v>1978</v>
      </c>
      <c r="F19" s="1948" t="s">
        <v>1977</v>
      </c>
      <c r="G19" s="141">
        <f ca="1">ROUND(C19*$C$18+D19*$D$18,0)</f>
        <v>4656</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160000</v>
      </c>
      <c r="D20" s="143">
        <f ca="1">SUMIF(INDIRECT("'"&amp;D4&amp;"'"&amp;"!A:A"),结果表!B20,INDIRECT("'"&amp;D4&amp;"'"&amp;"!B:B"))</f>
        <v>71560</v>
      </c>
      <c r="E20" s="1950"/>
      <c r="F20" s="1157" t="s">
        <v>1981</v>
      </c>
      <c r="G20" s="144">
        <f ca="1">ROUND(C20*$C$18+D20*$D$18,0)</f>
        <v>133468</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1.2359775641025643</v>
      </c>
      <c r="E22" s="134"/>
      <c r="F22" s="134"/>
      <c r="G22" s="134"/>
      <c r="H22" s="134"/>
      <c r="I22" s="134"/>
    </row>
    <row r="23" spans="1:36" ht="13.5" thickBot="1">
      <c r="A23" s="1933"/>
      <c r="B23" s="1933"/>
      <c r="C23" s="1933"/>
      <c r="D23" s="1933"/>
      <c r="E23" s="134"/>
      <c r="F23" s="134"/>
      <c r="G23" s="134"/>
      <c r="H23" s="134"/>
      <c r="I23" s="134"/>
    </row>
    <row r="24" spans="1:36" ht="14.25">
      <c r="A24" s="3178" t="s">
        <v>1985</v>
      </c>
      <c r="B24" s="1948" t="s">
        <v>1977</v>
      </c>
      <c r="C24" s="141">
        <f>IF(B30=0,0,D30)</f>
        <v>0</v>
      </c>
      <c r="D24" s="1955"/>
      <c r="E24" s="134"/>
      <c r="F24" s="134"/>
      <c r="G24" s="134"/>
      <c r="H24" s="134"/>
      <c r="I24" s="134"/>
    </row>
    <row r="25" spans="1:36" ht="14.25">
      <c r="A25" s="317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133468</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198" t="s">
        <v>1998</v>
      </c>
      <c r="B36" s="1973" t="s">
        <v>1999</v>
      </c>
      <c r="C36" s="150"/>
      <c r="D36" s="1974"/>
      <c r="E36" s="1975"/>
      <c r="F36" s="1976"/>
      <c r="G36" s="134"/>
      <c r="H36" s="134"/>
      <c r="I36" s="134"/>
    </row>
    <row r="37" spans="1:15" ht="15.75" thickBot="1">
      <c r="A37" s="3199"/>
      <c r="B37" s="1860" t="s">
        <v>2000</v>
      </c>
      <c r="C37" s="152"/>
      <c r="D37" s="1301"/>
      <c r="E37" s="1301"/>
      <c r="F37" s="1976"/>
      <c r="G37" s="134"/>
      <c r="H37" s="134"/>
      <c r="I37" s="134"/>
    </row>
    <row r="38" spans="1:15" ht="15.75" thickBot="1">
      <c r="A38" s="3200"/>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75" t="s">
        <v>2012</v>
      </c>
      <c r="B45" s="3176"/>
      <c r="C45" s="3177"/>
      <c r="D45" s="160">
        <f ca="1">F45*典型户型修正!S22</f>
        <v>162865</v>
      </c>
      <c r="E45" s="161" t="s">
        <v>2013</v>
      </c>
      <c r="F45" s="162">
        <v>1</v>
      </c>
      <c r="G45" s="163" t="s">
        <v>2014</v>
      </c>
      <c r="H45" s="134"/>
      <c r="I45" s="134"/>
      <c r="J45" s="3256" t="s">
        <v>2015</v>
      </c>
      <c r="K45" s="3256"/>
      <c r="L45" s="3256"/>
      <c r="M45" s="3256"/>
      <c r="N45" s="3256"/>
      <c r="O45" s="3256"/>
    </row>
    <row r="46" spans="1:15" ht="14.25" customHeight="1">
      <c r="A46" s="3172" t="s">
        <v>2016</v>
      </c>
      <c r="B46" s="3173"/>
      <c r="C46" s="3173"/>
      <c r="D46" s="3173"/>
      <c r="E46" s="3173"/>
      <c r="F46" s="3173"/>
      <c r="G46" s="3174"/>
      <c r="H46" s="1992"/>
      <c r="I46" s="164"/>
      <c r="J46" s="2749">
        <v>1</v>
      </c>
      <c r="K46" s="3237" t="s">
        <v>2017</v>
      </c>
      <c r="L46" s="3237"/>
      <c r="M46" s="3257"/>
      <c r="N46" s="3257"/>
      <c r="O46" s="3257"/>
    </row>
    <row r="47" spans="1:15" ht="12" customHeight="1">
      <c r="A47" s="165" t="s">
        <v>2018</v>
      </c>
      <c r="B47" s="166"/>
      <c r="C47" s="167"/>
      <c r="D47" s="1247" t="s">
        <v>2019</v>
      </c>
      <c r="E47" s="308" t="s">
        <v>2020</v>
      </c>
      <c r="F47" s="168" t="s">
        <v>2021</v>
      </c>
      <c r="G47" s="2772" t="s">
        <v>2022</v>
      </c>
      <c r="H47" s="2773"/>
      <c r="I47" s="164"/>
      <c r="J47" s="2749">
        <v>2</v>
      </c>
      <c r="K47" s="3237" t="s">
        <v>2023</v>
      </c>
      <c r="L47" s="3237"/>
      <c r="M47" s="3258">
        <f>'数据-取费表'!B2</f>
        <v>44487</v>
      </c>
      <c r="N47" s="3258"/>
      <c r="O47" s="3258"/>
    </row>
    <row r="48" spans="1:15" ht="25.5">
      <c r="A48" s="3203" t="s">
        <v>2024</v>
      </c>
      <c r="B48" s="3186"/>
      <c r="C48" s="3186"/>
      <c r="D48" s="2547">
        <f ca="1">IF(H48="情况1",0,IF(H48="情况2",D52,IF(H48="情况3",D53,IF(H48="情况4",D54))))</f>
        <v>5676</v>
      </c>
      <c r="E48" s="2557" t="str">
        <f>IF(H48="情况4","(销售额-原购置价)×税（费）率","销售额×税（费）率")</f>
        <v>(销售额-原购置价)×税（费）率</v>
      </c>
      <c r="F48" s="2774">
        <f>IF(H48="情况1","免征",'数据-取费表'!B41)</f>
        <v>5.6000000000000001E-2</v>
      </c>
      <c r="G48" s="2775" t="s">
        <v>2025</v>
      </c>
      <c r="H48" s="2776" t="s">
        <v>3255</v>
      </c>
      <c r="I48" s="1992"/>
      <c r="J48" s="2749">
        <v>3</v>
      </c>
      <c r="K48" s="3237" t="s">
        <v>2026</v>
      </c>
      <c r="L48" s="3237"/>
      <c r="M48" s="3259">
        <f ca="1">典型户型修正!S22</f>
        <v>162865</v>
      </c>
      <c r="N48" s="3259"/>
      <c r="O48" s="3259"/>
    </row>
    <row r="49" spans="1:35" ht="25.5" customHeight="1">
      <c r="A49" s="2556" t="s">
        <v>2027</v>
      </c>
      <c r="B49" s="3170" t="s">
        <v>2028</v>
      </c>
      <c r="C49" s="3170"/>
      <c r="D49" s="1775">
        <v>0</v>
      </c>
      <c r="E49" s="330" t="s">
        <v>2029</v>
      </c>
      <c r="F49" s="2650" t="s">
        <v>34</v>
      </c>
      <c r="G49" s="3243"/>
      <c r="H49" s="2528" t="s">
        <v>2876</v>
      </c>
      <c r="I49" s="2529"/>
      <c r="J49" s="2749">
        <v>4</v>
      </c>
      <c r="K49" s="3237" t="str">
        <f>IF(项目基本情况!E8="房地产抵押价值","房地产抵押价值","抵押担保权已注销时的房地产抵押价值")</f>
        <v>房地产抵押价值</v>
      </c>
      <c r="L49" s="3237"/>
      <c r="M49" s="3259">
        <f ca="1">M48</f>
        <v>162865</v>
      </c>
      <c r="N49" s="3259"/>
      <c r="O49" s="3259"/>
    </row>
    <row r="50" spans="1:35" ht="25.5" customHeight="1">
      <c r="A50" s="2777"/>
      <c r="B50" s="3170" t="s">
        <v>2030</v>
      </c>
      <c r="C50" s="3170"/>
      <c r="D50" s="2778"/>
      <c r="E50" s="338"/>
      <c r="F50" s="2650"/>
      <c r="G50" s="3244"/>
      <c r="H50" s="2530" t="s">
        <v>2877</v>
      </c>
      <c r="I50" s="2529"/>
      <c r="J50" s="3256" t="s">
        <v>2031</v>
      </c>
      <c r="K50" s="3256"/>
      <c r="L50" s="3256"/>
      <c r="M50" s="3256"/>
      <c r="N50" s="3256"/>
      <c r="O50" s="3256"/>
    </row>
    <row r="51" spans="1:35" ht="20.45" customHeight="1">
      <c r="A51" s="2779"/>
      <c r="B51" s="3170" t="s">
        <v>2032</v>
      </c>
      <c r="C51" s="3170"/>
      <c r="D51" s="1247"/>
      <c r="E51" s="333"/>
      <c r="F51" s="2650"/>
      <c r="G51" s="3245"/>
      <c r="H51" s="2530" t="s">
        <v>2878</v>
      </c>
      <c r="I51" s="2529"/>
      <c r="J51" s="2750" t="s">
        <v>2033</v>
      </c>
      <c r="K51" s="3237" t="s">
        <v>2034</v>
      </c>
      <c r="L51" s="3237"/>
      <c r="M51" s="2750" t="s">
        <v>2035</v>
      </c>
      <c r="N51" s="2750" t="s">
        <v>2036</v>
      </c>
      <c r="O51" s="2750" t="s">
        <v>2037</v>
      </c>
    </row>
    <row r="52" spans="1:35" ht="24" customHeight="1">
      <c r="A52" s="2558" t="s">
        <v>2038</v>
      </c>
      <c r="B52" s="3170" t="s">
        <v>2039</v>
      </c>
      <c r="C52" s="3170"/>
      <c r="D52" s="1247">
        <f ca="1">ROUND(D45*'数据-取费表'!B41/(1+'数据-取费表'!C42),0)</f>
        <v>8686</v>
      </c>
      <c r="E52" s="2557" t="s">
        <v>2040</v>
      </c>
      <c r="F52" s="2780">
        <f>'数据-取费表'!B41</f>
        <v>5.6000000000000001E-2</v>
      </c>
      <c r="G52" s="2781"/>
      <c r="H52" s="2770"/>
      <c r="I52" s="1993"/>
      <c r="J52" s="2749">
        <v>1</v>
      </c>
      <c r="K52" s="3238" t="s">
        <v>2041</v>
      </c>
      <c r="L52" s="3238"/>
      <c r="M52" s="2751">
        <f ca="1">D48</f>
        <v>5676</v>
      </c>
      <c r="N52" s="2749" t="str">
        <f>E48</f>
        <v>(销售额-原购置价)×税（费）率</v>
      </c>
      <c r="O52" s="2752">
        <f>F48</f>
        <v>5.6000000000000001E-2</v>
      </c>
    </row>
    <row r="53" spans="1:35" ht="12" customHeight="1">
      <c r="A53" s="2558" t="s">
        <v>2042</v>
      </c>
      <c r="B53" s="3196" t="s">
        <v>3037</v>
      </c>
      <c r="C53" s="3197"/>
      <c r="D53" s="1247">
        <f ca="1">ROUND(D45*'数据-取费表'!B41/(1+'数据-取费表'!C42),0)</f>
        <v>8686</v>
      </c>
      <c r="E53" s="2557" t="s">
        <v>2040</v>
      </c>
      <c r="F53" s="2780">
        <f>'数据-取费表'!B41</f>
        <v>5.6000000000000001E-2</v>
      </c>
      <c r="G53" s="2781"/>
      <c r="H53" s="2770"/>
      <c r="I53" s="1993"/>
      <c r="J53" s="2749">
        <v>2</v>
      </c>
      <c r="K53" s="3238" t="s">
        <v>2043</v>
      </c>
      <c r="L53" s="3238"/>
      <c r="M53" s="2751">
        <f t="shared" ref="M53:O54" ca="1" si="0">D55</f>
        <v>81</v>
      </c>
      <c r="N53" s="2749" t="str">
        <f t="shared" si="0"/>
        <v>销售额×税（费）率</v>
      </c>
      <c r="O53" s="2752">
        <f t="shared" si="0"/>
        <v>5.0000000000000001E-4</v>
      </c>
    </row>
    <row r="54" spans="1:35" ht="12" customHeight="1">
      <c r="A54" s="2558" t="s">
        <v>2044</v>
      </c>
      <c r="B54" s="3196" t="s">
        <v>3038</v>
      </c>
      <c r="C54" s="3197"/>
      <c r="D54" s="1247">
        <f ca="1">C68</f>
        <v>5676</v>
      </c>
      <c r="E54" s="333" t="s">
        <v>2045</v>
      </c>
      <c r="F54" s="2780">
        <f>'数据-取费表'!B41</f>
        <v>5.6000000000000001E-2</v>
      </c>
      <c r="G54" s="2781"/>
      <c r="H54" s="2782"/>
      <c r="I54" s="1993"/>
      <c r="J54" s="2749">
        <v>3</v>
      </c>
      <c r="K54" s="3238" t="s">
        <v>2046</v>
      </c>
      <c r="L54" s="3238"/>
      <c r="M54" s="2751">
        <f t="shared" ca="1" si="0"/>
        <v>40945</v>
      </c>
      <c r="N54" s="2749" t="str">
        <f t="shared" si="0"/>
        <v>增值额×税（费）率</v>
      </c>
      <c r="O54" s="2753" t="str">
        <f t="shared" si="0"/>
        <v>——</v>
      </c>
    </row>
    <row r="55" spans="1:35" ht="24" customHeight="1">
      <c r="A55" s="3185" t="s">
        <v>2047</v>
      </c>
      <c r="B55" s="3186"/>
      <c r="C55" s="3186"/>
      <c r="D55" s="2547">
        <f ca="1">IF(H55="个人住宅",0,ROUND(D45*I55,0))</f>
        <v>81</v>
      </c>
      <c r="E55" s="2557" t="s">
        <v>2048</v>
      </c>
      <c r="F55" s="2780">
        <f>IF(H55="正常",I55,"免征")</f>
        <v>5.0000000000000001E-4</v>
      </c>
      <c r="G55" s="2781"/>
      <c r="H55" s="2776" t="s">
        <v>3252</v>
      </c>
      <c r="I55" s="170">
        <f>'数据-取费表'!B49</f>
        <v>5.0000000000000001E-4</v>
      </c>
      <c r="J55" s="2749" t="str">
        <f>IF(H59="非个人房产","",4)</f>
        <v/>
      </c>
      <c r="K55" s="3238" t="str">
        <f>IF(H59="非个人房产","——","个人所得税")</f>
        <v>——</v>
      </c>
      <c r="L55" s="3238"/>
      <c r="M55" s="2754" t="str">
        <f>D59</f>
        <v>——</v>
      </c>
      <c r="N55" s="2228" t="str">
        <f>E59</f>
        <v>——</v>
      </c>
      <c r="O55" s="2755" t="str">
        <f>F59</f>
        <v>——</v>
      </c>
    </row>
    <row r="56" spans="1:35" ht="24.75">
      <c r="A56" s="3185" t="s">
        <v>2049</v>
      </c>
      <c r="B56" s="3186"/>
      <c r="C56" s="3186"/>
      <c r="D56" s="2547">
        <f ca="1">IF(H56="个人住宅",D57,D58)</f>
        <v>40945</v>
      </c>
      <c r="E56" s="2557" t="s">
        <v>2050</v>
      </c>
      <c r="F56" s="2780" t="str">
        <f>IF(H56="正常",F58,"免征")</f>
        <v>——</v>
      </c>
      <c r="G56" s="2783" t="s">
        <v>2051</v>
      </c>
      <c r="H56" s="2784" t="s">
        <v>3252</v>
      </c>
      <c r="I56" s="1994"/>
      <c r="J56" s="2749" t="str">
        <f>IF(项目基本情况!K6="上海银行",IF(J55="",4,J55+1),"")</f>
        <v/>
      </c>
      <c r="K56" s="3261" t="str">
        <f>IF(项目基本情况!K6="上海银行","其他处置费用","")</f>
        <v/>
      </c>
      <c r="L56" s="3262"/>
      <c r="M56" s="2751" t="str">
        <f>IF(项目基本情况!K6="上海银行",M69,"")</f>
        <v/>
      </c>
      <c r="N56" s="3261" t="str">
        <f>IF(项目基本情况!K6="上海银行","包含处置中涉及的律师、诉讼、拍卖、评估等费用","")</f>
        <v/>
      </c>
      <c r="O56" s="3264"/>
    </row>
    <row r="57" spans="1:35" ht="12.75">
      <c r="A57" s="2558" t="s">
        <v>2027</v>
      </c>
      <c r="B57" s="3196" t="s">
        <v>2052</v>
      </c>
      <c r="C57" s="3197"/>
      <c r="D57" s="1775">
        <v>0</v>
      </c>
      <c r="E57" s="330" t="s">
        <v>2029</v>
      </c>
      <c r="F57" s="308"/>
      <c r="G57" s="2781"/>
      <c r="H57" s="2785"/>
      <c r="I57" s="1994"/>
      <c r="J57" s="3238">
        <f>IF(AND(J55="",J56=""),4,IF(项目基本情况!K6="上海银行",结果表!J56+1,结果表!J55+1))</f>
        <v>4</v>
      </c>
      <c r="K57" s="3238" t="s">
        <v>2053</v>
      </c>
      <c r="L57" s="2756" t="s">
        <v>2054</v>
      </c>
      <c r="M57" s="2757"/>
      <c r="N57" s="2758">
        <f ca="1">SUMIF(M52:M56,"&lt;9e307")</f>
        <v>46702</v>
      </c>
      <c r="O57" s="2759"/>
      <c r="P57" s="2919">
        <f ca="1">N57/M49</f>
        <v>0.28675283210020569</v>
      </c>
    </row>
    <row r="58" spans="1:35" ht="24.75">
      <c r="A58" s="2558" t="s">
        <v>2038</v>
      </c>
      <c r="B58" s="3196" t="s">
        <v>2055</v>
      </c>
      <c r="C58" s="3170"/>
      <c r="D58" s="2547">
        <f ca="1">IF(H58="转让取得",C81,C97)</f>
        <v>40945</v>
      </c>
      <c r="E58" s="2557" t="s">
        <v>2050</v>
      </c>
      <c r="F58" s="308" t="s">
        <v>34</v>
      </c>
      <c r="G58" s="2781"/>
      <c r="H58" s="2784" t="s">
        <v>3256</v>
      </c>
      <c r="I58" s="1994"/>
      <c r="J58" s="3238"/>
      <c r="K58" s="3238"/>
      <c r="L58" s="2756" t="s">
        <v>2056</v>
      </c>
      <c r="M58" s="2760"/>
      <c r="N58" s="2761" t="str">
        <f ca="1">NUMBERSTRING(INT(N57*10000),2)&amp;"元整"</f>
        <v>肆亿陆仟柒佰零贰万元整</v>
      </c>
      <c r="O58" s="2762"/>
    </row>
    <row r="59" spans="1:35" ht="24.75" thickBot="1">
      <c r="A59" s="3241" t="s">
        <v>2057</v>
      </c>
      <c r="B59" s="3242"/>
      <c r="C59" s="3242"/>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3253</v>
      </c>
      <c r="I59" s="2531" t="s">
        <v>2879</v>
      </c>
      <c r="J59" s="3239">
        <f>J57+1</f>
        <v>5</v>
      </c>
      <c r="K59" s="3238" t="s">
        <v>2058</v>
      </c>
      <c r="L59" s="2749" t="s">
        <v>2054</v>
      </c>
      <c r="M59" s="2763"/>
      <c r="N59" s="2764">
        <f ca="1">M49-N57</f>
        <v>116163</v>
      </c>
      <c r="O59" s="2765"/>
    </row>
    <row r="60" spans="1:35" ht="12" customHeight="1">
      <c r="A60" s="1995"/>
      <c r="B60" s="1933"/>
      <c r="C60" s="1933"/>
      <c r="D60" s="1933"/>
      <c r="E60" s="1763"/>
      <c r="F60" s="1994"/>
      <c r="G60" s="1994"/>
      <c r="H60" s="1996"/>
      <c r="I60" s="134"/>
      <c r="J60" s="3240"/>
      <c r="K60" s="3238"/>
      <c r="L60" s="2756" t="s">
        <v>2056</v>
      </c>
      <c r="M60" s="2760"/>
      <c r="N60" s="2761" t="str">
        <f ca="1">NUMBERSTRING(INT(N59*10000),2)&amp;"元整"</f>
        <v>壹拾壹亿陆仟壹佰陆拾叁万元整</v>
      </c>
      <c r="O60" s="2762"/>
    </row>
    <row r="61" spans="1:35" ht="13.5" thickBot="1">
      <c r="A61" s="3183" t="s">
        <v>2059</v>
      </c>
      <c r="B61" s="3183"/>
      <c r="C61" s="3183"/>
      <c r="D61" s="3183"/>
      <c r="E61" s="3183"/>
      <c r="F61" s="1994"/>
      <c r="G61" s="1994"/>
      <c r="H61" s="1996"/>
      <c r="I61" s="134"/>
      <c r="J61" s="2749">
        <f>J59+1</f>
        <v>6</v>
      </c>
      <c r="K61" s="3238" t="s">
        <v>2060</v>
      </c>
      <c r="L61" s="3238"/>
      <c r="M61" s="2766"/>
      <c r="N61" s="2767">
        <f ca="1">ROUND(N59*10000/'数据-汇总表'!E3,0)</f>
        <v>51453</v>
      </c>
      <c r="O61" s="2768"/>
    </row>
    <row r="62" spans="1:35" ht="12.75">
      <c r="A62" s="3201" t="s">
        <v>2061</v>
      </c>
      <c r="B62" s="3202"/>
      <c r="C62" s="2209"/>
      <c r="D62" s="2209" t="s">
        <v>2062</v>
      </c>
      <c r="E62" s="171" t="s">
        <v>2063</v>
      </c>
      <c r="F62" s="1994"/>
      <c r="G62" s="1994"/>
      <c r="H62" s="1996"/>
      <c r="I62" s="134"/>
    </row>
    <row r="63" spans="1:35" ht="12.75">
      <c r="A63" s="178" t="s">
        <v>775</v>
      </c>
      <c r="B63" s="172" t="s">
        <v>2064</v>
      </c>
      <c r="C63" s="2790">
        <f ca="1">ROUND((C64+C65)/(1+'数据-取费表'!C42),0)</f>
        <v>155110</v>
      </c>
      <c r="D63" s="172"/>
      <c r="E63" s="173"/>
      <c r="F63" s="1994"/>
      <c r="G63" s="1994"/>
      <c r="H63" s="1996"/>
      <c r="I63" s="134"/>
      <c r="J63" s="3263" t="s">
        <v>2065</v>
      </c>
      <c r="K63" s="1501" t="s">
        <v>2066</v>
      </c>
      <c r="L63" s="1501">
        <f ca="1">IF(M49&gt;10000,M49*0.5%,IF(AND(M49&gt;1000,M49&lt;=10000),M49*1%,IF(AND(M49&gt;100,M49&lt;=1000),M49*3%,IF(AND(M49&gt;10,M49&lt;=100),M49*5%,M49*8%))))</f>
        <v>814.32500000000005</v>
      </c>
      <c r="M63" s="308">
        <f ca="1">ROUND(L63,1)</f>
        <v>814.3</v>
      </c>
      <c r="N63" s="2769"/>
      <c r="Z63" s="1938"/>
      <c r="AI63" s="1939"/>
    </row>
    <row r="64" spans="1:35" ht="14.25" customHeight="1">
      <c r="A64" s="174" t="s">
        <v>770</v>
      </c>
      <c r="B64" s="175" t="s">
        <v>2067</v>
      </c>
      <c r="C64" s="2791">
        <f ca="1">D45</f>
        <v>162865</v>
      </c>
      <c r="D64" s="175" t="s">
        <v>32</v>
      </c>
      <c r="E64" s="177"/>
      <c r="F64" s="1994"/>
      <c r="G64" s="1994"/>
      <c r="H64" s="1996"/>
      <c r="I64" s="134"/>
      <c r="J64" s="3263"/>
      <c r="K64" s="1501" t="s">
        <v>2068</v>
      </c>
      <c r="L64" s="1501">
        <f ca="1">IF(M49&gt;2000,M49*0.5%,IF(AND(M49&gt;1000,M49&lt;=2000),M49*0.6%,IF(AND(M49&gt;500,M49&lt;=1000),M49*0.7%,IF(AND(M49&gt;200,M49&lt;=500),M49*0.8%,IF(AND(M49&gt;100,M49&lt;=200),M49*0.9%,IF(AND(M49&gt;50,M49&lt;=100),M49*1%,IF(AND(M49&gt;20,M49&lt;=50),M49*1.5%,IF(AND(M49&gt;10,M49&lt;=20),M49*2%,IF(AND(M49&gt;1,M49&lt;=10),M49*2.5%)))))))))</f>
        <v>814.32500000000005</v>
      </c>
      <c r="M64" s="308">
        <f t="shared" ref="M64:M65" ca="1" si="1">ROUND(L64,1)</f>
        <v>814.3</v>
      </c>
      <c r="N64" s="2770" t="s">
        <v>2069</v>
      </c>
      <c r="Z64" s="1938"/>
      <c r="AI64" s="1939"/>
    </row>
    <row r="65" spans="1:35" ht="14.25" customHeight="1">
      <c r="A65" s="174" t="s">
        <v>771</v>
      </c>
      <c r="B65" s="175" t="s">
        <v>2070</v>
      </c>
      <c r="C65" s="2792"/>
      <c r="D65" s="175"/>
      <c r="E65" s="177"/>
      <c r="F65" s="1994"/>
      <c r="G65" s="1994"/>
      <c r="H65" s="1996"/>
      <c r="I65" s="134"/>
      <c r="J65" s="3263"/>
      <c r="K65" s="1501" t="s">
        <v>2071</v>
      </c>
      <c r="L65" s="1501">
        <f ca="1">IF(M49&gt;1000,M49*0.1%,IF(AND(M49&gt;500,M49&lt;=1000),M49*0.5%,IF(AND(M49&gt;50,M49&lt;=500),M49*1%,IF(AND(M49&gt;1,M49&lt;=50),M49*1.5%))))</f>
        <v>162.86500000000001</v>
      </c>
      <c r="M65" s="308">
        <f t="shared" ca="1" si="1"/>
        <v>162.9</v>
      </c>
      <c r="N65" s="2770" t="s">
        <v>2069</v>
      </c>
      <c r="Z65" s="1938"/>
      <c r="AI65" s="1939"/>
    </row>
    <row r="66" spans="1:35" ht="14.25" customHeight="1">
      <c r="A66" s="178" t="s">
        <v>772</v>
      </c>
      <c r="B66" s="179" t="s">
        <v>2072</v>
      </c>
      <c r="C66" s="2793">
        <f>L86/1.05</f>
        <v>53753.333333333328</v>
      </c>
      <c r="D66" s="179" t="s">
        <v>32</v>
      </c>
      <c r="E66" s="1509" t="s">
        <v>1337</v>
      </c>
      <c r="F66" s="1994"/>
      <c r="G66" s="1994"/>
      <c r="H66" s="1996"/>
      <c r="I66" s="134"/>
      <c r="J66" s="3263"/>
      <c r="K66" s="1501" t="s">
        <v>2073</v>
      </c>
      <c r="L66" s="1501">
        <f ca="1">M49*0.5%</f>
        <v>814.32500000000005</v>
      </c>
      <c r="M66" s="308">
        <f ca="1">IF(L66&gt;0.5,0.5,ROUND(L66,0))</f>
        <v>0.5</v>
      </c>
      <c r="N66" s="2770" t="s">
        <v>2074</v>
      </c>
      <c r="Z66" s="1938"/>
      <c r="AI66" s="1939"/>
    </row>
    <row r="67" spans="1:35" ht="14.25" customHeight="1">
      <c r="A67" s="178" t="s">
        <v>773</v>
      </c>
      <c r="B67" s="179" t="s">
        <v>2075</v>
      </c>
      <c r="C67" s="2794">
        <f ca="1">C63-C66</f>
        <v>101356.66666666667</v>
      </c>
      <c r="D67" s="175" t="s">
        <v>32</v>
      </c>
      <c r="E67" s="177"/>
      <c r="F67" s="1994"/>
      <c r="G67" s="1994"/>
      <c r="H67" s="1996"/>
      <c r="I67" s="134"/>
      <c r="J67" s="3263"/>
      <c r="K67" s="1501" t="s">
        <v>2076</v>
      </c>
      <c r="L67" s="1501">
        <f ca="1">IF(M49&gt;=10000,(8.25+(M49-10000)*0.01%),IF(AND(M49&gt;=8000,M49&lt;10000),(7.85+(M49-8000)*0.02%),IF(AND(M49&gt;=5000,M49&lt;8000),(6.65+(M49-5000)*0.04%),IF(AND(M49&gt;=2000,M49&lt;5000),(4.25+(PM49-2000)*0.08%),IF(AND(M49&gt;=1000,M49&lt;2000),(2.75+(M49-1000)*0.15%),IF(AND(M49&gt;=100,M49&lt;1000),(0.5+(M49-100)*0.25%),IF(AND(M49&gt;0,M49&lt;100),M49*0.5%)))))))</f>
        <v>23.5365</v>
      </c>
      <c r="M67" s="308">
        <f ca="1">ROUND(L67*0.9,1)</f>
        <v>21.2</v>
      </c>
      <c r="N67" s="2769"/>
      <c r="Z67" s="1938"/>
      <c r="AI67" s="1939"/>
    </row>
    <row r="68" spans="1:35" ht="14.25" customHeight="1" thickBot="1">
      <c r="A68" s="181" t="s">
        <v>774</v>
      </c>
      <c r="B68" s="182" t="s">
        <v>2077</v>
      </c>
      <c r="C68" s="2795">
        <f ca="1">IF(C67&lt;=0,0,ROUND(C67*D68,0))</f>
        <v>5676</v>
      </c>
      <c r="D68" s="2796">
        <f>'数据-取费表'!B41</f>
        <v>5.6000000000000001E-2</v>
      </c>
      <c r="E68" s="184"/>
      <c r="F68" s="1994"/>
      <c r="G68" s="1994"/>
      <c r="H68" s="1996"/>
      <c r="I68" s="134"/>
      <c r="J68" s="3263"/>
      <c r="K68" s="1501" t="s">
        <v>2078</v>
      </c>
      <c r="L68" s="1501">
        <f ca="1">IF(M49&gt;10000,M49*0.5%,IF(AND(M49&gt;5000,M49&lt;=10000),M49*1%,IF(AND(M49&gt;1000,M49&lt;=5000),M49*2%,IF(AND(M49&gt;200,M49&lt;=1000),M49*3%,M49*5%))))</f>
        <v>814.32500000000005</v>
      </c>
      <c r="M68" s="308">
        <f ca="1">ROUND(L68,1)</f>
        <v>814.3</v>
      </c>
      <c r="N68" s="2769"/>
      <c r="Z68" s="1938"/>
      <c r="AI68" s="1939"/>
    </row>
    <row r="69" spans="1:35" s="1958" customFormat="1" ht="16.5" customHeight="1">
      <c r="A69" s="1997"/>
      <c r="B69" s="1998"/>
      <c r="C69" s="1999"/>
      <c r="D69" s="2000"/>
      <c r="E69" s="2001"/>
      <c r="F69" s="1763"/>
      <c r="G69" s="1763"/>
      <c r="H69" s="1762"/>
      <c r="I69" s="1933"/>
      <c r="J69" s="3263"/>
      <c r="K69" s="1501" t="s">
        <v>2079</v>
      </c>
      <c r="L69" s="1501"/>
      <c r="M69" s="308">
        <f ca="1">ROUND(SUM(M63:M68),0)</f>
        <v>2628</v>
      </c>
      <c r="N69" s="2771">
        <f ca="1">M69/M49</f>
        <v>1.6136063610966138E-2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2" t="s">
        <v>2080</v>
      </c>
      <c r="B70" s="3223"/>
      <c r="C70" s="3223"/>
      <c r="D70" s="3223"/>
      <c r="E70" s="3223"/>
      <c r="F70" s="3223"/>
      <c r="G70" s="3223"/>
      <c r="H70" s="3223"/>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1" t="s">
        <v>2061</v>
      </c>
      <c r="B71" s="3202"/>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155110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56323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55392</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f>L86</f>
        <v>56441</v>
      </c>
      <c r="D75" s="175" t="s">
        <v>32</v>
      </c>
      <c r="E75" s="190" t="s">
        <v>2085</v>
      </c>
      <c r="F75" s="2798" t="s">
        <v>3258</v>
      </c>
      <c r="G75" s="190" t="s">
        <v>2086</v>
      </c>
      <c r="H75" s="2799">
        <v>1</v>
      </c>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196" t="s">
        <v>2088</v>
      </c>
      <c r="F76" s="3170"/>
      <c r="G76" s="3170"/>
      <c r="H76" s="322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1639</v>
      </c>
      <c r="D77" s="2801">
        <f>'数据-取费表'!B48+'数据-取费表'!B49</f>
        <v>3.0499999999999999E-2</v>
      </c>
      <c r="E77" s="2547" t="s">
        <v>2090</v>
      </c>
      <c r="F77" s="192"/>
      <c r="G77" s="2008" t="s">
        <v>3259</v>
      </c>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931</v>
      </c>
      <c r="D78" s="2803">
        <f>'数据-取费表'!B43</f>
        <v>6.000000000000001E-3</v>
      </c>
      <c r="E78" s="3180" t="s">
        <v>2092</v>
      </c>
      <c r="F78" s="3181"/>
      <c r="G78" s="3181"/>
      <c r="H78" s="319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98787</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1.7539371127248193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40945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2" t="s">
        <v>2096</v>
      </c>
      <c r="B83" s="3223"/>
      <c r="C83" s="3223"/>
      <c r="D83" s="3223"/>
      <c r="E83" s="3223"/>
      <c r="F83" s="3223"/>
      <c r="G83" s="3223"/>
      <c r="H83" s="322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1" t="s">
        <v>2061</v>
      </c>
      <c r="B84" s="3202"/>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155110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76052</v>
      </c>
      <c r="D86" s="2807"/>
      <c r="E86" s="2554"/>
      <c r="F86" s="2553"/>
      <c r="G86" s="2553"/>
      <c r="H86" s="198"/>
      <c r="I86" s="2007"/>
      <c r="J86" s="2004"/>
      <c r="K86" s="3417" t="s">
        <v>3257</v>
      </c>
      <c r="L86" s="2004">
        <f>ROUND(25000*典型户型修正!B22/10000,0)</f>
        <v>56441</v>
      </c>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 ca="1">C88+C89</f>
        <v>45422</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f ca="1">L86-I91</f>
        <v>44078</v>
      </c>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 ca="1">ROUND(C88*D89,0)</f>
        <v>1344</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65" t="s">
        <v>2871</v>
      </c>
      <c r="H90" s="3266"/>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 ca="1">IF(H91="——",成本法!C33,I91)</f>
        <v>12363</v>
      </c>
      <c r="D91" s="2803"/>
      <c r="E91" s="3180" t="s">
        <v>2105</v>
      </c>
      <c r="F91" s="3181"/>
      <c r="G91" s="3181"/>
      <c r="H91" s="2011" t="s">
        <v>3254</v>
      </c>
      <c r="I91" s="2012">
        <f ca="1">ROUND(收益法!C19/收益法!F7*典型户型修正!B22,0)</f>
        <v>12363</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 ca="1">ROUND((C87+C90+C91)*D92,0)</f>
        <v>5779</v>
      </c>
      <c r="D92" s="2809">
        <v>0.1</v>
      </c>
      <c r="E92" s="3180" t="s">
        <v>2108</v>
      </c>
      <c r="F92" s="3181"/>
      <c r="G92" s="3181"/>
      <c r="H92" s="3190"/>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931</v>
      </c>
      <c r="D93" s="2803">
        <f>'数据-取费表'!B43</f>
        <v>6.000000000000001E-3</v>
      </c>
      <c r="E93" s="3180" t="s">
        <v>2092</v>
      </c>
      <c r="F93" s="3181"/>
      <c r="G93" s="3181"/>
      <c r="H93" s="319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 ca="1">ROUND((C87+C90+C91)*D94,0)</f>
        <v>11557</v>
      </c>
      <c r="D94" s="2803">
        <v>0.2</v>
      </c>
      <c r="E94" s="3191" t="s">
        <v>2112</v>
      </c>
      <c r="F94" s="3192"/>
      <c r="G94" s="3192"/>
      <c r="H94" s="319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79058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1.0395255877557461</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28121</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64" t="s">
        <v>2114</v>
      </c>
      <c r="B100" s="3165"/>
      <c r="C100" s="3165"/>
      <c r="D100" s="3182"/>
      <c r="E100" s="3165" t="s">
        <v>2115</v>
      </c>
      <c r="F100" s="3165"/>
      <c r="G100" s="3165"/>
      <c r="H100" s="3182"/>
      <c r="I100" s="134"/>
    </row>
    <row r="101" spans="1:35" ht="18.75" customHeight="1">
      <c r="A101" s="3246" t="s">
        <v>2116</v>
      </c>
      <c r="B101" s="3247"/>
      <c r="C101" s="2811" t="str">
        <f>C4</f>
        <v>比较法-商业</v>
      </c>
      <c r="D101" s="2812" t="str">
        <f>D4</f>
        <v>收益法</v>
      </c>
      <c r="E101" s="3260" t="s">
        <v>2117</v>
      </c>
      <c r="F101" s="3214"/>
      <c r="G101" s="2013" t="s">
        <v>2118</v>
      </c>
      <c r="H101" s="2821" t="e">
        <f ca="1">H118</f>
        <v>#REF!</v>
      </c>
      <c r="I101" s="134"/>
    </row>
    <row r="102" spans="1:35" ht="18.75" customHeight="1">
      <c r="A102" s="3216" t="s">
        <v>2119</v>
      </c>
      <c r="B102" s="2810" t="s">
        <v>2118</v>
      </c>
      <c r="C102" s="2811">
        <f ca="1">C19</f>
        <v>5581</v>
      </c>
      <c r="D102" s="2812">
        <f ca="1">D19</f>
        <v>2496</v>
      </c>
      <c r="E102" s="3260"/>
      <c r="F102" s="3214"/>
      <c r="G102" s="2013" t="s">
        <v>2120</v>
      </c>
      <c r="H102" s="2781" t="e">
        <f ca="1">I118</f>
        <v>#REF!</v>
      </c>
      <c r="I102" s="134"/>
    </row>
    <row r="103" spans="1:35" ht="42.75" customHeight="1">
      <c r="A103" s="3216"/>
      <c r="B103" s="2810" t="s">
        <v>2120</v>
      </c>
      <c r="C103" s="2813">
        <f ca="1">C20</f>
        <v>160000</v>
      </c>
      <c r="D103" s="2814">
        <f ca="1">D20</f>
        <v>71560</v>
      </c>
      <c r="E103" s="3254" t="s">
        <v>2121</v>
      </c>
      <c r="F103" s="3255"/>
      <c r="G103" s="2014" t="s">
        <v>2122</v>
      </c>
      <c r="H103" s="2821">
        <f>IF(D36="正常操作",H104+H105+H106,H105+H106)</f>
        <v>0</v>
      </c>
      <c r="I103" s="134"/>
    </row>
    <row r="104" spans="1:35" ht="18.75" customHeight="1">
      <c r="A104" s="3216" t="s">
        <v>2123</v>
      </c>
      <c r="B104" s="2815" t="s">
        <v>2118</v>
      </c>
      <c r="C104" s="2816" t="e">
        <f ca="1">H118</f>
        <v>#REF!</v>
      </c>
      <c r="D104" s="2817"/>
      <c r="E104" s="1860" t="s">
        <v>2124</v>
      </c>
      <c r="F104" s="1851"/>
      <c r="G104" s="2014" t="s">
        <v>2122</v>
      </c>
      <c r="H104" s="2822">
        <f>IF(D36="同一抵押权人同一抵押物续贷",C36&amp;"（续贷，未扣减，详见特别提示）",C36)</f>
        <v>0</v>
      </c>
      <c r="I104" s="134"/>
    </row>
    <row r="105" spans="1:35" ht="18.75" customHeight="1" thickBot="1">
      <c r="A105" s="3217"/>
      <c r="B105" s="2818" t="s">
        <v>2120</v>
      </c>
      <c r="C105" s="2819" t="e">
        <f ca="1">I118</f>
        <v>#REF!</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13" t="str">
        <f>IF(项目基本情况!E8="已注销","——","3.房地产抵押价值")</f>
        <v>3.房地产抵押价值</v>
      </c>
      <c r="F107" s="3214"/>
      <c r="G107" s="2013" t="s">
        <v>2118</v>
      </c>
      <c r="H107" s="2821" t="e">
        <f ca="1">IF(E107="——","——",H101-H103)</f>
        <v>#REF!</v>
      </c>
      <c r="I107" s="134"/>
    </row>
    <row r="108" spans="1:35" ht="18.75" customHeight="1">
      <c r="A108" s="134"/>
      <c r="B108" s="134"/>
      <c r="C108" s="134"/>
      <c r="D108" s="134"/>
      <c r="E108" s="3213"/>
      <c r="F108" s="3214"/>
      <c r="G108" s="2013" t="s">
        <v>2120</v>
      </c>
      <c r="H108" s="2781" t="e">
        <f ca="1">ROUND(H107*10000/'数据-汇总表'!E3,0)</f>
        <v>#REF!</v>
      </c>
      <c r="I108" s="134"/>
    </row>
    <row r="109" spans="1:35" ht="18.75" customHeight="1">
      <c r="A109" s="134"/>
      <c r="B109" s="134"/>
      <c r="C109" s="134"/>
      <c r="D109" s="134"/>
      <c r="E109" s="3213" t="str">
        <f>IF(项目基本情况!E8="已注销及未注销","4.抵押担保权已注销时的房地产抵押价值",IF(项目基本情况!E8="已注销","3.抵押担保权已注销时的房地产抵押价值","——"))</f>
        <v>——</v>
      </c>
      <c r="F109" s="3214"/>
      <c r="G109" s="2013" t="s">
        <v>2118</v>
      </c>
      <c r="H109" s="2824" t="str">
        <f>IF(E109="——","——",H101-H105-H106)</f>
        <v>——</v>
      </c>
      <c r="I109" s="134"/>
    </row>
    <row r="110" spans="1:35" ht="18.75" customHeight="1">
      <c r="A110" s="134"/>
      <c r="B110" s="134"/>
      <c r="C110" s="134"/>
      <c r="D110" s="134"/>
      <c r="E110" s="3213"/>
      <c r="F110" s="3214"/>
      <c r="G110" s="2013" t="s">
        <v>2120</v>
      </c>
      <c r="H110" s="2781" t="str">
        <f>IF(H109="——","——",ROUND(H109*10000/'数据-汇总表'!E3,0))</f>
        <v>——</v>
      </c>
      <c r="I110" s="134"/>
    </row>
    <row r="111" spans="1:35" ht="18.75" customHeight="1">
      <c r="A111" s="134"/>
      <c r="B111" s="134"/>
      <c r="C111" s="134"/>
      <c r="D111" s="134"/>
      <c r="E111" s="3248" t="str">
        <f>IF(项目基本情况!E9="抵押净值",IF(OR(项目基本情况!E8="已注销",项目基本情况!E8="房地产抵押价值"),"4.抵押净值","5.抵押净值"),"——")</f>
        <v>——</v>
      </c>
      <c r="F111" s="3215"/>
      <c r="G111" s="2013" t="s">
        <v>2118</v>
      </c>
      <c r="H111" s="2821" t="str">
        <f>IF(E111="——","——",N59)</f>
        <v>——</v>
      </c>
      <c r="I111" s="134"/>
    </row>
    <row r="112" spans="1:35" ht="18.75" customHeight="1" thickBot="1">
      <c r="A112" s="134"/>
      <c r="B112" s="134"/>
      <c r="C112" s="134"/>
      <c r="D112" s="134"/>
      <c r="E112" s="3249"/>
      <c r="F112" s="3250"/>
      <c r="G112" s="2016" t="s">
        <v>2120</v>
      </c>
      <c r="H112" s="2825" t="str">
        <f>IF(E111="——","——",N61)</f>
        <v>——</v>
      </c>
      <c r="I112" s="134"/>
    </row>
    <row r="113" spans="1:27" ht="18.75" customHeight="1">
      <c r="A113" s="134"/>
      <c r="B113" s="134"/>
      <c r="C113" s="134"/>
      <c r="D113" s="134"/>
      <c r="E113" s="3218" t="s">
        <v>2126</v>
      </c>
      <c r="F113" s="3218"/>
      <c r="G113" s="3218"/>
      <c r="H113" s="3218"/>
      <c r="I113" s="134"/>
    </row>
    <row r="114" spans="1:27" ht="3.75" customHeight="1">
      <c r="A114" s="1933"/>
      <c r="B114" s="1933"/>
      <c r="C114" s="1933"/>
      <c r="D114" s="1933"/>
      <c r="E114" s="1995"/>
      <c r="F114" s="1995"/>
      <c r="G114" s="1995"/>
      <c r="H114" s="1995"/>
      <c r="I114" s="1933"/>
    </row>
    <row r="115" spans="1:27" ht="18.75" customHeight="1">
      <c r="A115" s="3231" t="s">
        <v>2128</v>
      </c>
      <c r="B115" s="3232"/>
      <c r="C115" s="3232"/>
      <c r="D115" s="3232"/>
      <c r="E115" s="3232"/>
      <c r="F115" s="3232"/>
      <c r="G115" s="3232"/>
      <c r="H115" s="3232"/>
      <c r="I115" s="3233"/>
    </row>
    <row r="116" spans="1:27" ht="27" customHeight="1">
      <c r="A116" s="3184" t="s">
        <v>2129</v>
      </c>
      <c r="B116" s="3219" t="s">
        <v>2130</v>
      </c>
      <c r="C116" s="3219" t="s">
        <v>2131</v>
      </c>
      <c r="D116" s="3235" t="s">
        <v>2132</v>
      </c>
      <c r="E116" s="3236"/>
      <c r="F116" s="3227" t="s">
        <v>2133</v>
      </c>
      <c r="G116" s="3227"/>
      <c r="H116" s="3184" t="s">
        <v>2134</v>
      </c>
      <c r="I116" s="3184"/>
    </row>
    <row r="117" spans="1:27" ht="18.75" customHeight="1">
      <c r="A117" s="3184"/>
      <c r="B117" s="3220"/>
      <c r="C117" s="3220"/>
      <c r="D117" s="2552" t="s">
        <v>2135</v>
      </c>
      <c r="E117" s="2552" t="s">
        <v>2136</v>
      </c>
      <c r="F117" s="2552" t="s">
        <v>2135</v>
      </c>
      <c r="G117" s="2552" t="s">
        <v>2137</v>
      </c>
      <c r="H117" s="2552" t="s">
        <v>2135</v>
      </c>
      <c r="I117" s="2552" t="s">
        <v>2137</v>
      </c>
    </row>
    <row r="118" spans="1:27" ht="24.75" customHeight="1">
      <c r="A118" s="2826" t="str">
        <f>项目基本情况!S2</f>
        <v>房地产</v>
      </c>
      <c r="B118" s="2552">
        <f>M18</f>
        <v>348.8</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184" t="s">
        <v>2138</v>
      </c>
      <c r="B119" s="3184"/>
      <c r="C119" s="3184"/>
      <c r="D119" s="3224" t="e">
        <f ca="1">NUMBERSTRING(INT(D118*10000),2)&amp;"元整"</f>
        <v>#REF!</v>
      </c>
      <c r="E119" s="3226"/>
      <c r="F119" s="3224" t="e">
        <f ca="1">NUMBERSTRING(INT(F118*10000),2)&amp;"元整"</f>
        <v>#REF!</v>
      </c>
      <c r="G119" s="3226"/>
      <c r="H119" s="3224" t="e">
        <f ca="1">NUMBERSTRING(INT(H118*10000),2)&amp;"元整"</f>
        <v>#REF!</v>
      </c>
      <c r="I119" s="3226"/>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8" t="s">
        <v>2138</v>
      </c>
      <c r="B121" s="3229"/>
      <c r="C121" s="3230"/>
      <c r="D121" s="3224" t="str">
        <f>IF(D120=0,"零元整",NUMBERSTRING(INT(D120*10000),2)&amp;"元整")</f>
        <v>零元整</v>
      </c>
      <c r="E121" s="3225"/>
      <c r="F121" s="3225"/>
      <c r="G121" s="3225"/>
      <c r="H121" s="3225"/>
      <c r="I121" s="3226"/>
      <c r="AA121" s="734"/>
    </row>
    <row r="122" spans="1:27" ht="18.75" customHeight="1">
      <c r="A122" s="3215" t="str">
        <f>IF(项目基本情况!B9="房地产市场价值","",MID(E107,3,LEN(E107)-2))</f>
        <v>房地产抵押价值</v>
      </c>
      <c r="B122" s="3215"/>
      <c r="C122" s="3215"/>
      <c r="D122" s="3251" t="e">
        <f ca="1">H107</f>
        <v>#REF!</v>
      </c>
      <c r="E122" s="3252"/>
      <c r="F122" s="3252"/>
      <c r="G122" s="3252"/>
      <c r="H122" s="3252"/>
      <c r="I122" s="3253"/>
      <c r="AA122" s="734"/>
    </row>
    <row r="123" spans="1:27" ht="18.75" customHeight="1">
      <c r="A123" s="3184" t="s">
        <v>2138</v>
      </c>
      <c r="B123" s="3184"/>
      <c r="C123" s="3184"/>
      <c r="D123" s="3224" t="e">
        <f ca="1">NUMBERSTRING(INT(D122*10000),2)&amp;"元整"</f>
        <v>#REF!</v>
      </c>
      <c r="E123" s="3225"/>
      <c r="F123" s="3225"/>
      <c r="G123" s="3225"/>
      <c r="H123" s="3225"/>
      <c r="I123" s="3226"/>
      <c r="AA123" s="734"/>
    </row>
    <row r="124" spans="1:27" ht="18.75" customHeight="1">
      <c r="A124" s="3215" t="str">
        <f>IF(项目基本情况!B9="房地产市场价值","",MID(E109,3,LEN(E109)-2))</f>
        <v/>
      </c>
      <c r="B124" s="3215"/>
      <c r="C124" s="3215"/>
      <c r="D124" s="3251" t="str">
        <f>H109</f>
        <v>——</v>
      </c>
      <c r="E124" s="3252"/>
      <c r="F124" s="3252"/>
      <c r="G124" s="3252"/>
      <c r="H124" s="3252"/>
      <c r="I124" s="3253"/>
      <c r="AA124" s="734"/>
    </row>
    <row r="125" spans="1:27" ht="18.75" customHeight="1">
      <c r="A125" s="3184" t="s">
        <v>2138</v>
      </c>
      <c r="B125" s="3184"/>
      <c r="C125" s="3184"/>
      <c r="D125" s="3224" t="e">
        <f>NUMBERSTRING(INT(D124*10000),2)&amp;"元整"</f>
        <v>#VALUE!</v>
      </c>
      <c r="E125" s="3225"/>
      <c r="F125" s="3225"/>
      <c r="G125" s="3225"/>
      <c r="H125" s="3225"/>
      <c r="I125" s="3226"/>
      <c r="AA125" s="734"/>
    </row>
    <row r="126" spans="1:27" ht="18.75" customHeight="1">
      <c r="A126" s="3215" t="str">
        <f>IF(项目基本情况!B9="房地产市场价值","",MID(E111,3,LEN(E111)-2))</f>
        <v/>
      </c>
      <c r="B126" s="3215"/>
      <c r="C126" s="3215"/>
      <c r="D126" s="3251" t="str">
        <f>H111</f>
        <v>——</v>
      </c>
      <c r="E126" s="3252"/>
      <c r="F126" s="3252"/>
      <c r="G126" s="3252"/>
      <c r="H126" s="3252"/>
      <c r="I126" s="3253"/>
      <c r="AA126" s="734"/>
    </row>
    <row r="127" spans="1:27" ht="18.75" customHeight="1">
      <c r="A127" s="3184" t="s">
        <v>2138</v>
      </c>
      <c r="B127" s="3184"/>
      <c r="C127" s="3184"/>
      <c r="D127" s="3224" t="e">
        <f>NUMBERSTRING(INT(D126*10000),2)&amp;"元整"</f>
        <v>#VALUE!</v>
      </c>
      <c r="E127" s="3225"/>
      <c r="F127" s="3225"/>
      <c r="G127" s="3225"/>
      <c r="H127" s="3225"/>
      <c r="I127" s="3226"/>
      <c r="AA127" s="734"/>
    </row>
    <row r="128" spans="1:27" ht="21.75" customHeight="1">
      <c r="A128" s="3234" t="s">
        <v>2139</v>
      </c>
      <c r="B128" s="3234"/>
      <c r="C128" s="3234"/>
      <c r="D128" s="3234"/>
      <c r="E128" s="3234"/>
      <c r="F128" s="3234"/>
      <c r="G128" s="3234"/>
      <c r="H128" s="3234"/>
      <c r="I128" s="3234"/>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5" t="str">
        <f>项目基本情况!B1</f>
        <v>房地产抵押价值预评估</v>
      </c>
      <c r="C37" s="3075"/>
      <c r="D37" s="3075"/>
      <c r="E37" s="3075"/>
      <c r="F37" s="3075"/>
      <c r="G37" s="3075"/>
      <c r="H37" s="3075"/>
      <c r="I37" s="3075"/>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8</v>
      </c>
    </row>
    <row r="2" spans="1:9" s="206" customFormat="1" ht="18" customHeight="1">
      <c r="A2" s="207" t="s">
        <v>2148</v>
      </c>
      <c r="B2" s="208">
        <f ca="1">IF(D2="——",C52,C52-E2)</f>
        <v>1417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628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c r="H9" s="1299"/>
      <c r="I9" s="2044" t="s">
        <v>2165</v>
      </c>
    </row>
    <row r="10" spans="1:9" s="220" customFormat="1" ht="13.5" customHeight="1">
      <c r="A10" s="887" t="s">
        <v>801</v>
      </c>
      <c r="B10" s="230" t="s">
        <v>2166</v>
      </c>
      <c r="C10" s="231">
        <f ca="1">ROUND(D10*E10/10000,0)</f>
        <v>452</v>
      </c>
      <c r="D10" s="954">
        <f ca="1">IF(B1="",'数据-汇总表'!E6,IF(INDIRECT("'数据-取费表'!c"&amp;$G$1)="住宅",INDIRECT("'数据-取费表'!s"&amp;$G$1),INDIRECT("'数据-取费表'!k"&amp;$G$1)+INDIRECT("'数据-取费表'!s"&amp;$G$1)))</f>
        <v>22576.38</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452</v>
      </c>
      <c r="D19" s="958">
        <f ca="1">D9+D10</f>
        <v>22576.38</v>
      </c>
      <c r="E19" s="217">
        <f>'数据-取费表'!B31</f>
        <v>200</v>
      </c>
      <c r="F19" s="237"/>
      <c r="G19" s="2042"/>
    </row>
    <row r="20" spans="1:7" s="220" customFormat="1" ht="13.5" customHeight="1">
      <c r="A20" s="261" t="s">
        <v>2179</v>
      </c>
      <c r="B20" s="216" t="s">
        <v>2180</v>
      </c>
      <c r="C20" s="238">
        <f ca="1">ROUND((C5+C19)*F20,0)</f>
        <v>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40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115</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115</v>
      </c>
      <c r="D28" s="241"/>
      <c r="E28" s="242"/>
      <c r="F28" s="252"/>
      <c r="G28" s="253"/>
    </row>
    <row r="29" spans="1:7" s="220" customFormat="1" ht="13.5" customHeight="1">
      <c r="A29" s="888" t="s">
        <v>792</v>
      </c>
      <c r="B29" s="254" t="s">
        <v>2203</v>
      </c>
      <c r="C29" s="244">
        <f ca="1">ROUND(C21*F27*'数据-取费表'!B21/'数据-取费表'!B20,4)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669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636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174</v>
      </c>
      <c r="D34" s="223"/>
      <c r="E34" s="226"/>
      <c r="F34" s="263">
        <f ca="1">IF('数据-取费表'!B24=0,1,IF(B1="",'数据-取费表'!N16,INDIRECT("'数据-取费表'!n"&amp;$G$1)))</f>
        <v>1</v>
      </c>
      <c r="G34" s="225" t="s">
        <v>2212</v>
      </c>
    </row>
    <row r="35" spans="1:7" ht="13.5" customHeight="1">
      <c r="A35" s="888" t="s">
        <v>796</v>
      </c>
      <c r="B35" s="221" t="s">
        <v>2213</v>
      </c>
      <c r="C35" s="226">
        <f ca="1">ROUND(C34*F35,0)</f>
        <v>7</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452</v>
      </c>
      <c r="D37" s="223">
        <f ca="1">D19</f>
        <v>22576.38</v>
      </c>
      <c r="E37" s="255">
        <f>'数据-取费表'!B35</f>
        <v>200</v>
      </c>
      <c r="F37" s="265"/>
      <c r="G37" s="267" t="s">
        <v>2218</v>
      </c>
    </row>
    <row r="38" spans="1:7" ht="13.5" customHeight="1">
      <c r="A38" s="888" t="s">
        <v>799</v>
      </c>
      <c r="B38" s="221" t="s">
        <v>2219</v>
      </c>
      <c r="C38" s="226">
        <f ca="1">ROUND(C34*F38,0)</f>
        <v>3</v>
      </c>
      <c r="D38" s="226"/>
      <c r="E38" s="226"/>
      <c r="F38" s="265">
        <f>'数据-取费表'!B36</f>
        <v>1.4999999999999999E-2</v>
      </c>
      <c r="G38" s="225" t="s">
        <v>2214</v>
      </c>
    </row>
    <row r="39" spans="1:7" s="220" customFormat="1" ht="13.5" customHeight="1">
      <c r="A39" s="261" t="s">
        <v>2220</v>
      </c>
      <c r="B39" s="216" t="s">
        <v>2221</v>
      </c>
      <c r="C39" s="238">
        <f ca="1">ROUND(C33*F20,0)</f>
        <v>13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29</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28</v>
      </c>
      <c r="D42" s="244"/>
      <c r="E42" s="244"/>
      <c r="F42" s="245"/>
      <c r="G42" s="3267" t="s">
        <v>2230</v>
      </c>
    </row>
    <row r="43" spans="1:7" ht="13.5" customHeight="1">
      <c r="A43" s="888" t="s">
        <v>792</v>
      </c>
      <c r="B43" s="221" t="s">
        <v>2231</v>
      </c>
      <c r="C43" s="244">
        <f ca="1">ROUND(IF('数据-取费表'!B22&lt;=1,C39*F22*'数据-取费表'!B21/2,C39*(POWER((1+F22),'数据-取费表'!B21/2)-1)),0)</f>
        <v>1</v>
      </c>
      <c r="D43" s="244"/>
      <c r="E43" s="244"/>
      <c r="F43" s="245"/>
      <c r="G43" s="3268"/>
    </row>
    <row r="44" spans="1:7" ht="13.5" customHeight="1">
      <c r="A44" s="888" t="s">
        <v>793</v>
      </c>
      <c r="B44" s="221" t="s">
        <v>2232</v>
      </c>
      <c r="C44" s="244">
        <f ca="1">ROUND(IF('数据-取费表'!B22&lt;=1,C40*F22*'数据-取费表'!B21/2,C40*(POWER((1+F22),'数据-取费表'!B21/2)-1)),4)</f>
        <v>8.9999999999999998E-4</v>
      </c>
      <c r="D44" s="244"/>
      <c r="E44" s="244"/>
      <c r="F44" s="245"/>
      <c r="G44" s="3269"/>
    </row>
    <row r="45" spans="1:7" s="220" customFormat="1" ht="13.5" customHeight="1">
      <c r="A45" s="261" t="s">
        <v>2233</v>
      </c>
      <c r="B45" s="250" t="s">
        <v>2199</v>
      </c>
      <c r="C45" s="251">
        <f ca="1">C46</f>
        <v>162</v>
      </c>
      <c r="D45" s="241">
        <f ca="1">C47</f>
        <v>5.0000000000000001E-3</v>
      </c>
      <c r="E45" s="242" t="s">
        <v>2225</v>
      </c>
      <c r="F45" s="2537">
        <f ca="1">F27</f>
        <v>0.25</v>
      </c>
      <c r="G45" s="253" t="s">
        <v>2234</v>
      </c>
    </row>
    <row r="46" spans="1:7" s="220" customFormat="1" ht="13.5" customHeight="1">
      <c r="A46" s="888" t="s">
        <v>791</v>
      </c>
      <c r="B46" s="254" t="s">
        <v>2235</v>
      </c>
      <c r="C46" s="255">
        <f ca="1">ROUND((C33+C39)*F27,0)</f>
        <v>162</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912</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748</v>
      </c>
      <c r="D51" s="238"/>
      <c r="E51" s="238"/>
      <c r="F51" s="270"/>
      <c r="G51" s="240" t="s">
        <v>2246</v>
      </c>
    </row>
    <row r="52" spans="1:7" s="214" customFormat="1" ht="16.5" thickBot="1">
      <c r="A52" s="271" t="s">
        <v>2247</v>
      </c>
      <c r="B52" s="272"/>
      <c r="C52" s="273">
        <f ca="1">C31+C51</f>
        <v>1417</v>
      </c>
      <c r="D52" s="272"/>
      <c r="E52" s="272"/>
      <c r="F52" s="272"/>
      <c r="G52" s="274"/>
    </row>
    <row r="55" spans="1:7" ht="15">
      <c r="B55" s="276" t="s">
        <v>2248</v>
      </c>
      <c r="C55" s="277"/>
    </row>
    <row r="56" spans="1:7">
      <c r="B56" s="279" t="s">
        <v>1478</v>
      </c>
      <c r="C56" s="281">
        <f ca="1">1-C57</f>
        <v>0.47199999999999998</v>
      </c>
    </row>
    <row r="57" spans="1:7">
      <c r="B57" s="279" t="s">
        <v>1479</v>
      </c>
      <c r="C57" s="280">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2085</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924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4515276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4515276</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4515276</v>
      </c>
      <c r="D10" s="954">
        <f ca="1">IF(B1="",'数据-汇总表'!E6,IF(INDIRECT("'数据-取费表'!c"&amp;$G$1)="住宅",INDIRECT("'数据-取费表'!s"&amp;$G$1),INDIRECT("'数据-取费表'!k"&amp;$G$1)+INDIRECT("'数据-取费表'!s"&amp;$G$1)))</f>
        <v>22576.38</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4515276</v>
      </c>
      <c r="D19" s="958">
        <f ca="1">D9+D10</f>
        <v>22576.38</v>
      </c>
      <c r="E19" s="217">
        <f>'数据-取费表'!B31</f>
        <v>200</v>
      </c>
      <c r="F19" s="237"/>
      <c r="G19" s="2042"/>
    </row>
    <row r="20" spans="1:7" s="220" customFormat="1" ht="13.5" customHeight="1">
      <c r="A20" s="261" t="s">
        <v>2260</v>
      </c>
      <c r="B20" s="216" t="s">
        <v>2261</v>
      </c>
      <c r="C20" s="238">
        <f ca="1">ROUND((C5+C19)*F20,0)</f>
        <v>180611</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810603</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401373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401373</v>
      </c>
      <c r="D24" s="244"/>
      <c r="E24" s="244"/>
      <c r="F24" s="245"/>
      <c r="G24" s="246" t="s">
        <v>2272</v>
      </c>
    </row>
    <row r="25" spans="1:7" s="220" customFormat="1" ht="24">
      <c r="A25" s="888" t="s">
        <v>2162</v>
      </c>
      <c r="B25" s="221" t="s">
        <v>2273</v>
      </c>
      <c r="C25" s="1290">
        <f ca="1">ROUND(IF('数据-取费表'!B22&lt;=1,C20*F22*'数据-取费表'!B22/2,C20*(POWER((1+F22),'数据-取费表'!B22/2)-1)),0)</f>
        <v>7857</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2302791</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ROUND((C5+C19+C20)*F27,0)</f>
        <v>2302791</v>
      </c>
      <c r="D28" s="241"/>
      <c r="E28" s="242"/>
      <c r="F28" s="252"/>
      <c r="G28" s="253"/>
    </row>
    <row r="29" spans="1:7" s="220" customFormat="1" ht="13.5" customHeight="1">
      <c r="A29" s="888" t="s">
        <v>792</v>
      </c>
      <c r="B29" s="254" t="s">
        <v>2203</v>
      </c>
      <c r="C29" s="244">
        <f ca="1">ROUND(C21*F27,4)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13384619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6355196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1744000</v>
      </c>
      <c r="D34" s="223"/>
      <c r="E34" s="226"/>
      <c r="F34" s="263"/>
      <c r="G34" s="225"/>
    </row>
    <row r="35" spans="1:7" ht="13.5" customHeight="1">
      <c r="A35" s="888" t="s">
        <v>796</v>
      </c>
      <c r="B35" s="221" t="s">
        <v>2213</v>
      </c>
      <c r="C35" s="226">
        <f ca="1">ROUND(C34*F35,0)</f>
        <v>69760</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4515276</v>
      </c>
      <c r="D37" s="223">
        <f ca="1">D19</f>
        <v>22576.38</v>
      </c>
      <c r="E37" s="255">
        <f>'数据-取费表'!B35</f>
        <v>200</v>
      </c>
      <c r="F37" s="265"/>
      <c r="G37" s="267"/>
    </row>
    <row r="38" spans="1:7" ht="13.5" customHeight="1">
      <c r="A38" s="888" t="s">
        <v>799</v>
      </c>
      <c r="B38" s="221" t="s">
        <v>2219</v>
      </c>
      <c r="C38" s="226">
        <f ca="1">ROUND(C34*F38,0)</f>
        <v>26160</v>
      </c>
      <c r="D38" s="226"/>
      <c r="E38" s="226"/>
      <c r="F38" s="265">
        <f>'数据-取费表'!B36</f>
        <v>1.4999999999999999E-2</v>
      </c>
      <c r="G38" s="225" t="s">
        <v>2214</v>
      </c>
    </row>
    <row r="39" spans="1:7" s="220" customFormat="1" ht="13.5" customHeight="1">
      <c r="A39" s="261" t="s">
        <v>2220</v>
      </c>
      <c r="B39" s="216" t="s">
        <v>2221</v>
      </c>
      <c r="C39" s="238">
        <f ca="1">ROUND(C33*F20,0)</f>
        <v>127104</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281980</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276451</v>
      </c>
      <c r="D42" s="244"/>
      <c r="E42" s="244"/>
      <c r="F42" s="245"/>
      <c r="G42" s="3267" t="s">
        <v>2277</v>
      </c>
    </row>
    <row r="43" spans="1:7" ht="13.5" customHeight="1">
      <c r="A43" s="888" t="s">
        <v>792</v>
      </c>
      <c r="B43" s="221" t="s">
        <v>2231</v>
      </c>
      <c r="C43" s="244">
        <f ca="1">ROUND(IF('数据-取费表'!B22&lt;=1,C39*F22*'数据-取费表'!B20/2,C39*(POWER((1+F22),'数据-取费表'!B20/2)-1)),0)</f>
        <v>5529</v>
      </c>
      <c r="D43" s="244"/>
      <c r="E43" s="244"/>
      <c r="F43" s="245"/>
      <c r="G43" s="3268"/>
    </row>
    <row r="44" spans="1:7" ht="13.5" customHeight="1">
      <c r="A44" s="888" t="s">
        <v>793</v>
      </c>
      <c r="B44" s="221" t="s">
        <v>2232</v>
      </c>
      <c r="C44" s="244">
        <f ca="1">ROUND(IF('数据-取费表'!B22&lt;=1,C40*F22*'数据-取费表'!B20/2,C40*(POWER((1+F22),'数据-取费表'!B20/2)-1)),4)</f>
        <v>8.9999999999999998E-4</v>
      </c>
      <c r="D44" s="244"/>
      <c r="E44" s="244"/>
      <c r="F44" s="245"/>
      <c r="G44" s="3269"/>
    </row>
    <row r="45" spans="1:7" s="220" customFormat="1" ht="13.5" customHeight="1">
      <c r="A45" s="261" t="s">
        <v>2233</v>
      </c>
      <c r="B45" s="250" t="s">
        <v>2199</v>
      </c>
      <c r="C45" s="251">
        <f ca="1">C46</f>
        <v>1620575</v>
      </c>
      <c r="D45" s="241">
        <f ca="1">C47</f>
        <v>5.0000000000000001E-3</v>
      </c>
      <c r="E45" s="242" t="s">
        <v>2225</v>
      </c>
      <c r="F45" s="2537">
        <f ca="1">F27</f>
        <v>0.25</v>
      </c>
      <c r="G45" s="253" t="s">
        <v>2234</v>
      </c>
    </row>
    <row r="46" spans="1:7" s="220" customFormat="1" ht="13.5" customHeight="1">
      <c r="A46" s="888" t="s">
        <v>791</v>
      </c>
      <c r="B46" s="254" t="s">
        <v>2235</v>
      </c>
      <c r="C46" s="255">
        <f ca="1">ROUND((C33+C39)*F27,0)</f>
        <v>1620575</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9106055</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7466965</v>
      </c>
      <c r="D51" s="238"/>
      <c r="E51" s="238"/>
      <c r="F51" s="270"/>
      <c r="G51" s="240" t="s">
        <v>2246</v>
      </c>
    </row>
    <row r="52" spans="1:7" s="214" customFormat="1" ht="16.5" thickBot="1">
      <c r="A52" s="271" t="s">
        <v>2247</v>
      </c>
      <c r="B52" s="272"/>
      <c r="C52" s="273">
        <f ca="1">C31+C51</f>
        <v>20851584</v>
      </c>
      <c r="D52" s="272"/>
      <c r="E52" s="272"/>
      <c r="F52" s="272"/>
      <c r="G52" s="274"/>
    </row>
    <row r="55" spans="1:7" ht="15">
      <c r="B55" s="276" t="s">
        <v>2248</v>
      </c>
      <c r="C55" s="277"/>
    </row>
    <row r="56" spans="1:7">
      <c r="B56" s="279" t="s">
        <v>1478</v>
      </c>
      <c r="C56" s="281">
        <f ca="1">1-C57</f>
        <v>0.64200000000000002</v>
      </c>
    </row>
    <row r="57" spans="1:7">
      <c r="B57" s="279" t="s">
        <v>1479</v>
      </c>
      <c r="C57" s="280">
        <f ca="1">ROUND(C51/C52,3)</f>
        <v>0.35799999999999998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46" sqref="O46"/>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8</v>
      </c>
    </row>
    <row r="2" spans="1:33" ht="18" customHeight="1">
      <c r="A2" s="207" t="s">
        <v>2148</v>
      </c>
      <c r="B2" s="210">
        <f ca="1">C32</f>
        <v>-560</v>
      </c>
      <c r="C2" s="282" t="s">
        <v>2281</v>
      </c>
      <c r="D2" s="282"/>
      <c r="E2" s="3037"/>
      <c r="F2" s="3037"/>
      <c r="G2" s="3037"/>
      <c r="H2" s="3037"/>
      <c r="I2" s="3037"/>
      <c r="J2" s="3037"/>
      <c r="K2" s="3037"/>
    </row>
    <row r="3" spans="1:33" ht="18" customHeight="1" thickBot="1">
      <c r="A3" s="209" t="s">
        <v>2150</v>
      </c>
      <c r="B3" s="210">
        <f ca="1">ROUND(B2*10000/IF(C1="",'数据-汇总表'!E3,INDIRECT("'数据-取费表'!K"&amp;$K$1)),0)</f>
        <v>-248</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22576.38</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22576.38</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452</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452</v>
      </c>
      <c r="D20" s="955">
        <f ca="1">IF(C1="",'数据-汇总表'!E6,IF(INDIRECT("'数据-取费表'!c"&amp;$K$1)="住宅",INDIRECT("'数据-取费表'!s"&amp;$K$1),INDIRECT("'数据-取费表'!k"&amp;$K$1)+INDIRECT("'数据-取费表'!s"&amp;$K$1)))</f>
        <v>22576.38</v>
      </c>
      <c r="E20" s="24">
        <f>'数据-取费表'!B28</f>
        <v>200</v>
      </c>
      <c r="F20" s="913"/>
      <c r="G20" s="15"/>
      <c r="H20" s="918"/>
      <c r="I20" s="918"/>
      <c r="J20" s="918"/>
      <c r="K20" s="919"/>
    </row>
    <row r="21" spans="1:33" s="912" customFormat="1" ht="13.5" customHeight="1">
      <c r="A21" s="898" t="s">
        <v>802</v>
      </c>
      <c r="B21" s="922" t="s">
        <v>2317</v>
      </c>
      <c r="C21" s="923">
        <f ca="1">C16+C17+C18</f>
        <v>452</v>
      </c>
      <c r="D21" s="924"/>
      <c r="E21" s="287"/>
      <c r="F21" s="287"/>
      <c r="G21" s="136" t="s">
        <v>2318</v>
      </c>
      <c r="H21" s="916"/>
      <c r="I21" s="916"/>
      <c r="J21" s="916"/>
      <c r="K21" s="917"/>
    </row>
    <row r="22" spans="1:33" s="912" customFormat="1" ht="13.5" customHeight="1">
      <c r="A22" s="898" t="s">
        <v>2290</v>
      </c>
      <c r="B22" s="922" t="s">
        <v>2319</v>
      </c>
      <c r="C22" s="923">
        <f ca="1">ROUND(C21*F22,0)</f>
        <v>9</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115</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115</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-560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N49" sqref="N4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t="s">
        <v>3246</v>
      </c>
      <c r="E1" s="2543"/>
      <c r="F1" s="2065" t="s">
        <v>3250</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5581</v>
      </c>
      <c r="C2" s="2067" t="s">
        <v>70</v>
      </c>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160000</v>
      </c>
      <c r="C3" s="360" t="s">
        <v>2465</v>
      </c>
      <c r="D3" s="359">
        <f>IF(D1="",'数据-汇总表'!E3,SUMIF('数据-汇总表'!$C19:$C33,D1,'数据-汇总表'!$E19:$E33))</f>
        <v>348.8</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89" t="s">
        <v>2467</v>
      </c>
      <c r="D4" s="3290"/>
      <c r="E4" s="3291" t="s">
        <v>2468</v>
      </c>
      <c r="F4" s="3292"/>
      <c r="G4" s="3289" t="s">
        <v>2469</v>
      </c>
      <c r="H4" s="3290"/>
      <c r="I4" s="3289" t="s">
        <v>2470</v>
      </c>
      <c r="J4" s="3290"/>
      <c r="K4" s="567" t="s">
        <v>2471</v>
      </c>
      <c r="L4" s="2944"/>
      <c r="M4" s="2945"/>
      <c r="N4" s="2945"/>
      <c r="O4" s="2945"/>
      <c r="P4" s="3293" t="s">
        <v>2472</v>
      </c>
      <c r="Q4" s="3294"/>
      <c r="R4" s="3299" t="s">
        <v>2468</v>
      </c>
      <c r="S4" s="3300"/>
      <c r="T4" s="3299" t="s">
        <v>2469</v>
      </c>
      <c r="U4" s="3300"/>
      <c r="V4" s="3284" t="s">
        <v>2470</v>
      </c>
      <c r="W4" s="3284"/>
      <c r="X4" s="1539"/>
      <c r="Y4" s="3299" t="s">
        <v>2472</v>
      </c>
      <c r="Z4" s="3300"/>
      <c r="AA4" s="3286" t="s">
        <v>2468</v>
      </c>
      <c r="AB4" s="3284" t="s">
        <v>2469</v>
      </c>
      <c r="AC4" s="3286" t="s">
        <v>2470</v>
      </c>
    </row>
    <row r="5" spans="1:29"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4"/>
      <c r="W5" s="3284"/>
      <c r="X5" s="1539"/>
      <c r="Y5" s="3301"/>
      <c r="Z5" s="3302"/>
      <c r="AA5" s="3287"/>
      <c r="AB5" s="3284"/>
      <c r="AC5" s="3287"/>
    </row>
    <row r="6" spans="1:29" ht="15.75" thickBot="1">
      <c r="A6" s="366"/>
      <c r="B6" s="367"/>
      <c r="C6" s="3305" t="s">
        <v>2367</v>
      </c>
      <c r="D6" s="3306"/>
      <c r="E6" s="3312" t="s">
        <v>2367</v>
      </c>
      <c r="F6" s="3313"/>
      <c r="G6" s="3305" t="s">
        <v>2367</v>
      </c>
      <c r="H6" s="3306"/>
      <c r="I6" s="3305" t="s">
        <v>2367</v>
      </c>
      <c r="J6" s="3306"/>
      <c r="K6" s="567" t="s">
        <v>2368</v>
      </c>
      <c r="L6" s="2944"/>
      <c r="M6" s="2945"/>
      <c r="N6" s="2945"/>
      <c r="O6" s="2945"/>
      <c r="P6" s="3297"/>
      <c r="Q6" s="3298"/>
      <c r="R6" s="3301"/>
      <c r="S6" s="3302"/>
      <c r="T6" s="3303"/>
      <c r="U6" s="3304"/>
      <c r="V6" s="3284"/>
      <c r="W6" s="3284"/>
      <c r="X6" s="1539"/>
      <c r="Y6" s="3303"/>
      <c r="Z6" s="3304"/>
      <c r="AA6" s="3288"/>
      <c r="AB6" s="3284"/>
      <c r="AC6" s="3288"/>
    </row>
    <row r="7" spans="1:29" s="113" customFormat="1" ht="15.75" thickBot="1">
      <c r="A7" s="368" t="s">
        <v>2369</v>
      </c>
      <c r="B7" s="369"/>
      <c r="C7" s="370">
        <f>'数据-取费表'!B2</f>
        <v>44487</v>
      </c>
      <c r="D7" s="371">
        <v>100</v>
      </c>
      <c r="E7" s="372">
        <f>C7</f>
        <v>44487</v>
      </c>
      <c r="F7" s="373">
        <f>SUMIF(58:58,YEAR(E7)&amp;"-"&amp;MONTH(E7),59:59)</f>
        <v>100</v>
      </c>
      <c r="G7" s="372">
        <f>C7</f>
        <v>44487</v>
      </c>
      <c r="H7" s="371">
        <f>SUMIF(58:58,YEAR(G7)&amp;"-"&amp;MONTH(G7),59:59)</f>
        <v>100</v>
      </c>
      <c r="I7" s="372">
        <f>C7</f>
        <v>44487</v>
      </c>
      <c r="J7" s="371">
        <f>SUMIF(58:58,YEAR(I7)&amp;"-"&amp;MONTH(I7),59:59)</f>
        <v>100</v>
      </c>
      <c r="K7" s="568"/>
      <c r="L7" s="2946"/>
      <c r="M7" s="2947"/>
      <c r="N7" s="2947"/>
      <c r="O7" s="2947"/>
      <c r="P7" s="3309" t="s">
        <v>2370</v>
      </c>
      <c r="Q7" s="3311"/>
      <c r="R7" s="710" t="s">
        <v>17</v>
      </c>
      <c r="S7" s="711">
        <f t="shared" ref="S7:S15" si="0">F7</f>
        <v>100</v>
      </c>
      <c r="T7" s="710" t="s">
        <v>17</v>
      </c>
      <c r="U7" s="711">
        <f t="shared" ref="U7:U15" si="1">H7</f>
        <v>100</v>
      </c>
      <c r="V7" s="710" t="s">
        <v>17</v>
      </c>
      <c r="W7" s="711">
        <f t="shared" ref="W7:W15" si="2">J7</f>
        <v>100</v>
      </c>
      <c r="X7" s="712"/>
      <c r="Y7" s="3309" t="s">
        <v>2370</v>
      </c>
      <c r="Z7" s="3310"/>
      <c r="AA7" s="713">
        <f>D7/F7</f>
        <v>1</v>
      </c>
      <c r="AB7" s="713">
        <f>D7/H7</f>
        <v>1</v>
      </c>
      <c r="AC7" s="713">
        <f>D7/J7</f>
        <v>1</v>
      </c>
    </row>
    <row r="8" spans="1:29" s="113" customFormat="1" ht="15.75" thickBot="1">
      <c r="A8" s="368" t="s">
        <v>2371</v>
      </c>
      <c r="B8" s="369"/>
      <c r="C8" s="374" t="s">
        <v>2473</v>
      </c>
      <c r="D8" s="371">
        <v>100</v>
      </c>
      <c r="E8" s="374" t="s">
        <v>2473</v>
      </c>
      <c r="F8" s="373">
        <f>SUMIF(61:61,E8,62:62)-SUMIF(61:61,C8,62:62)+100</f>
        <v>100</v>
      </c>
      <c r="G8" s="374" t="s">
        <v>2473</v>
      </c>
      <c r="H8" s="371">
        <f>SUMIF(61:61,G8,62:62)-SUMIF(61:61,C8,62:62)+100</f>
        <v>100</v>
      </c>
      <c r="I8" s="374" t="s">
        <v>2473</v>
      </c>
      <c r="J8" s="371">
        <f>SUMIF(61:61,I8,62:62)-SUMIF(61:61,C8,62:62)+100</f>
        <v>100</v>
      </c>
      <c r="K8" s="568"/>
      <c r="L8" s="2946"/>
      <c r="M8" s="2947"/>
      <c r="N8" s="2947"/>
      <c r="O8" s="2947"/>
      <c r="P8" s="3309" t="s">
        <v>2373</v>
      </c>
      <c r="Q8" s="3310"/>
      <c r="R8" s="710" t="s">
        <v>17</v>
      </c>
      <c r="S8" s="711">
        <f t="shared" si="0"/>
        <v>100</v>
      </c>
      <c r="T8" s="710" t="s">
        <v>17</v>
      </c>
      <c r="U8" s="711">
        <f t="shared" si="1"/>
        <v>100</v>
      </c>
      <c r="V8" s="710" t="s">
        <v>17</v>
      </c>
      <c r="W8" s="711">
        <f t="shared" si="2"/>
        <v>100</v>
      </c>
      <c r="X8" s="712"/>
      <c r="Y8" s="3309" t="s">
        <v>2373</v>
      </c>
      <c r="Z8" s="3310"/>
      <c r="AA8" s="713">
        <f t="shared" ref="AA8:AA46" si="3">D8/F8</f>
        <v>1</v>
      </c>
      <c r="AB8" s="713">
        <f t="shared" ref="AB8:AB46" si="4">D8/H8</f>
        <v>1</v>
      </c>
      <c r="AC8" s="713">
        <f t="shared" ref="AC8:AC46" si="5">D8/J8</f>
        <v>1</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85" t="s">
        <v>2376</v>
      </c>
      <c r="Q9" s="1527" t="str">
        <f t="shared" ref="Q9:Q15" si="6">B9</f>
        <v>用途</v>
      </c>
      <c r="R9" s="710" t="s">
        <v>17</v>
      </c>
      <c r="S9" s="711">
        <f t="shared" si="0"/>
        <v>100</v>
      </c>
      <c r="T9" s="710" t="s">
        <v>17</v>
      </c>
      <c r="U9" s="711">
        <f t="shared" si="1"/>
        <v>100</v>
      </c>
      <c r="V9" s="710" t="s">
        <v>17</v>
      </c>
      <c r="W9" s="711">
        <f t="shared" si="2"/>
        <v>100</v>
      </c>
      <c r="X9" s="712"/>
      <c r="Y9" s="317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85"/>
      <c r="Q10" s="1527"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0"/>
      <c r="M11" s="2945"/>
      <c r="N11" s="2945"/>
      <c r="O11" s="2945"/>
      <c r="P11" s="3285"/>
      <c r="Q11" s="1527" t="str">
        <f t="shared" si="6"/>
        <v>容积率</v>
      </c>
      <c r="R11" s="710" t="s">
        <v>17</v>
      </c>
      <c r="S11" s="711">
        <f t="shared" si="0"/>
        <v>100</v>
      </c>
      <c r="T11" s="710" t="s">
        <v>17</v>
      </c>
      <c r="U11" s="711">
        <f t="shared" si="1"/>
        <v>100</v>
      </c>
      <c r="V11" s="710" t="s">
        <v>17</v>
      </c>
      <c r="W11" s="711">
        <f t="shared" si="2"/>
        <v>100</v>
      </c>
      <c r="X11" s="712"/>
      <c r="Y11" s="3171"/>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85"/>
      <c r="Q12" s="1527">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85"/>
      <c r="Q13" s="1527">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85"/>
      <c r="Q14" s="1527">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75" t="s">
        <v>2381</v>
      </c>
      <c r="Q15" s="1536" t="str">
        <f t="shared" si="6"/>
        <v>商业繁华度</v>
      </c>
      <c r="R15" s="714" t="s">
        <v>17</v>
      </c>
      <c r="S15" s="715">
        <f t="shared" si="0"/>
        <v>100</v>
      </c>
      <c r="T15" s="714" t="s">
        <v>17</v>
      </c>
      <c r="U15" s="715">
        <f t="shared" si="1"/>
        <v>100</v>
      </c>
      <c r="V15" s="714" t="s">
        <v>17</v>
      </c>
      <c r="W15" s="715">
        <f t="shared" si="2"/>
        <v>100</v>
      </c>
      <c r="X15" s="1539"/>
      <c r="Y15" s="3277"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276"/>
      <c r="Q16" s="1536"/>
      <c r="R16" s="714"/>
      <c r="S16" s="715"/>
      <c r="T16" s="714"/>
      <c r="U16" s="715"/>
      <c r="V16" s="714"/>
      <c r="W16" s="715"/>
      <c r="X16" s="1539"/>
      <c r="Y16" s="327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76"/>
      <c r="Q17" s="1536" t="str">
        <f>B17</f>
        <v>交通便捷度</v>
      </c>
      <c r="R17" s="714" t="s">
        <v>17</v>
      </c>
      <c r="S17" s="715">
        <f>F17</f>
        <v>100</v>
      </c>
      <c r="T17" s="714" t="s">
        <v>17</v>
      </c>
      <c r="U17" s="715">
        <f>H17</f>
        <v>100</v>
      </c>
      <c r="V17" s="714" t="s">
        <v>17</v>
      </c>
      <c r="W17" s="715">
        <f>J17</f>
        <v>100</v>
      </c>
      <c r="X17" s="1539"/>
      <c r="Y17" s="327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276"/>
      <c r="Q18" s="1536"/>
      <c r="R18" s="714"/>
      <c r="S18" s="715"/>
      <c r="T18" s="714"/>
      <c r="U18" s="715"/>
      <c r="V18" s="714"/>
      <c r="W18" s="715"/>
      <c r="X18" s="1539"/>
      <c r="Y18" s="3278"/>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76"/>
      <c r="Q19" s="1536" t="str">
        <f>B19</f>
        <v>公共配套设施</v>
      </c>
      <c r="R19" s="714" t="s">
        <v>17</v>
      </c>
      <c r="S19" s="715">
        <f>F19</f>
        <v>100</v>
      </c>
      <c r="T19" s="714" t="s">
        <v>17</v>
      </c>
      <c r="U19" s="715">
        <f>H19</f>
        <v>100</v>
      </c>
      <c r="V19" s="714" t="s">
        <v>17</v>
      </c>
      <c r="W19" s="715">
        <f>J19</f>
        <v>100</v>
      </c>
      <c r="X19" s="1539"/>
      <c r="Y19" s="327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276"/>
      <c r="Q20" s="1536"/>
      <c r="R20" s="714"/>
      <c r="S20" s="715"/>
      <c r="T20" s="714"/>
      <c r="U20" s="715"/>
      <c r="V20" s="714"/>
      <c r="W20" s="715"/>
      <c r="X20" s="1539"/>
      <c r="Y20" s="3278"/>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76"/>
      <c r="Q21" s="1536" t="str">
        <f>B21</f>
        <v>基础设施水平</v>
      </c>
      <c r="R21" s="714" t="s">
        <v>17</v>
      </c>
      <c r="S21" s="715">
        <f>F21</f>
        <v>100</v>
      </c>
      <c r="T21" s="714" t="s">
        <v>17</v>
      </c>
      <c r="U21" s="715">
        <f>H21</f>
        <v>100</v>
      </c>
      <c r="V21" s="714" t="s">
        <v>17</v>
      </c>
      <c r="W21" s="715">
        <f>J21</f>
        <v>100</v>
      </c>
      <c r="X21" s="1539"/>
      <c r="Y21" s="327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276"/>
      <c r="Q22" s="1536"/>
      <c r="R22" s="714"/>
      <c r="S22" s="715"/>
      <c r="T22" s="714"/>
      <c r="U22" s="715"/>
      <c r="V22" s="714"/>
      <c r="W22" s="715"/>
      <c r="X22" s="1539"/>
      <c r="Y22" s="3278"/>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76"/>
      <c r="Q23" s="1536" t="str">
        <f>B23</f>
        <v>自然及人文环境</v>
      </c>
      <c r="R23" s="714" t="s">
        <v>17</v>
      </c>
      <c r="S23" s="715">
        <f>F23</f>
        <v>100</v>
      </c>
      <c r="T23" s="714" t="s">
        <v>17</v>
      </c>
      <c r="U23" s="715">
        <f>H23</f>
        <v>100</v>
      </c>
      <c r="V23" s="714" t="s">
        <v>17</v>
      </c>
      <c r="W23" s="715">
        <f>J23</f>
        <v>100</v>
      </c>
      <c r="X23" s="1539"/>
      <c r="Y23" s="327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276"/>
      <c r="Q24" s="1536"/>
      <c r="R24" s="714"/>
      <c r="S24" s="715"/>
      <c r="T24" s="714"/>
      <c r="U24" s="715"/>
      <c r="V24" s="714"/>
      <c r="W24" s="715"/>
      <c r="X24" s="1539"/>
      <c r="Y24" s="3278"/>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276"/>
      <c r="Q25" s="1536" t="str">
        <f t="shared" ref="Q25:Q46" si="11">B25</f>
        <v>临街状况</v>
      </c>
      <c r="R25" s="714" t="s">
        <v>17</v>
      </c>
      <c r="S25" s="715">
        <f>F25</f>
        <v>100</v>
      </c>
      <c r="T25" s="714" t="s">
        <v>17</v>
      </c>
      <c r="U25" s="715">
        <f>H25</f>
        <v>100</v>
      </c>
      <c r="V25" s="714" t="s">
        <v>17</v>
      </c>
      <c r="W25" s="715">
        <f>J25</f>
        <v>100</v>
      </c>
      <c r="X25" s="1539"/>
      <c r="Y25" s="3278"/>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276"/>
      <c r="Q26" s="1536" t="str">
        <f t="shared" si="11"/>
        <v>平面位置/可视性</v>
      </c>
      <c r="R26" s="714" t="s">
        <v>17</v>
      </c>
      <c r="S26" s="715">
        <f>F26</f>
        <v>100</v>
      </c>
      <c r="T26" s="714" t="s">
        <v>17</v>
      </c>
      <c r="U26" s="715">
        <f>H26</f>
        <v>100</v>
      </c>
      <c r="V26" s="714" t="s">
        <v>17</v>
      </c>
      <c r="W26" s="715">
        <f>J26</f>
        <v>100</v>
      </c>
      <c r="X26" s="1539"/>
      <c r="Y26" s="3278"/>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276"/>
      <c r="Q27" s="1527" t="str">
        <f t="shared" si="11"/>
        <v>人流量</v>
      </c>
      <c r="R27" s="710" t="s">
        <v>17</v>
      </c>
      <c r="S27" s="711">
        <f>F27</f>
        <v>100</v>
      </c>
      <c r="T27" s="710" t="s">
        <v>17</v>
      </c>
      <c r="U27" s="711">
        <f>H27</f>
        <v>100</v>
      </c>
      <c r="V27" s="710" t="s">
        <v>17</v>
      </c>
      <c r="W27" s="711">
        <f>J27</f>
        <v>100</v>
      </c>
      <c r="X27" s="712"/>
      <c r="Y27" s="3278"/>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27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7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76"/>
      <c r="Q29" s="1536">
        <f t="shared" si="11"/>
        <v>111</v>
      </c>
      <c r="R29" s="714" t="s">
        <v>17</v>
      </c>
      <c r="S29" s="715">
        <f t="shared" si="12"/>
        <v>100</v>
      </c>
      <c r="T29" s="714" t="s">
        <v>17</v>
      </c>
      <c r="U29" s="715">
        <f t="shared" si="13"/>
        <v>100</v>
      </c>
      <c r="V29" s="714" t="s">
        <v>17</v>
      </c>
      <c r="W29" s="715">
        <f t="shared" si="14"/>
        <v>100</v>
      </c>
      <c r="X29" s="1539"/>
      <c r="Y29" s="327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76"/>
      <c r="Q30" s="1536">
        <f t="shared" si="11"/>
        <v>111</v>
      </c>
      <c r="R30" s="714" t="s">
        <v>17</v>
      </c>
      <c r="S30" s="715">
        <f t="shared" si="12"/>
        <v>100</v>
      </c>
      <c r="T30" s="714" t="s">
        <v>17</v>
      </c>
      <c r="U30" s="715">
        <f t="shared" si="13"/>
        <v>100</v>
      </c>
      <c r="V30" s="714" t="s">
        <v>17</v>
      </c>
      <c r="W30" s="715">
        <f t="shared" si="14"/>
        <v>100</v>
      </c>
      <c r="X30" s="1539"/>
      <c r="Y30" s="327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76"/>
      <c r="Q31" s="1536">
        <f t="shared" si="11"/>
        <v>111</v>
      </c>
      <c r="R31" s="714" t="s">
        <v>17</v>
      </c>
      <c r="S31" s="715">
        <f t="shared" si="12"/>
        <v>100</v>
      </c>
      <c r="T31" s="714" t="s">
        <v>17</v>
      </c>
      <c r="U31" s="715">
        <f t="shared" si="13"/>
        <v>100</v>
      </c>
      <c r="V31" s="714" t="s">
        <v>17</v>
      </c>
      <c r="W31" s="715">
        <f t="shared" si="14"/>
        <v>100</v>
      </c>
      <c r="X31" s="1539"/>
      <c r="Y31" s="3278"/>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79" t="s">
        <v>2386</v>
      </c>
      <c r="Q32" s="1536" t="str">
        <f t="shared" si="11"/>
        <v>商业类型</v>
      </c>
      <c r="R32" s="714" t="s">
        <v>17</v>
      </c>
      <c r="S32" s="715">
        <f t="shared" si="12"/>
        <v>100</v>
      </c>
      <c r="T32" s="714" t="s">
        <v>17</v>
      </c>
      <c r="U32" s="715">
        <f t="shared" si="13"/>
        <v>100</v>
      </c>
      <c r="V32" s="714" t="s">
        <v>17</v>
      </c>
      <c r="W32" s="715">
        <f t="shared" si="14"/>
        <v>100</v>
      </c>
      <c r="X32" s="1539"/>
      <c r="Y32" s="3282"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0"/>
      <c r="M33" s="2952"/>
      <c r="N33" s="2952"/>
      <c r="O33" s="2952"/>
      <c r="P33" s="3280"/>
      <c r="Q33" s="716" t="str">
        <f t="shared" si="11"/>
        <v>项目建筑规模</v>
      </c>
      <c r="R33" s="717" t="s">
        <v>17</v>
      </c>
      <c r="S33" s="718">
        <f t="shared" si="12"/>
        <v>100</v>
      </c>
      <c r="T33" s="717" t="s">
        <v>17</v>
      </c>
      <c r="U33" s="718">
        <f t="shared" si="13"/>
        <v>100</v>
      </c>
      <c r="V33" s="717" t="s">
        <v>17</v>
      </c>
      <c r="W33" s="718">
        <f t="shared" si="14"/>
        <v>100</v>
      </c>
      <c r="X33" s="719"/>
      <c r="Y33" s="3282"/>
      <c r="Z33" s="720" t="str">
        <f t="shared" si="15"/>
        <v>项目建筑规模</v>
      </c>
      <c r="AA33" s="1537">
        <f t="shared" si="3"/>
        <v>1</v>
      </c>
      <c r="AB33" s="1537">
        <f t="shared" si="4"/>
        <v>1</v>
      </c>
      <c r="AC33" s="1537">
        <f t="shared" si="5"/>
        <v>1</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280"/>
      <c r="Q34" s="1536" t="str">
        <f t="shared" si="11"/>
        <v>建筑结构</v>
      </c>
      <c r="R34" s="714" t="s">
        <v>17</v>
      </c>
      <c r="S34" s="715">
        <f t="shared" si="12"/>
        <v>100</v>
      </c>
      <c r="T34" s="714" t="s">
        <v>17</v>
      </c>
      <c r="U34" s="715">
        <f t="shared" si="13"/>
        <v>100</v>
      </c>
      <c r="V34" s="714" t="s">
        <v>17</v>
      </c>
      <c r="W34" s="715">
        <f t="shared" si="14"/>
        <v>100</v>
      </c>
      <c r="X34" s="1539"/>
      <c r="Y34" s="3282"/>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280"/>
      <c r="Q35" s="1536" t="str">
        <f t="shared" si="11"/>
        <v>公共部分装修</v>
      </c>
      <c r="R35" s="714" t="s">
        <v>17</v>
      </c>
      <c r="S35" s="715">
        <f t="shared" si="12"/>
        <v>100</v>
      </c>
      <c r="T35" s="714" t="s">
        <v>17</v>
      </c>
      <c r="U35" s="715">
        <f t="shared" si="13"/>
        <v>100</v>
      </c>
      <c r="V35" s="714" t="s">
        <v>17</v>
      </c>
      <c r="W35" s="715">
        <f t="shared" si="14"/>
        <v>100</v>
      </c>
      <c r="X35" s="1539"/>
      <c r="Y35" s="3282"/>
      <c r="Z35" s="1540" t="str">
        <f t="shared" si="15"/>
        <v>公共部分装修</v>
      </c>
      <c r="AA35" s="1537">
        <f t="shared" si="3"/>
        <v>1</v>
      </c>
      <c r="AB35" s="1537">
        <f t="shared" si="4"/>
        <v>1</v>
      </c>
      <c r="AC35" s="1537">
        <f t="shared" si="5"/>
        <v>1</v>
      </c>
    </row>
    <row r="36" spans="1:29" ht="15">
      <c r="A36" s="431"/>
      <c r="B36" s="381" t="s">
        <v>2483</v>
      </c>
      <c r="C36" s="433">
        <v>1</v>
      </c>
      <c r="D36" s="394">
        <v>100</v>
      </c>
      <c r="E36" s="433">
        <f>C36</f>
        <v>1</v>
      </c>
      <c r="F36" s="420">
        <f>LOOKUP(E36,110:110,111:111)-LOOKUP(C36,110:110,111:111)+100</f>
        <v>100</v>
      </c>
      <c r="G36" s="433">
        <f>C36</f>
        <v>1</v>
      </c>
      <c r="H36" s="420">
        <f>LOOKUP(G36,110:110,111:111)-LOOKUP(C36,110:110,111:111)+100</f>
        <v>100</v>
      </c>
      <c r="I36" s="433">
        <f>C36</f>
        <v>1</v>
      </c>
      <c r="J36" s="394">
        <f>LOOKUP(I36,110:110,111:111)-LOOKUP(C36,110:110,111:111)+100</f>
        <v>100</v>
      </c>
      <c r="K36" s="569"/>
      <c r="L36" s="2951"/>
      <c r="M36" s="2945"/>
      <c r="N36" s="2945"/>
      <c r="O36" s="2945"/>
      <c r="P36" s="3280"/>
      <c r="Q36" s="1536" t="str">
        <f t="shared" si="11"/>
        <v>成新度</v>
      </c>
      <c r="R36" s="714" t="s">
        <v>17</v>
      </c>
      <c r="S36" s="715">
        <f t="shared" si="12"/>
        <v>100</v>
      </c>
      <c r="T36" s="714" t="s">
        <v>17</v>
      </c>
      <c r="U36" s="715">
        <f t="shared" si="13"/>
        <v>100</v>
      </c>
      <c r="V36" s="714" t="s">
        <v>17</v>
      </c>
      <c r="W36" s="715">
        <f t="shared" si="14"/>
        <v>100</v>
      </c>
      <c r="X36" s="1539"/>
      <c r="Y36" s="3282"/>
      <c r="Z36" s="1540" t="str">
        <f t="shared" si="15"/>
        <v>成新度</v>
      </c>
      <c r="AA36" s="1537">
        <f t="shared" si="3"/>
        <v>1</v>
      </c>
      <c r="AB36" s="1537">
        <f t="shared" si="4"/>
        <v>1</v>
      </c>
      <c r="AC36" s="1537">
        <f t="shared" si="5"/>
        <v>1</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280"/>
      <c r="Q37" s="1527" t="str">
        <f t="shared" si="11"/>
        <v>市政基础设施</v>
      </c>
      <c r="R37" s="710" t="s">
        <v>17</v>
      </c>
      <c r="S37" s="711">
        <f t="shared" si="12"/>
        <v>100</v>
      </c>
      <c r="T37" s="710" t="s">
        <v>17</v>
      </c>
      <c r="U37" s="711">
        <f t="shared" si="13"/>
        <v>100</v>
      </c>
      <c r="V37" s="710" t="s">
        <v>17</v>
      </c>
      <c r="W37" s="711">
        <f t="shared" si="14"/>
        <v>100</v>
      </c>
      <c r="X37" s="712"/>
      <c r="Y37" s="3282"/>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280" t="s">
        <v>2386</v>
      </c>
      <c r="Q38" s="1536" t="str">
        <f t="shared" si="11"/>
        <v>业态</v>
      </c>
      <c r="R38" s="714" t="s">
        <v>17</v>
      </c>
      <c r="S38" s="715">
        <f t="shared" si="12"/>
        <v>100</v>
      </c>
      <c r="T38" s="714" t="s">
        <v>17</v>
      </c>
      <c r="U38" s="715">
        <f t="shared" si="13"/>
        <v>100</v>
      </c>
      <c r="V38" s="714" t="s">
        <v>17</v>
      </c>
      <c r="W38" s="715">
        <f t="shared" si="14"/>
        <v>100</v>
      </c>
      <c r="X38" s="1539"/>
      <c r="Y38" s="3282"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280"/>
      <c r="Q39" s="1536" t="str">
        <f t="shared" si="11"/>
        <v>层高</v>
      </c>
      <c r="R39" s="714" t="s">
        <v>17</v>
      </c>
      <c r="S39" s="715">
        <f t="shared" si="12"/>
        <v>100</v>
      </c>
      <c r="T39" s="714" t="s">
        <v>17</v>
      </c>
      <c r="U39" s="715">
        <f t="shared" si="13"/>
        <v>100</v>
      </c>
      <c r="V39" s="714" t="s">
        <v>17</v>
      </c>
      <c r="W39" s="715">
        <f t="shared" si="14"/>
        <v>100</v>
      </c>
      <c r="X39" s="1539"/>
      <c r="Y39" s="3282"/>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80"/>
      <c r="Q40" s="1536" t="str">
        <f t="shared" si="11"/>
        <v>单套建筑面积</v>
      </c>
      <c r="R40" s="714" t="s">
        <v>17</v>
      </c>
      <c r="S40" s="715">
        <f t="shared" si="12"/>
        <v>100</v>
      </c>
      <c r="T40" s="714" t="s">
        <v>17</v>
      </c>
      <c r="U40" s="715">
        <f t="shared" si="13"/>
        <v>100</v>
      </c>
      <c r="V40" s="714" t="s">
        <v>17</v>
      </c>
      <c r="W40" s="715">
        <f t="shared" si="14"/>
        <v>100</v>
      </c>
      <c r="X40" s="1539"/>
      <c r="Y40" s="3282"/>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80"/>
      <c r="Q41" s="716" t="str">
        <f t="shared" si="11"/>
        <v>进深比</v>
      </c>
      <c r="R41" s="717" t="s">
        <v>17</v>
      </c>
      <c r="S41" s="718">
        <f t="shared" si="12"/>
        <v>100</v>
      </c>
      <c r="T41" s="717" t="s">
        <v>17</v>
      </c>
      <c r="U41" s="718">
        <f t="shared" si="13"/>
        <v>100</v>
      </c>
      <c r="V41" s="717" t="s">
        <v>17</v>
      </c>
      <c r="W41" s="718">
        <f t="shared" si="14"/>
        <v>100</v>
      </c>
      <c r="X41" s="719"/>
      <c r="Y41" s="3282"/>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280"/>
      <c r="Q42" s="1536" t="str">
        <f t="shared" si="11"/>
        <v>内部装修</v>
      </c>
      <c r="R42" s="714" t="s">
        <v>17</v>
      </c>
      <c r="S42" s="715">
        <f t="shared" si="12"/>
        <v>100</v>
      </c>
      <c r="T42" s="714" t="s">
        <v>17</v>
      </c>
      <c r="U42" s="715">
        <f t="shared" si="13"/>
        <v>100</v>
      </c>
      <c r="V42" s="714" t="s">
        <v>17</v>
      </c>
      <c r="W42" s="715">
        <f t="shared" si="14"/>
        <v>100</v>
      </c>
      <c r="X42" s="1539"/>
      <c r="Y42" s="3282"/>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280"/>
      <c r="Q43" s="1536" t="str">
        <f t="shared" si="11"/>
        <v>内部装修维护情况</v>
      </c>
      <c r="R43" s="714" t="s">
        <v>17</v>
      </c>
      <c r="S43" s="715">
        <f t="shared" si="12"/>
        <v>100</v>
      </c>
      <c r="T43" s="714" t="s">
        <v>17</v>
      </c>
      <c r="U43" s="715">
        <f t="shared" si="13"/>
        <v>100</v>
      </c>
      <c r="V43" s="714" t="s">
        <v>17</v>
      </c>
      <c r="W43" s="715">
        <f t="shared" si="14"/>
        <v>100</v>
      </c>
      <c r="X43" s="1539"/>
      <c r="Y43" s="3282"/>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80"/>
      <c r="Q44" s="1527">
        <f t="shared" si="11"/>
        <v>111</v>
      </c>
      <c r="R44" s="710" t="s">
        <v>17</v>
      </c>
      <c r="S44" s="711">
        <f t="shared" si="12"/>
        <v>100</v>
      </c>
      <c r="T44" s="710" t="s">
        <v>17</v>
      </c>
      <c r="U44" s="711">
        <f t="shared" si="13"/>
        <v>100</v>
      </c>
      <c r="V44" s="710" t="s">
        <v>17</v>
      </c>
      <c r="W44" s="711">
        <f t="shared" si="14"/>
        <v>100</v>
      </c>
      <c r="X44" s="712"/>
      <c r="Y44" s="328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80"/>
      <c r="Q45" s="1536">
        <f t="shared" si="11"/>
        <v>111</v>
      </c>
      <c r="R45" s="714" t="s">
        <v>17</v>
      </c>
      <c r="S45" s="715">
        <f t="shared" si="12"/>
        <v>100</v>
      </c>
      <c r="T45" s="714" t="s">
        <v>17</v>
      </c>
      <c r="U45" s="715">
        <f t="shared" si="13"/>
        <v>100</v>
      </c>
      <c r="V45" s="714" t="s">
        <v>17</v>
      </c>
      <c r="W45" s="715">
        <f t="shared" si="14"/>
        <v>100</v>
      </c>
      <c r="X45" s="1539"/>
      <c r="Y45" s="328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81"/>
      <c r="Q46" s="1536">
        <f t="shared" si="11"/>
        <v>111</v>
      </c>
      <c r="R46" s="714" t="s">
        <v>17</v>
      </c>
      <c r="S46" s="715">
        <f t="shared" si="12"/>
        <v>100</v>
      </c>
      <c r="T46" s="714" t="s">
        <v>17</v>
      </c>
      <c r="U46" s="715">
        <f t="shared" si="13"/>
        <v>100</v>
      </c>
      <c r="V46" s="714" t="s">
        <v>17</v>
      </c>
      <c r="W46" s="715">
        <f t="shared" si="14"/>
        <v>100</v>
      </c>
      <c r="X46" s="1539"/>
      <c r="Y46" s="3283"/>
      <c r="Z46" s="1540">
        <f t="shared" si="15"/>
        <v>111</v>
      </c>
      <c r="AA46" s="1537">
        <f t="shared" si="3"/>
        <v>1</v>
      </c>
      <c r="AB46" s="1537">
        <f t="shared" si="4"/>
        <v>1</v>
      </c>
      <c r="AC46" s="1537">
        <f t="shared" si="5"/>
        <v>1</v>
      </c>
    </row>
    <row r="47" spans="1:29" ht="15">
      <c r="A47" s="438" t="s">
        <v>2398</v>
      </c>
      <c r="B47" s="439"/>
      <c r="C47" s="1316" t="s">
        <v>1</v>
      </c>
      <c r="D47" s="1317"/>
      <c r="E47" s="1318">
        <v>160000</v>
      </c>
      <c r="F47" s="1319"/>
      <c r="G47" s="1320">
        <v>160000</v>
      </c>
      <c r="H47" s="1321"/>
      <c r="I47" s="1318">
        <v>160000</v>
      </c>
      <c r="J47" s="1321"/>
      <c r="K47" s="723"/>
      <c r="L47" s="2953"/>
      <c r="M47" s="2954"/>
      <c r="N47" s="2945"/>
      <c r="O47" s="2954"/>
      <c r="P47" s="3270" t="str">
        <f>A47</f>
        <v>成交单价（元/平方米）</v>
      </c>
      <c r="Q47" s="3270"/>
      <c r="R47" s="3284">
        <f>E47</f>
        <v>160000</v>
      </c>
      <c r="S47" s="3284"/>
      <c r="T47" s="3284">
        <f>G47</f>
        <v>160000</v>
      </c>
      <c r="U47" s="3284"/>
      <c r="V47" s="3284">
        <f>I47</f>
        <v>160000</v>
      </c>
      <c r="W47" s="3284"/>
      <c r="X47" s="699"/>
      <c r="Y47" s="721"/>
      <c r="Z47" s="699"/>
      <c r="AA47" s="699"/>
      <c r="AB47" s="699"/>
      <c r="AC47" s="699"/>
    </row>
    <row r="48" spans="1:29" ht="15.75" thickBot="1">
      <c r="A48" s="445" t="s">
        <v>2490</v>
      </c>
      <c r="B48" s="446"/>
      <c r="C48" s="1322">
        <f>R49</f>
        <v>160000</v>
      </c>
      <c r="D48" s="2538" t="s">
        <v>2880</v>
      </c>
      <c r="E48" s="1323">
        <f>R48</f>
        <v>160000</v>
      </c>
      <c r="F48" s="2539"/>
      <c r="G48" s="1322">
        <f>T48</f>
        <v>160000</v>
      </c>
      <c r="H48" s="2539"/>
      <c r="I48" s="1323">
        <f>V48</f>
        <v>160000</v>
      </c>
      <c r="J48" s="2539"/>
      <c r="K48" s="2541">
        <f>F48+H48+J48</f>
        <v>0</v>
      </c>
      <c r="L48" s="2953"/>
      <c r="M48" s="2954"/>
      <c r="N48" s="2945"/>
      <c r="O48" s="2954"/>
      <c r="P48" s="3270" t="str">
        <f>A48</f>
        <v>比较价值（元/平方米）</v>
      </c>
      <c r="Q48" s="3270"/>
      <c r="R48" s="3271">
        <f>IF(F1="售价",ROUND(PRODUCT(R47,AA7:AA46),0),ROUND(PRODUCT(R47,AA7:AA46),1))</f>
        <v>160000</v>
      </c>
      <c r="S48" s="3271"/>
      <c r="T48" s="3271">
        <f>IF(F1="售价",ROUND(PRODUCT(T47,AB7:AB46),0),ROUND(PRODUCT(T47,AB7:AB46),1))</f>
        <v>160000</v>
      </c>
      <c r="U48" s="3271"/>
      <c r="V48" s="3271">
        <f>IF(F1="售价",ROUND(PRODUCT(V47,AC7:AC46),0),ROUND(PRODUCT(V47,AC7:AC46),1))</f>
        <v>160000</v>
      </c>
      <c r="W48" s="3271"/>
      <c r="X48" s="699"/>
      <c r="Y48" s="699"/>
      <c r="Z48" s="699"/>
      <c r="AA48" s="699"/>
      <c r="AB48" s="699"/>
      <c r="AC48" s="699"/>
    </row>
    <row r="49" spans="1:29" ht="15.75" thickBot="1">
      <c r="A49" s="449" t="s">
        <v>2491</v>
      </c>
      <c r="B49" s="450"/>
      <c r="C49" s="1325">
        <f>R49</f>
        <v>160000</v>
      </c>
      <c r="D49" s="1325"/>
      <c r="E49" s="1325"/>
      <c r="F49" s="1325"/>
      <c r="G49" s="1325"/>
      <c r="H49" s="1325"/>
      <c r="I49" s="1325"/>
      <c r="J49" s="1325"/>
      <c r="K49" s="724"/>
      <c r="L49" s="2953"/>
      <c r="M49" s="2954"/>
      <c r="N49" s="2945"/>
      <c r="O49" s="2954"/>
      <c r="P49" s="3272" t="str">
        <f>A49</f>
        <v>估价对象XX用房的比较价值（楼面单价，元/平方米）</v>
      </c>
      <c r="Q49" s="3273"/>
      <c r="R49" s="3274">
        <f>IF(F1="售价",ROUND(IF(D48="简单平均",AVERAGE(R48:V48),R48*F48+T48*H48+V48*J48),0),ROUND(IF(D48="简单平均",AVERAGE(R48:V48),R48*F48+T48*H48+V48*J48),1))</f>
        <v>160000</v>
      </c>
      <c r="S49" s="3274"/>
      <c r="T49" s="3274"/>
      <c r="U49" s="3274"/>
      <c r="V49" s="3274"/>
      <c r="W49" s="327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2021-10</v>
      </c>
      <c r="D58" s="1347">
        <f>EDATE(C58,-1)</f>
        <v>44440</v>
      </c>
      <c r="E58" s="1347">
        <f t="shared" ref="E58:N58" si="16">EDATE(D58,-1)</f>
        <v>44409</v>
      </c>
      <c r="F58" s="1347">
        <f t="shared" si="16"/>
        <v>44378</v>
      </c>
      <c r="G58" s="1347">
        <f t="shared" si="16"/>
        <v>44348</v>
      </c>
      <c r="H58" s="1347">
        <f t="shared" si="16"/>
        <v>44317</v>
      </c>
      <c r="I58" s="1347">
        <f t="shared" si="16"/>
        <v>44287</v>
      </c>
      <c r="J58" s="1347">
        <f t="shared" si="16"/>
        <v>44256</v>
      </c>
      <c r="K58" s="1347">
        <f t="shared" si="16"/>
        <v>44228</v>
      </c>
      <c r="L58" s="1347">
        <f t="shared" si="16"/>
        <v>44197</v>
      </c>
      <c r="M58" s="1347">
        <f t="shared" si="16"/>
        <v>44166</v>
      </c>
      <c r="N58" s="1347">
        <f t="shared" si="16"/>
        <v>44136</v>
      </c>
      <c r="O58" s="1347">
        <f>EDATE(N58,-1)</f>
        <v>44105</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v>0</v>
      </c>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9" sqref="C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3246</v>
      </c>
      <c r="D1" s="1546" t="s">
        <v>70</v>
      </c>
      <c r="E1" s="1547" t="s">
        <v>1352</v>
      </c>
      <c r="F1" s="1193">
        <f ca="1">J53</f>
        <v>25.05</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2496</v>
      </c>
      <c r="C2" s="1571" t="s">
        <v>1481</v>
      </c>
      <c r="D2" s="1571"/>
      <c r="E2" s="1572"/>
      <c r="F2" s="1573"/>
      <c r="G2" s="2935"/>
      <c r="H2" s="2924"/>
      <c r="I2" s="2924"/>
      <c r="J2" s="2924"/>
      <c r="K2" s="2925"/>
      <c r="L2" s="2924"/>
      <c r="M2" s="2924"/>
    </row>
    <row r="3" spans="1:37" ht="18" customHeight="1" thickBot="1">
      <c r="A3" s="1574" t="s">
        <v>1482</v>
      </c>
      <c r="B3" s="1575">
        <f ca="1">IF(ISERROR(B2*10000/F43),0,ROUND(B2*10000/F43,0))</f>
        <v>71560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183</v>
      </c>
      <c r="D5" s="1548" t="s">
        <v>1367</v>
      </c>
      <c r="E5" s="1203"/>
      <c r="F5" s="1204"/>
      <c r="G5" s="1568"/>
      <c r="H5" s="305">
        <v>1</v>
      </c>
      <c r="I5" s="306" t="s">
        <v>1366</v>
      </c>
      <c r="J5" s="1202">
        <f ca="1">J6+J10+J12</f>
        <v>0</v>
      </c>
      <c r="K5" s="1548" t="s">
        <v>1367</v>
      </c>
      <c r="L5" s="1203"/>
      <c r="M5" s="1204"/>
    </row>
    <row r="6" spans="1:37" ht="18" customHeight="1">
      <c r="A6" s="1201" t="s">
        <v>1003</v>
      </c>
      <c r="B6" s="3318" t="s">
        <v>1368</v>
      </c>
      <c r="C6" s="1206">
        <f ca="1">ROUND(F6*F8*F7*(1-F9)/10000,0)</f>
        <v>183</v>
      </c>
      <c r="D6" s="160" t="s">
        <v>2850</v>
      </c>
      <c r="E6" s="308" t="s">
        <v>1370</v>
      </c>
      <c r="F6" s="309">
        <f ca="1">INDIRECT("'数据-取费表'!u"&amp;$G$1)</f>
        <v>16</v>
      </c>
      <c r="G6" s="1568"/>
      <c r="H6" s="1201" t="s">
        <v>1003</v>
      </c>
      <c r="I6" s="3318" t="s">
        <v>1368</v>
      </c>
      <c r="J6" s="307">
        <f ca="1">ROUND(M6*M8*M7*(1-M9)/10000,0)</f>
        <v>0</v>
      </c>
      <c r="K6" s="160" t="s">
        <v>2849</v>
      </c>
      <c r="L6" s="308" t="s">
        <v>1370</v>
      </c>
      <c r="M6" s="309">
        <f ca="1">INDIRECT("'数据-取费表'!z"&amp;$G$1)</f>
        <v>0</v>
      </c>
    </row>
    <row r="7" spans="1:37" ht="18" customHeight="1">
      <c r="A7" s="1205"/>
      <c r="B7" s="3319"/>
      <c r="C7" s="1207"/>
      <c r="D7" s="313"/>
      <c r="E7" s="1208" t="s">
        <v>1371</v>
      </c>
      <c r="F7" s="309">
        <f ca="1">IF(INDIRECT("'数据-取费表'!ah"&amp;$G$1)="",INDIRECT("'数据-取费表'!k"&amp;$G$1),INDIRECT("'数据-取费表'!ah"&amp;$G$1))</f>
        <v>348.8</v>
      </c>
      <c r="G7" s="1568"/>
      <c r="H7" s="310"/>
      <c r="I7" s="3319"/>
      <c r="J7" s="312"/>
      <c r="K7" s="313"/>
      <c r="L7" s="308" t="s">
        <v>1371</v>
      </c>
      <c r="M7" s="309">
        <f ca="1">F7</f>
        <v>348.8</v>
      </c>
    </row>
    <row r="8" spans="1:37" ht="18" customHeight="1">
      <c r="A8" s="310"/>
      <c r="B8" s="3319"/>
      <c r="C8" s="312"/>
      <c r="D8" s="313"/>
      <c r="E8" s="308" t="s">
        <v>1372</v>
      </c>
      <c r="F8" s="309">
        <f ca="1">INDIRECT("'数据-取费表'!ai"&amp;$G$1)</f>
        <v>365</v>
      </c>
      <c r="G8" s="1568"/>
      <c r="H8" s="310"/>
      <c r="I8" s="3319"/>
      <c r="J8" s="312"/>
      <c r="K8" s="313"/>
      <c r="L8" s="308" t="s">
        <v>1372</v>
      </c>
      <c r="M8" s="309">
        <f ca="1">INDIRECT("'数据-取费表'!ai"&amp;$G$1)</f>
        <v>365</v>
      </c>
    </row>
    <row r="9" spans="1:37" ht="18" customHeight="1">
      <c r="A9" s="310"/>
      <c r="B9" s="3320"/>
      <c r="C9" s="312"/>
      <c r="D9" s="313"/>
      <c r="E9" s="308" t="s">
        <v>1373</v>
      </c>
      <c r="F9" s="318">
        <f ca="1">INDIRECT("'数据-取费表'!w"&amp;$G$1)</f>
        <v>0.1</v>
      </c>
      <c r="G9" s="1568"/>
      <c r="H9" s="310"/>
      <c r="I9" s="332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t="s">
        <v>3249</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225</v>
      </c>
      <c r="D13" s="1241" t="s">
        <v>1380</v>
      </c>
      <c r="E13" s="1241" t="s">
        <v>1381</v>
      </c>
      <c r="F13" s="1242">
        <f ca="1">INDIRECT("'数据-取费表'!y"&amp;$G$1)</f>
        <v>0.82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174</v>
      </c>
      <c r="D14" s="1529" t="s">
        <v>1383</v>
      </c>
      <c r="E14" s="1526"/>
      <c r="F14" s="325"/>
      <c r="G14" s="1568"/>
      <c r="H14" s="1113" t="s">
        <v>1003</v>
      </c>
      <c r="I14" s="308" t="s">
        <v>1384</v>
      </c>
      <c r="J14" s="24">
        <f ca="1">C29</f>
        <v>274</v>
      </c>
      <c r="K14" s="15"/>
      <c r="L14" s="916"/>
      <c r="M14" s="917"/>
    </row>
    <row r="15" spans="1:37" s="1581" customFormat="1" ht="18" customHeight="1" thickBot="1">
      <c r="A15" s="1113" t="s">
        <v>1004</v>
      </c>
      <c r="B15" s="308" t="s">
        <v>1385</v>
      </c>
      <c r="C15" s="24">
        <f ca="1">ROUND(C14*F15,0)</f>
        <v>7</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6</v>
      </c>
      <c r="K16" s="1247" t="s">
        <v>1390</v>
      </c>
      <c r="L16" s="1248"/>
      <c r="M16" s="1204"/>
    </row>
    <row r="17" spans="1:37" s="1581" customFormat="1" ht="18" customHeight="1">
      <c r="A17" s="1113" t="s">
        <v>1355</v>
      </c>
      <c r="B17" s="308" t="s">
        <v>1391</v>
      </c>
      <c r="C17" s="24">
        <f ca="1">ROUND(F17*(F43+INDIRECT("'数据-取费表'!S"&amp;$G$1))/10000,0)</f>
        <v>7</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191</v>
      </c>
      <c r="D19" s="136" t="s">
        <v>1401</v>
      </c>
      <c r="E19" s="1544"/>
      <c r="F19" s="26"/>
      <c r="G19" s="1568"/>
      <c r="H19" s="1113" t="s">
        <v>1004</v>
      </c>
      <c r="I19" s="308" t="s">
        <v>1402</v>
      </c>
      <c r="J19" s="24">
        <f ca="1">IF(K19="按租金收入计税",ROUND(J6*M19/(1+'数据-取费表'!C42),2),ROUND(C29*M19*0.7,2))</f>
        <v>2.2999999999999998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v>
      </c>
      <c r="D20" s="329" t="s">
        <v>1405</v>
      </c>
      <c r="E20" s="308" t="s">
        <v>1387</v>
      </c>
      <c r="F20" s="328">
        <f>'数据-取费表'!B37</f>
        <v>0.02</v>
      </c>
      <c r="G20" s="1580"/>
      <c r="H20" s="1113" t="s">
        <v>1354</v>
      </c>
      <c r="I20" s="160" t="s">
        <v>1406</v>
      </c>
      <c r="J20" s="25">
        <f ca="1">ROUND(M20*M21/10000,2)</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4.0999999999999996</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8</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-6</v>
      </c>
      <c r="K25" s="1255" t="s">
        <v>1429</v>
      </c>
      <c r="L25" s="1256"/>
      <c r="M25" s="1257"/>
    </row>
    <row r="26" spans="1:37">
      <c r="A26" s="1113" t="s">
        <v>1002</v>
      </c>
      <c r="B26" s="308" t="s">
        <v>1430</v>
      </c>
      <c r="C26" s="24">
        <f ca="1">ROUND((C19+C20)*F26,0)</f>
        <v>49</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274</v>
      </c>
      <c r="D29" s="1252"/>
      <c r="E29" s="1250"/>
      <c r="F29" s="1253"/>
      <c r="G29" s="1580"/>
      <c r="H29" s="340" t="s">
        <v>1001</v>
      </c>
      <c r="I29" s="341" t="s">
        <v>1444</v>
      </c>
      <c r="J29" s="342">
        <f ca="1">ROUND(J26/(1+F40)^F41,0)</f>
        <v>0</v>
      </c>
      <c r="K29" s="343" t="s">
        <v>1445</v>
      </c>
      <c r="L29" s="344"/>
      <c r="M29" s="345">
        <f ca="1">INDIRECT("'数据-取费表'!k"&amp;$G$1)</f>
        <v>348.8</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37</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31</v>
      </c>
      <c r="D31" s="1529" t="s">
        <v>1395</v>
      </c>
      <c r="E31" s="1528" t="s">
        <v>1446</v>
      </c>
      <c r="F31" s="2533">
        <f ca="1">IF(项目基本情况!B11="企业","——",IF('数据-取费表'!B10="住宅",IF(F6*F7*F8/12/(1+'数据-取费表'!F30)&gt;100000,4%,2.5%),IF(F6*F7*F8/12/(1+'数据-取费表'!F30)&gt;100000,12%,7%)))</f>
        <v>0.12</v>
      </c>
      <c r="G31" s="1568"/>
      <c r="H31" s="3039" t="s">
        <v>3057</v>
      </c>
      <c r="I31" s="1582"/>
      <c r="J31" s="1583"/>
      <c r="K31" s="2701"/>
      <c r="L31" s="2927"/>
      <c r="M31" s="2928"/>
    </row>
    <row r="32" spans="1:37" ht="18" customHeight="1">
      <c r="A32" s="1113" t="s">
        <v>1002</v>
      </c>
      <c r="B32" s="308" t="s">
        <v>1398</v>
      </c>
      <c r="C32" s="24">
        <f ca="1">IF(项目基本情况!B11="自然人","——",ROUND(C6*F32/(1+'数据-取费表'!C42),2))</f>
        <v>9.76</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20.91</v>
      </c>
      <c r="D33" s="1554" t="s">
        <v>3243</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4.0999999999999996</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0.3</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1.8</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146</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2496</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25.05</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71560</v>
      </c>
      <c r="D43" s="343" t="s">
        <v>1453</v>
      </c>
      <c r="E43" s="344" t="s">
        <v>1454</v>
      </c>
      <c r="F43" s="345">
        <f ca="1">INDIRECT("'数据-取费表'!k"&amp;$G$1)</f>
        <v>348.8</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-2841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3244</v>
      </c>
      <c r="K47" s="1600" t="s">
        <v>1492</v>
      </c>
      <c r="L47" s="1601">
        <f ca="1">INDIRECT("'数据-取费表'!d"&amp;$G$1)</f>
        <v>40</v>
      </c>
      <c r="M47" s="1564" t="str">
        <f>IF(ISNUMBER(FIND("住宅",C1)),"住宅","非住宅")</f>
        <v>非住宅</v>
      </c>
      <c r="O47" s="1602" t="s">
        <v>1008</v>
      </c>
      <c r="P47" s="1603" t="s">
        <v>1493</v>
      </c>
      <c r="Q47" s="1604">
        <f ca="1">C40+J29</f>
        <v>2496</v>
      </c>
      <c r="R47" s="1604" t="s">
        <v>1494</v>
      </c>
    </row>
    <row r="48" spans="1:18" s="1568" customFormat="1" ht="28.5" thickBot="1">
      <c r="A48" s="1270" t="s">
        <v>1103</v>
      </c>
      <c r="B48" s="306" t="s">
        <v>1366</v>
      </c>
      <c r="C48" s="1543">
        <f ca="1">C49+C53+C55</f>
        <v>0</v>
      </c>
      <c r="D48" s="1272"/>
      <c r="E48" s="1273"/>
      <c r="F48" s="1093"/>
      <c r="G48" s="731"/>
      <c r="H48" s="732"/>
      <c r="I48" s="1605" t="s">
        <v>1495</v>
      </c>
      <c r="J48" s="1606" t="s">
        <v>3245</v>
      </c>
      <c r="K48" s="1607" t="s">
        <v>1496</v>
      </c>
      <c r="L48" s="1608">
        <f ca="1">INDIRECT("'数据-取费表'!f"&amp;$G$1)</f>
        <v>25.05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2010</v>
      </c>
      <c r="K49" s="1607" t="s">
        <v>1500</v>
      </c>
      <c r="L49" s="1611"/>
      <c r="O49" s="1612" t="s">
        <v>1010</v>
      </c>
      <c r="P49" s="1603" t="s">
        <v>1501</v>
      </c>
      <c r="Q49" s="1604">
        <f ca="1">C29</f>
        <v>274</v>
      </c>
      <c r="R49" s="1604" t="s">
        <v>1494</v>
      </c>
    </row>
    <row r="50" spans="1:18" s="1568" customFormat="1" ht="13.5" thickBot="1">
      <c r="A50" s="1107"/>
      <c r="B50" s="1110"/>
      <c r="C50" s="1278"/>
      <c r="D50" s="1084"/>
      <c r="E50" s="1187" t="s">
        <v>1371</v>
      </c>
      <c r="F50" s="1188">
        <f ca="1">F7</f>
        <v>348.8</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49</v>
      </c>
      <c r="K51" s="1618" t="s">
        <v>1506</v>
      </c>
      <c r="L51" s="1619">
        <f ca="1">ROUND(-PV(INDIRECT("'数据-取费表'!h"&amp;$G$1),J51,(C39-C13*C76),0),0)</f>
        <v>2139</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25.05</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25.05</v>
      </c>
      <c r="K53" s="3316" t="s">
        <v>1513</v>
      </c>
      <c r="L53" s="3317"/>
      <c r="O53" s="1602" t="s">
        <v>1014</v>
      </c>
      <c r="P53" s="1603" t="s">
        <v>1514</v>
      </c>
      <c r="Q53" s="1604">
        <f ca="1">Q47+Q48</f>
        <v>2496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225</v>
      </c>
      <c r="D56" s="1631"/>
      <c r="E56" s="1632"/>
      <c r="F56" s="1624"/>
      <c r="I56" s="1633" t="s">
        <v>1519</v>
      </c>
      <c r="J56" s="1634" t="s">
        <v>3239</v>
      </c>
      <c r="K56" s="1605" t="s">
        <v>1520</v>
      </c>
      <c r="L56" s="1608" t="str">
        <f ca="1">IF(L48&lt;J51,"——",L48-J53)</f>
        <v>——</v>
      </c>
      <c r="O56" s="1602" t="s">
        <v>1008</v>
      </c>
      <c r="P56" s="1603" t="s">
        <v>1493</v>
      </c>
      <c r="Q56" s="1604">
        <f ca="1">C40+J29</f>
        <v>2496</v>
      </c>
      <c r="R56" s="1604" t="s">
        <v>1494</v>
      </c>
    </row>
    <row r="57" spans="1:18" s="1568" customFormat="1" ht="24.75" thickBot="1">
      <c r="A57" s="1635"/>
      <c r="B57" s="1081" t="s">
        <v>1443</v>
      </c>
      <c r="C57" s="244">
        <f ca="1">C29</f>
        <v>274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27</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23</v>
      </c>
      <c r="D59" s="1094" t="s">
        <v>1395</v>
      </c>
      <c r="E59" s="1095" t="s">
        <v>1396</v>
      </c>
      <c r="F59" s="2533">
        <f ca="1">IF(项目基本情况!B11="企业","——",IF('数据-取费表'!B10="住宅",IF(F49*F50*F51/12/(1+'数据-取费表'!F30)&gt;100000,4%,2.5%),IF(F49*F50*F51/12/(1+'数据-取费表'!F30)&gt;100000,12%,7%)))</f>
        <v>7.0000000000000007E-2</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23.02</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12</v>
      </c>
      <c r="I62" s="1646" t="s">
        <v>1535</v>
      </c>
      <c r="J62" s="1647" t="s">
        <v>1536</v>
      </c>
      <c r="K62" s="1647" t="s">
        <v>1537</v>
      </c>
      <c r="L62" s="1647" t="s">
        <v>1538</v>
      </c>
      <c r="M62" s="1648" t="s">
        <v>1539</v>
      </c>
      <c r="O62" s="1602" t="s">
        <v>1014</v>
      </c>
      <c r="P62" s="1603" t="s">
        <v>1540</v>
      </c>
      <c r="Q62" s="1604">
        <f ca="1">Q56+Q57</f>
        <v>2496</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4.0999999999999996</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0.3</v>
      </c>
      <c r="D65" s="1095" t="s">
        <v>1419</v>
      </c>
      <c r="E65" s="1081" t="s">
        <v>1420</v>
      </c>
      <c r="F65" s="336">
        <f t="shared" ca="1" si="0"/>
        <v>1.5E-3</v>
      </c>
      <c r="I65" s="1646" t="s">
        <v>1544</v>
      </c>
      <c r="J65" s="1647">
        <v>40</v>
      </c>
      <c r="K65" s="1647">
        <v>30</v>
      </c>
      <c r="L65" s="1647">
        <v>50</v>
      </c>
      <c r="M65" s="1649">
        <v>0.02</v>
      </c>
      <c r="O65" s="1602" t="s">
        <v>1008</v>
      </c>
      <c r="P65" s="1603" t="s">
        <v>1545</v>
      </c>
      <c r="Q65" s="1604">
        <f ca="1">C40+J29</f>
        <v>2496</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-27</v>
      </c>
      <c r="D67" s="1094" t="s">
        <v>1429</v>
      </c>
      <c r="E67" s="1099"/>
      <c r="F67" s="1100"/>
      <c r="O67" s="1612" t="s">
        <v>1010</v>
      </c>
      <c r="P67" s="1603" t="s">
        <v>1527</v>
      </c>
      <c r="Q67" s="1650">
        <f ca="1">L51</f>
        <v>2139</v>
      </c>
      <c r="R67" s="1604" t="s">
        <v>1547</v>
      </c>
    </row>
    <row r="68" spans="1:18" s="1568" customFormat="1" ht="16.5" thickBot="1">
      <c r="A68" s="1078" t="s">
        <v>1000</v>
      </c>
      <c r="B68" s="1079" t="s">
        <v>1450</v>
      </c>
      <c r="C68" s="307">
        <f ca="1">ROUND(C67*(1-((1+F70)/(1+F68))^F69)/(F68-F70),0)</f>
        <v>-345</v>
      </c>
      <c r="D68" s="1096" t="s">
        <v>1434</v>
      </c>
      <c r="E68" s="1081" t="s">
        <v>1435</v>
      </c>
      <c r="F68" s="318">
        <f ca="1">F40</f>
        <v>0.06</v>
      </c>
      <c r="O68" s="1612" t="s">
        <v>1011</v>
      </c>
      <c r="P68" s="1651" t="s">
        <v>1548</v>
      </c>
      <c r="Q68" s="1604">
        <f ca="1">ROUND(Q69-Q70*Q71,0)</f>
        <v>127</v>
      </c>
      <c r="R68" s="1604" t="s">
        <v>1019</v>
      </c>
    </row>
    <row r="69" spans="1:18" s="1568" customFormat="1" ht="13.5" thickBot="1">
      <c r="A69" s="1082"/>
      <c r="B69" s="1083"/>
      <c r="C69" s="312"/>
      <c r="D69" s="1101" t="s">
        <v>1438</v>
      </c>
      <c r="E69" s="1081" t="s">
        <v>1439</v>
      </c>
      <c r="F69" s="339">
        <f ca="1">F41</f>
        <v>25.05</v>
      </c>
      <c r="O69" s="1612" t="s">
        <v>1016</v>
      </c>
      <c r="P69" s="1651" t="s">
        <v>1549</v>
      </c>
      <c r="Q69" s="1604">
        <f ca="1">C39</f>
        <v>146</v>
      </c>
      <c r="R69" s="1604" t="s">
        <v>1494</v>
      </c>
    </row>
    <row r="70" spans="1:18" s="1568" customFormat="1" ht="13.5" thickBot="1">
      <c r="A70" s="1085"/>
      <c r="B70" s="1086"/>
      <c r="C70" s="316"/>
      <c r="D70" s="1097"/>
      <c r="E70" s="1081" t="s">
        <v>1442</v>
      </c>
      <c r="F70" s="1185"/>
      <c r="O70" s="1612" t="s">
        <v>1017</v>
      </c>
      <c r="P70" s="1651" t="s">
        <v>1550</v>
      </c>
      <c r="Q70" s="1604">
        <f ca="1">C13</f>
        <v>225</v>
      </c>
      <c r="R70" s="1604" t="s">
        <v>1494</v>
      </c>
    </row>
    <row r="71" spans="1:18" s="1568" customFormat="1" ht="13.5" thickBot="1">
      <c r="A71" s="1102" t="s">
        <v>1001</v>
      </c>
      <c r="B71" s="1103" t="s">
        <v>1452</v>
      </c>
      <c r="C71" s="342">
        <f ca="1">ROUND(C68*10000/F71,0)</f>
        <v>-9891</v>
      </c>
      <c r="D71" s="1104" t="s">
        <v>1453</v>
      </c>
      <c r="E71" s="1105" t="s">
        <v>1454</v>
      </c>
      <c r="F71" s="345">
        <f ca="1">F43</f>
        <v>348.8</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19</v>
      </c>
      <c r="D75" s="1568"/>
      <c r="E75" s="1568"/>
      <c r="F75" s="1568"/>
      <c r="K75" s="1586"/>
      <c r="L75" s="1568"/>
      <c r="O75" s="1602" t="s">
        <v>1014</v>
      </c>
      <c r="P75" s="1603" t="s">
        <v>1514</v>
      </c>
      <c r="Q75" s="1604">
        <f ca="1">Q65+Q66</f>
        <v>2496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0.87</v>
      </c>
    </row>
    <row r="80" spans="1:18">
      <c r="B80" s="346" t="s">
        <v>1476</v>
      </c>
      <c r="C80" s="280">
        <f ca="1">ROUND(C75/C39,3)</f>
        <v>0.13</v>
      </c>
    </row>
    <row r="81" spans="2:3">
      <c r="B81" s="276" t="s">
        <v>1477</v>
      </c>
      <c r="C81" s="244"/>
    </row>
    <row r="82" spans="2:3">
      <c r="B82" s="279" t="s">
        <v>1478</v>
      </c>
      <c r="C82" s="281">
        <f ca="1">1-C83</f>
        <v>0.91</v>
      </c>
    </row>
    <row r="83" spans="2:3">
      <c r="B83" s="279" t="s">
        <v>1479</v>
      </c>
      <c r="C83" s="280">
        <f ca="1">ROUND(C13/C40,3)</f>
        <v>0.09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18" t="s">
        <v>1368</v>
      </c>
      <c r="C6" s="1206">
        <f ca="1">ROUND(F6*F8*F7*(1-F9),0)</f>
        <v>0</v>
      </c>
      <c r="D6" s="160" t="s">
        <v>2847</v>
      </c>
      <c r="E6" s="308" t="s">
        <v>1370</v>
      </c>
      <c r="F6" s="309">
        <f ca="1">INDIRECT("'数据-取费表'!u"&amp;$G$1)</f>
        <v>0</v>
      </c>
      <c r="G6" s="1568"/>
      <c r="H6" s="1201" t="s">
        <v>1003</v>
      </c>
      <c r="I6" s="3318" t="s">
        <v>1368</v>
      </c>
      <c r="J6" s="307">
        <f ca="1">ROUND(M6*M8*M7*(1-M9),0)</f>
        <v>0</v>
      </c>
      <c r="K6" s="1560" t="s">
        <v>2848</v>
      </c>
      <c r="L6" s="308" t="s">
        <v>1370</v>
      </c>
      <c r="M6" s="309">
        <f ca="1">INDIRECT("'数据-取费表'!z"&amp;$G$1)</f>
        <v>0</v>
      </c>
    </row>
    <row r="7" spans="1:37" ht="18" customHeight="1">
      <c r="A7" s="1205"/>
      <c r="B7" s="3319"/>
      <c r="C7" s="1207"/>
      <c r="D7" s="313"/>
      <c r="E7" s="1208" t="s">
        <v>1371</v>
      </c>
      <c r="F7" s="309">
        <f ca="1">IF(INDIRECT("'数据-取费表'!ah"&amp;$G$1)="",INDIRECT("'数据-取费表'!k"&amp;$G$1),INDIRECT("'数据-取费表'!ah"&amp;$G$1))</f>
        <v>0</v>
      </c>
      <c r="G7" s="1568"/>
      <c r="H7" s="310"/>
      <c r="I7" s="3319"/>
      <c r="J7" s="312"/>
      <c r="K7" s="313"/>
      <c r="L7" s="308" t="s">
        <v>1371</v>
      </c>
      <c r="M7" s="309">
        <f ca="1">F7</f>
        <v>0</v>
      </c>
    </row>
    <row r="8" spans="1:37" ht="18" customHeight="1">
      <c r="A8" s="310"/>
      <c r="B8" s="3319"/>
      <c r="C8" s="312"/>
      <c r="D8" s="313"/>
      <c r="E8" s="308" t="s">
        <v>1372</v>
      </c>
      <c r="F8" s="309">
        <f ca="1">INDIRECT("'数据-取费表'!ai"&amp;$G$1)</f>
        <v>0</v>
      </c>
      <c r="G8" s="1568"/>
      <c r="H8" s="310"/>
      <c r="I8" s="3319"/>
      <c r="J8" s="312"/>
      <c r="K8" s="313"/>
      <c r="L8" s="308" t="s">
        <v>1372</v>
      </c>
      <c r="M8" s="309">
        <f ca="1">INDIRECT("'数据-取费表'!ai"&amp;$G$1)</f>
        <v>0</v>
      </c>
    </row>
    <row r="9" spans="1:37" ht="18" customHeight="1">
      <c r="A9" s="310"/>
      <c r="B9" s="3320"/>
      <c r="C9" s="312"/>
      <c r="D9" s="313"/>
      <c r="E9" s="308" t="s">
        <v>1373</v>
      </c>
      <c r="F9" s="318">
        <f ca="1">INDIRECT("'数据-取费表'!w"&amp;$G$1)</f>
        <v>0</v>
      </c>
      <c r="G9" s="1568"/>
      <c r="H9" s="310"/>
      <c r="I9" s="332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f ca="1">IF(项目基本情况!B11="企业","——",IF('数据-取费表'!B10="住宅",IF(F6*F7*F8/12/(1+'数据-取费表'!F30)&gt;100000,4%,2.5%),IF(F6*F7*F8/12/(1+'数据-取费表'!F30)&gt;100000,12%,7%)))</f>
        <v>7.0000000000000007E-2</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316" t="s">
        <v>1513</v>
      </c>
      <c r="L53" s="3317"/>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2496</v>
      </c>
      <c r="C2" s="2058" t="s">
        <v>2340</v>
      </c>
      <c r="D2" s="2059" t="s">
        <v>2341</v>
      </c>
      <c r="E2" s="2833">
        <f>SUM(E6:E13)</f>
        <v>348.8</v>
      </c>
      <c r="F2" s="2936"/>
      <c r="G2" s="1674"/>
      <c r="H2" s="1674"/>
      <c r="I2" s="1674"/>
      <c r="J2" s="1674"/>
      <c r="K2" s="1674"/>
      <c r="L2" s="1674"/>
      <c r="M2" s="1674"/>
      <c r="N2" s="1674"/>
      <c r="O2" s="1674"/>
      <c r="P2" s="1674"/>
      <c r="Q2" s="1674"/>
      <c r="R2" s="1674"/>
      <c r="S2" s="1674"/>
    </row>
    <row r="3" spans="1:22" ht="15.75">
      <c r="A3" s="2056" t="s">
        <v>1360</v>
      </c>
      <c r="B3" s="2827">
        <f ca="1">ROUND(B2*10000/E2,0)</f>
        <v>71560</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21" t="s">
        <v>2343</v>
      </c>
      <c r="C5" s="3322"/>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2496</v>
      </c>
      <c r="C6" s="2058" t="s">
        <v>2340</v>
      </c>
      <c r="D6" s="2938"/>
      <c r="E6" s="2832">
        <f>IF(OR(A6=0,F6="否"),0,'数据-取费表'!K6+'数据-取费表'!S6)</f>
        <v>348.8</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9" t="s">
        <v>1044</v>
      </c>
      <c r="B1" s="3340"/>
      <c r="C1" s="3341"/>
      <c r="D1" s="3342">
        <f>SUM(I10,I15,I20,I21,I23)</f>
        <v>0</v>
      </c>
      <c r="E1" s="3342"/>
      <c r="F1" s="3342"/>
      <c r="G1" s="3342"/>
      <c r="H1" s="3342"/>
      <c r="I1" s="3343"/>
    </row>
    <row r="2" spans="1:9">
      <c r="A2" s="3329" t="s">
        <v>1045</v>
      </c>
      <c r="B2" s="3330" t="s">
        <v>1046</v>
      </c>
      <c r="C2" s="3330"/>
      <c r="D2" s="1211" t="s">
        <v>1047</v>
      </c>
      <c r="E2" s="1211" t="s">
        <v>1048</v>
      </c>
      <c r="F2" s="1211" t="s">
        <v>1049</v>
      </c>
      <c r="G2" s="1211" t="s">
        <v>1050</v>
      </c>
      <c r="H2" s="1211" t="s">
        <v>1051</v>
      </c>
      <c r="I2" s="1212" t="s">
        <v>1052</v>
      </c>
    </row>
    <row r="3" spans="1:9">
      <c r="A3" s="3329"/>
      <c r="B3" s="3330" t="s">
        <v>1053</v>
      </c>
      <c r="C3" s="3330"/>
      <c r="D3" s="1213"/>
      <c r="E3" s="1211"/>
      <c r="F3" s="1214"/>
      <c r="G3" s="1214"/>
      <c r="H3" s="1215"/>
      <c r="I3" s="1216">
        <f>ROUND(D3*E3*F3*G3*H3/10000,0)</f>
        <v>0</v>
      </c>
    </row>
    <row r="4" spans="1:9">
      <c r="A4" s="3329"/>
      <c r="B4" s="3330" t="s">
        <v>1054</v>
      </c>
      <c r="C4" s="3330"/>
      <c r="D4" s="1213"/>
      <c r="E4" s="1211"/>
      <c r="F4" s="1214"/>
      <c r="G4" s="1214"/>
      <c r="H4" s="1215"/>
      <c r="I4" s="1216">
        <f t="shared" ref="I4:I9" si="0">ROUND(D4*E4*F4*G4*H4/10000,0)</f>
        <v>0</v>
      </c>
    </row>
    <row r="5" spans="1:9">
      <c r="A5" s="3329"/>
      <c r="B5" s="3330" t="s">
        <v>1055</v>
      </c>
      <c r="C5" s="3330"/>
      <c r="D5" s="1213"/>
      <c r="E5" s="1211"/>
      <c r="F5" s="1214"/>
      <c r="G5" s="1214"/>
      <c r="H5" s="1215"/>
      <c r="I5" s="1216">
        <f t="shared" si="0"/>
        <v>0</v>
      </c>
    </row>
    <row r="6" spans="1:9">
      <c r="A6" s="3329"/>
      <c r="B6" s="3330" t="s">
        <v>1056</v>
      </c>
      <c r="C6" s="3330"/>
      <c r="D6" s="1213"/>
      <c r="E6" s="1211"/>
      <c r="F6" s="1214"/>
      <c r="G6" s="1214"/>
      <c r="H6" s="1215"/>
      <c r="I6" s="1216">
        <f t="shared" si="0"/>
        <v>0</v>
      </c>
    </row>
    <row r="7" spans="1:9">
      <c r="A7" s="3329"/>
      <c r="B7" s="3330" t="s">
        <v>1057</v>
      </c>
      <c r="C7" s="3330"/>
      <c r="D7" s="1213"/>
      <c r="E7" s="1211"/>
      <c r="F7" s="1214"/>
      <c r="G7" s="1214"/>
      <c r="H7" s="1215"/>
      <c r="I7" s="1216">
        <f t="shared" si="0"/>
        <v>0</v>
      </c>
    </row>
    <row r="8" spans="1:9">
      <c r="A8" s="3329"/>
      <c r="B8" s="3330" t="s">
        <v>1058</v>
      </c>
      <c r="C8" s="3330"/>
      <c r="D8" s="1213"/>
      <c r="E8" s="1211"/>
      <c r="F8" s="1214"/>
      <c r="G8" s="1214"/>
      <c r="H8" s="1215"/>
      <c r="I8" s="1216">
        <f t="shared" si="0"/>
        <v>0</v>
      </c>
    </row>
    <row r="9" spans="1:9">
      <c r="A9" s="3329"/>
      <c r="B9" s="3330" t="s">
        <v>1059</v>
      </c>
      <c r="C9" s="3330"/>
      <c r="D9" s="1213"/>
      <c r="E9" s="1211"/>
      <c r="F9" s="1214"/>
      <c r="G9" s="1214"/>
      <c r="H9" s="1215"/>
      <c r="I9" s="1216">
        <f t="shared" si="0"/>
        <v>0</v>
      </c>
    </row>
    <row r="10" spans="1:9">
      <c r="A10" s="3329"/>
      <c r="B10" s="3331" t="s">
        <v>1060</v>
      </c>
      <c r="C10" s="3331"/>
      <c r="D10" s="1217"/>
      <c r="E10" s="1217" t="e">
        <f>ROUND(D1*10000/D10/H9,0)</f>
        <v>#DIV/0!</v>
      </c>
      <c r="F10" s="1218"/>
      <c r="G10" s="1218"/>
      <c r="H10" s="1219"/>
      <c r="I10" s="1220">
        <f>SUM(I3:I9)</f>
        <v>0</v>
      </c>
    </row>
    <row r="11" spans="1:9" ht="14.25">
      <c r="A11" s="3329" t="s">
        <v>1061</v>
      </c>
      <c r="B11" s="3330" t="s">
        <v>1062</v>
      </c>
      <c r="C11" s="3330"/>
      <c r="D11" s="1213" t="s">
        <v>1063</v>
      </c>
      <c r="E11" s="1213" t="s">
        <v>1064</v>
      </c>
      <c r="F11" s="1214" t="s">
        <v>1065</v>
      </c>
      <c r="G11" s="1214" t="s">
        <v>1051</v>
      </c>
      <c r="H11" s="1221" t="s">
        <v>1066</v>
      </c>
      <c r="I11" s="1212" t="s">
        <v>1052</v>
      </c>
    </row>
    <row r="12" spans="1:9">
      <c r="A12" s="3329"/>
      <c r="B12" s="3330" t="s">
        <v>1067</v>
      </c>
      <c r="C12" s="3330"/>
      <c r="D12" s="1213"/>
      <c r="E12" s="1213"/>
      <c r="F12" s="1214"/>
      <c r="G12" s="1215"/>
      <c r="H12" s="1222"/>
      <c r="I12" s="1212">
        <f>ROUND(D12*E12*F12*G12/10000,0)</f>
        <v>0</v>
      </c>
    </row>
    <row r="13" spans="1:9">
      <c r="A13" s="3329"/>
      <c r="B13" s="3330" t="s">
        <v>1068</v>
      </c>
      <c r="C13" s="3330"/>
      <c r="D13" s="1213"/>
      <c r="E13" s="1213"/>
      <c r="F13" s="1214"/>
      <c r="G13" s="1215"/>
      <c r="H13" s="1222"/>
      <c r="I13" s="1212">
        <f>ROUND(D13*E13*F13*G13/10000,0)</f>
        <v>0</v>
      </c>
    </row>
    <row r="14" spans="1:9">
      <c r="A14" s="3329"/>
      <c r="B14" s="3330" t="s">
        <v>1069</v>
      </c>
      <c r="C14" s="3330"/>
      <c r="D14" s="1213"/>
      <c r="E14" s="1213"/>
      <c r="F14" s="1214"/>
      <c r="G14" s="1215"/>
      <c r="H14" s="1222"/>
      <c r="I14" s="1212">
        <f>ROUND(D14*E14*F14*G14/10000,0)</f>
        <v>0</v>
      </c>
    </row>
    <row r="15" spans="1:9">
      <c r="A15" s="3329"/>
      <c r="B15" s="3331" t="s">
        <v>1060</v>
      </c>
      <c r="C15" s="3331"/>
      <c r="D15" s="1217"/>
      <c r="E15" s="1217">
        <f>SUM(E12:E14)</f>
        <v>0</v>
      </c>
      <c r="F15" s="1218"/>
      <c r="G15" s="1215"/>
      <c r="H15" s="1222"/>
      <c r="I15" s="1223">
        <f>SUM(I12:I14)</f>
        <v>0</v>
      </c>
    </row>
    <row r="16" spans="1:9" ht="24">
      <c r="A16" s="3329" t="s">
        <v>1070</v>
      </c>
      <c r="B16" s="3330" t="s">
        <v>1071</v>
      </c>
      <c r="C16" s="3330"/>
      <c r="D16" s="1213" t="s">
        <v>1047</v>
      </c>
      <c r="E16" s="1224" t="s">
        <v>1072</v>
      </c>
      <c r="F16" s="1214" t="s">
        <v>1073</v>
      </c>
      <c r="G16" s="1215" t="s">
        <v>1051</v>
      </c>
      <c r="H16" s="1221" t="s">
        <v>1066</v>
      </c>
      <c r="I16" s="1212" t="s">
        <v>1052</v>
      </c>
    </row>
    <row r="17" spans="1:9" ht="14.25">
      <c r="A17" s="3329"/>
      <c r="B17" s="3330" t="s">
        <v>1074</v>
      </c>
      <c r="C17" s="3330"/>
      <c r="D17" s="1213"/>
      <c r="E17" s="1213"/>
      <c r="F17" s="1214"/>
      <c r="G17" s="1215"/>
      <c r="H17" s="1225"/>
      <c r="I17" s="1226">
        <f>ROUND(D17*E17*F17*G17/10000,0)</f>
        <v>0</v>
      </c>
    </row>
    <row r="18" spans="1:9" ht="14.25">
      <c r="A18" s="3329"/>
      <c r="B18" s="3330" t="s">
        <v>1075</v>
      </c>
      <c r="C18" s="3330"/>
      <c r="D18" s="1213"/>
      <c r="E18" s="1213"/>
      <c r="F18" s="1214"/>
      <c r="G18" s="1215"/>
      <c r="H18" s="1225"/>
      <c r="I18" s="1226">
        <f>ROUND(D18*E18*F18*G18/10000,0)</f>
        <v>0</v>
      </c>
    </row>
    <row r="19" spans="1:9" ht="14.25">
      <c r="A19" s="3329"/>
      <c r="B19" s="3330" t="s">
        <v>1076</v>
      </c>
      <c r="C19" s="3330"/>
      <c r="D19" s="1213"/>
      <c r="E19" s="1213"/>
      <c r="F19" s="1214"/>
      <c r="G19" s="1215"/>
      <c r="H19" s="1225"/>
      <c r="I19" s="1226">
        <f>ROUND(D19*E19*F19*G19/10000,0)</f>
        <v>0</v>
      </c>
    </row>
    <row r="20" spans="1:9">
      <c r="A20" s="3329"/>
      <c r="B20" s="3331" t="s">
        <v>1060</v>
      </c>
      <c r="C20" s="3331"/>
      <c r="D20" s="1217">
        <f>SUM(D17:D19)</f>
        <v>0</v>
      </c>
      <c r="E20" s="1217"/>
      <c r="F20" s="1218"/>
      <c r="G20" s="1215"/>
      <c r="H20" s="1222"/>
      <c r="I20" s="1223">
        <f>SUM(I17:I19)</f>
        <v>0</v>
      </c>
    </row>
    <row r="21" spans="1:9">
      <c r="A21" s="3329" t="s">
        <v>1077</v>
      </c>
      <c r="B21" s="3332"/>
      <c r="C21" s="3332"/>
      <c r="D21" s="3332"/>
      <c r="E21" s="3332"/>
      <c r="F21" s="3332"/>
      <c r="G21" s="3332"/>
      <c r="H21" s="1502">
        <v>0.1</v>
      </c>
      <c r="I21" s="1220">
        <f>ROUND(I10*H21,0)</f>
        <v>0</v>
      </c>
    </row>
    <row r="22" spans="1:9" ht="14.25">
      <c r="A22" s="3333" t="s">
        <v>1078</v>
      </c>
      <c r="B22" s="3334"/>
      <c r="C22" s="3335"/>
      <c r="D22" s="1227" t="s">
        <v>1079</v>
      </c>
      <c r="E22" s="1227" t="s">
        <v>1080</v>
      </c>
      <c r="F22" s="1228" t="s">
        <v>1081</v>
      </c>
      <c r="G22" s="1228" t="s">
        <v>1082</v>
      </c>
      <c r="H22" s="1221" t="s">
        <v>1083</v>
      </c>
      <c r="I22" s="1212" t="s">
        <v>1084</v>
      </c>
    </row>
    <row r="23" spans="1:9" ht="14.25" thickBot="1">
      <c r="A23" s="3336"/>
      <c r="B23" s="3337"/>
      <c r="C23" s="3338"/>
      <c r="D23" s="1229"/>
      <c r="E23" s="1229"/>
      <c r="F23" s="1229"/>
      <c r="G23" s="1230"/>
      <c r="H23" s="1231"/>
      <c r="I23" s="1232">
        <f>ROUND(E23*D23*F23*(1-G23)/10000,0)</f>
        <v>0</v>
      </c>
    </row>
    <row r="26" spans="1:9">
      <c r="A26" s="1233" t="s">
        <v>1085</v>
      </c>
      <c r="B26" s="1233"/>
      <c r="C26" s="1233"/>
      <c r="D26" s="1233"/>
      <c r="E26" s="3326">
        <f>C27-C30-C31-C32</f>
        <v>0</v>
      </c>
      <c r="F26" s="3326"/>
      <c r="G26" s="3326"/>
      <c r="H26" s="1499" t="s">
        <v>1306</v>
      </c>
    </row>
    <row r="27" spans="1:9">
      <c r="A27" s="1234">
        <v>1</v>
      </c>
      <c r="B27" s="1235" t="s">
        <v>1086</v>
      </c>
      <c r="C27" s="1235">
        <f>C28+C29</f>
        <v>0</v>
      </c>
      <c r="D27" s="1235"/>
      <c r="E27" s="3327"/>
      <c r="F27" s="3327"/>
      <c r="G27" s="3327"/>
    </row>
    <row r="28" spans="1:9">
      <c r="A28" s="1236" t="s">
        <v>1087</v>
      </c>
      <c r="B28" s="1235" t="s">
        <v>1088</v>
      </c>
      <c r="C28" s="1235"/>
      <c r="D28" s="1235"/>
      <c r="E28" s="3327"/>
      <c r="F28" s="3327"/>
      <c r="G28" s="332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8"/>
      <c r="F32" s="3328"/>
      <c r="G32" s="3328"/>
    </row>
    <row r="33" spans="1:7" hidden="1">
      <c r="A33" s="3323" t="s">
        <v>1097</v>
      </c>
      <c r="B33" s="3324"/>
      <c r="C33" s="3324"/>
      <c r="D33" s="3325"/>
      <c r="E33" s="3326"/>
      <c r="F33" s="3326"/>
      <c r="G33" s="3326"/>
    </row>
    <row r="34" spans="1:7" hidden="1">
      <c r="A34" s="1238">
        <v>1</v>
      </c>
      <c r="B34" s="1235" t="s">
        <v>1098</v>
      </c>
      <c r="C34" s="1235"/>
      <c r="D34" s="1235"/>
      <c r="E34" s="3327"/>
      <c r="F34" s="3327"/>
      <c r="G34" s="3327"/>
    </row>
    <row r="35" spans="1:7" hidden="1">
      <c r="A35" s="1238">
        <v>2</v>
      </c>
      <c r="B35" s="1235" t="s">
        <v>1099</v>
      </c>
      <c r="C35" s="1235"/>
      <c r="D35" s="1235"/>
      <c r="E35" s="3327"/>
      <c r="F35" s="3327"/>
      <c r="G35" s="3327"/>
    </row>
    <row r="36" spans="1:7" hidden="1">
      <c r="A36" s="1238">
        <v>3</v>
      </c>
      <c r="B36" s="1235" t="s">
        <v>1100</v>
      </c>
      <c r="C36" s="1235"/>
      <c r="D36" s="1235"/>
      <c r="E36" s="3327"/>
      <c r="F36" s="3327"/>
      <c r="G36" s="3327"/>
    </row>
    <row r="37" spans="1:7" hidden="1">
      <c r="A37" s="1238">
        <v>4</v>
      </c>
      <c r="B37" s="1235" t="s">
        <v>1101</v>
      </c>
      <c r="C37" s="1235"/>
      <c r="D37" s="1235"/>
      <c r="E37" s="3327"/>
      <c r="F37" s="3327"/>
      <c r="G37" s="3327"/>
    </row>
    <row r="38" spans="1:7" hidden="1">
      <c r="A38" s="3323" t="s">
        <v>1102</v>
      </c>
      <c r="B38" s="3324"/>
      <c r="C38" s="3324"/>
      <c r="D38" s="3325"/>
      <c r="E38" s="3326"/>
      <c r="F38" s="3326"/>
      <c r="G38" s="33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22576.38</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89" t="s">
        <v>2357</v>
      </c>
      <c r="D4" s="3290"/>
      <c r="E4" s="3291" t="s">
        <v>2358</v>
      </c>
      <c r="F4" s="3292"/>
      <c r="G4" s="3289" t="s">
        <v>2359</v>
      </c>
      <c r="H4" s="3290"/>
      <c r="I4" s="3289" t="s">
        <v>2360</v>
      </c>
      <c r="J4" s="3290"/>
      <c r="K4" s="2075" t="s">
        <v>2361</v>
      </c>
      <c r="L4" s="2944"/>
      <c r="M4" s="2945"/>
      <c r="N4" s="2945"/>
      <c r="O4" s="2945"/>
      <c r="P4" s="3293" t="s">
        <v>2362</v>
      </c>
      <c r="Q4" s="3294"/>
      <c r="R4" s="3299" t="s">
        <v>2358</v>
      </c>
      <c r="S4" s="3300"/>
      <c r="T4" s="3299" t="s">
        <v>2359</v>
      </c>
      <c r="U4" s="3300"/>
      <c r="V4" s="3284" t="s">
        <v>2360</v>
      </c>
      <c r="W4" s="3284"/>
      <c r="X4" s="1539"/>
      <c r="Y4" s="3299" t="s">
        <v>2362</v>
      </c>
      <c r="Z4" s="3300"/>
      <c r="AA4" s="3286" t="s">
        <v>2358</v>
      </c>
      <c r="AB4" s="3286" t="s">
        <v>2359</v>
      </c>
      <c r="AC4" s="3286" t="s">
        <v>2360</v>
      </c>
    </row>
    <row r="5" spans="1:29" ht="15">
      <c r="A5" s="364"/>
      <c r="B5" s="365"/>
      <c r="C5" s="3307" t="s">
        <v>2363</v>
      </c>
      <c r="D5" s="3308"/>
      <c r="E5" s="3314" t="s">
        <v>2364</v>
      </c>
      <c r="F5" s="3315"/>
      <c r="G5" s="3307" t="s">
        <v>2365</v>
      </c>
      <c r="H5" s="3308"/>
      <c r="I5" s="3307" t="s">
        <v>2366</v>
      </c>
      <c r="J5" s="3308"/>
      <c r="K5" s="2076"/>
      <c r="L5" s="2944"/>
      <c r="M5" s="2945"/>
      <c r="N5" s="2945"/>
      <c r="O5" s="2945"/>
      <c r="P5" s="3295"/>
      <c r="Q5" s="3296"/>
      <c r="R5" s="3301"/>
      <c r="S5" s="3302"/>
      <c r="T5" s="3301"/>
      <c r="U5" s="3302"/>
      <c r="V5" s="3284"/>
      <c r="W5" s="3284"/>
      <c r="X5" s="1539"/>
      <c r="Y5" s="3301"/>
      <c r="Z5" s="3302"/>
      <c r="AA5" s="3287"/>
      <c r="AB5" s="3287"/>
      <c r="AC5" s="3287"/>
    </row>
    <row r="6" spans="1:29" ht="15.75" thickBot="1">
      <c r="A6" s="366"/>
      <c r="B6" s="367"/>
      <c r="C6" s="3305" t="s">
        <v>2367</v>
      </c>
      <c r="D6" s="3306"/>
      <c r="E6" s="3312" t="s">
        <v>2367</v>
      </c>
      <c r="F6" s="3313"/>
      <c r="G6" s="3305" t="s">
        <v>2367</v>
      </c>
      <c r="H6" s="3306"/>
      <c r="I6" s="3305" t="s">
        <v>2367</v>
      </c>
      <c r="J6" s="3306"/>
      <c r="K6" s="2076" t="s">
        <v>2368</v>
      </c>
      <c r="L6" s="2944"/>
      <c r="M6" s="2945"/>
      <c r="N6" s="2945"/>
      <c r="O6" s="2945"/>
      <c r="P6" s="3297"/>
      <c r="Q6" s="3298"/>
      <c r="R6" s="3301"/>
      <c r="S6" s="3302"/>
      <c r="T6" s="3303"/>
      <c r="U6" s="3304"/>
      <c r="V6" s="3284"/>
      <c r="W6" s="3284"/>
      <c r="X6" s="1539"/>
      <c r="Y6" s="3303"/>
      <c r="Z6" s="3304"/>
      <c r="AA6" s="3288"/>
      <c r="AB6" s="3288"/>
      <c r="AC6" s="3288"/>
    </row>
    <row r="7" spans="1:29" s="113" customFormat="1" ht="15.75" thickBot="1">
      <c r="A7" s="368" t="s">
        <v>2369</v>
      </c>
      <c r="B7" s="369"/>
      <c r="C7" s="370">
        <f>'数据-取费表'!B2</f>
        <v>44487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09" t="s">
        <v>2370</v>
      </c>
      <c r="Q7" s="3311"/>
      <c r="R7" s="710" t="s">
        <v>23</v>
      </c>
      <c r="S7" s="711">
        <f t="shared" ref="S7:S15" si="0">F7</f>
        <v>0</v>
      </c>
      <c r="T7" s="710" t="s">
        <v>23</v>
      </c>
      <c r="U7" s="711">
        <f t="shared" ref="U7:U15" si="1">H7</f>
        <v>0</v>
      </c>
      <c r="V7" s="710" t="s">
        <v>23</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09" t="s">
        <v>2373</v>
      </c>
      <c r="Q8" s="3310"/>
      <c r="R8" s="710" t="s">
        <v>23</v>
      </c>
      <c r="S8" s="711">
        <f t="shared" si="0"/>
        <v>0</v>
      </c>
      <c r="T8" s="710" t="s">
        <v>23</v>
      </c>
      <c r="U8" s="711">
        <f t="shared" si="1"/>
        <v>0</v>
      </c>
      <c r="V8" s="710" t="s">
        <v>23</v>
      </c>
      <c r="W8" s="711">
        <f t="shared" si="2"/>
        <v>0</v>
      </c>
      <c r="X8" s="712"/>
      <c r="Y8" s="3309" t="s">
        <v>2373</v>
      </c>
      <c r="Z8" s="331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85" t="s">
        <v>2376</v>
      </c>
      <c r="Q9" s="1527" t="str">
        <f t="shared" ref="Q9:Q15" si="6">B9</f>
        <v>用途</v>
      </c>
      <c r="R9" s="710" t="s">
        <v>17</v>
      </c>
      <c r="S9" s="711">
        <f t="shared" si="0"/>
        <v>100</v>
      </c>
      <c r="T9" s="710" t="s">
        <v>17</v>
      </c>
      <c r="U9" s="711">
        <f t="shared" si="1"/>
        <v>100</v>
      </c>
      <c r="V9" s="710" t="s">
        <v>17</v>
      </c>
      <c r="W9" s="711">
        <f t="shared" si="2"/>
        <v>100</v>
      </c>
      <c r="X9" s="712"/>
      <c r="Y9" s="317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85"/>
      <c r="Q10" s="1527"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85"/>
      <c r="Q11" s="1527" t="str">
        <f t="shared" si="6"/>
        <v>容积率</v>
      </c>
      <c r="R11" s="710" t="s">
        <v>21</v>
      </c>
      <c r="S11" s="711" t="e">
        <f t="shared" si="0"/>
        <v>#N/A</v>
      </c>
      <c r="T11" s="710" t="s">
        <v>21</v>
      </c>
      <c r="U11" s="711" t="e">
        <f t="shared" si="1"/>
        <v>#N/A</v>
      </c>
      <c r="V11" s="710" t="s">
        <v>21</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85"/>
      <c r="Q12" s="1527">
        <f t="shared" si="6"/>
        <v>111</v>
      </c>
      <c r="R12" s="710" t="s">
        <v>21</v>
      </c>
      <c r="S12" s="711">
        <f t="shared" si="0"/>
        <v>100</v>
      </c>
      <c r="T12" s="710" t="s">
        <v>21</v>
      </c>
      <c r="U12" s="711">
        <f t="shared" si="1"/>
        <v>100</v>
      </c>
      <c r="V12" s="710" t="s">
        <v>21</v>
      </c>
      <c r="W12" s="711">
        <f t="shared" si="2"/>
        <v>100</v>
      </c>
      <c r="X12" s="712"/>
      <c r="Y12" s="317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85"/>
      <c r="Q13" s="1527">
        <f t="shared" si="6"/>
        <v>111</v>
      </c>
      <c r="R13" s="710" t="s">
        <v>21</v>
      </c>
      <c r="S13" s="711">
        <f t="shared" si="0"/>
        <v>100</v>
      </c>
      <c r="T13" s="710" t="s">
        <v>21</v>
      </c>
      <c r="U13" s="711">
        <f t="shared" si="1"/>
        <v>100</v>
      </c>
      <c r="V13" s="710" t="s">
        <v>21</v>
      </c>
      <c r="W13" s="711">
        <f t="shared" si="2"/>
        <v>100</v>
      </c>
      <c r="X13" s="712"/>
      <c r="Y13" s="3171"/>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85"/>
      <c r="Q14" s="1527">
        <f t="shared" si="6"/>
        <v>111</v>
      </c>
      <c r="R14" s="710" t="s">
        <v>21</v>
      </c>
      <c r="S14" s="711">
        <f t="shared" si="0"/>
        <v>100</v>
      </c>
      <c r="T14" s="710" t="s">
        <v>21</v>
      </c>
      <c r="U14" s="711">
        <f t="shared" si="1"/>
        <v>100</v>
      </c>
      <c r="V14" s="710" t="s">
        <v>21</v>
      </c>
      <c r="W14" s="711">
        <f t="shared" si="2"/>
        <v>100</v>
      </c>
      <c r="X14" s="712"/>
      <c r="Y14" s="3171"/>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75" t="s">
        <v>2381</v>
      </c>
      <c r="Q15" s="1536" t="str">
        <f t="shared" si="6"/>
        <v>居住社区成熟度</v>
      </c>
      <c r="R15" s="714" t="s">
        <v>21</v>
      </c>
      <c r="S15" s="715">
        <f t="shared" si="0"/>
        <v>100</v>
      </c>
      <c r="T15" s="714" t="s">
        <v>21</v>
      </c>
      <c r="U15" s="715">
        <f t="shared" si="1"/>
        <v>100</v>
      </c>
      <c r="V15" s="714" t="s">
        <v>21</v>
      </c>
      <c r="W15" s="715">
        <f t="shared" si="2"/>
        <v>100</v>
      </c>
      <c r="X15" s="1539"/>
      <c r="Y15" s="3277"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276"/>
      <c r="Q16" s="1536"/>
      <c r="R16" s="714"/>
      <c r="S16" s="715"/>
      <c r="T16" s="714"/>
      <c r="U16" s="715"/>
      <c r="V16" s="714"/>
      <c r="W16" s="715"/>
      <c r="X16" s="1539"/>
      <c r="Y16" s="327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76"/>
      <c r="Q17" s="1536" t="str">
        <f>B17</f>
        <v>交通便捷度</v>
      </c>
      <c r="R17" s="714" t="s">
        <v>21</v>
      </c>
      <c r="S17" s="715">
        <f>F17</f>
        <v>100</v>
      </c>
      <c r="T17" s="714" t="s">
        <v>21</v>
      </c>
      <c r="U17" s="715">
        <f>H17</f>
        <v>100</v>
      </c>
      <c r="V17" s="714" t="s">
        <v>21</v>
      </c>
      <c r="W17" s="715">
        <f>J17</f>
        <v>100</v>
      </c>
      <c r="X17" s="1539"/>
      <c r="Y17" s="327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276"/>
      <c r="Q18" s="1536"/>
      <c r="R18" s="714"/>
      <c r="S18" s="715"/>
      <c r="T18" s="714"/>
      <c r="U18" s="715"/>
      <c r="V18" s="714"/>
      <c r="W18" s="715"/>
      <c r="X18" s="1539"/>
      <c r="Y18" s="3278"/>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76"/>
      <c r="Q19" s="1536" t="str">
        <f>B19</f>
        <v>公共配套设施</v>
      </c>
      <c r="R19" s="714" t="s">
        <v>21</v>
      </c>
      <c r="S19" s="715">
        <f>F19</f>
        <v>100</v>
      </c>
      <c r="T19" s="714" t="s">
        <v>21</v>
      </c>
      <c r="U19" s="715">
        <f>H19</f>
        <v>100</v>
      </c>
      <c r="V19" s="714" t="s">
        <v>21</v>
      </c>
      <c r="W19" s="715">
        <f>J19</f>
        <v>100</v>
      </c>
      <c r="X19" s="1539"/>
      <c r="Y19" s="327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276"/>
      <c r="Q20" s="1536"/>
      <c r="R20" s="714"/>
      <c r="S20" s="715"/>
      <c r="T20" s="714"/>
      <c r="U20" s="715"/>
      <c r="V20" s="714"/>
      <c r="W20" s="715"/>
      <c r="X20" s="1539"/>
      <c r="Y20" s="3278"/>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76"/>
      <c r="Q21" s="1536" t="str">
        <f>B21</f>
        <v>基础设施水平</v>
      </c>
      <c r="R21" s="714" t="s">
        <v>17</v>
      </c>
      <c r="S21" s="715">
        <f>F21</f>
        <v>100</v>
      </c>
      <c r="T21" s="714" t="s">
        <v>17</v>
      </c>
      <c r="U21" s="715">
        <f>H21</f>
        <v>100</v>
      </c>
      <c r="V21" s="714" t="s">
        <v>17</v>
      </c>
      <c r="W21" s="715">
        <f>J21</f>
        <v>100</v>
      </c>
      <c r="X21" s="1539"/>
      <c r="Y21" s="327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276"/>
      <c r="Q22" s="1536"/>
      <c r="R22" s="714"/>
      <c r="S22" s="715"/>
      <c r="T22" s="714"/>
      <c r="U22" s="715"/>
      <c r="V22" s="714"/>
      <c r="W22" s="715"/>
      <c r="X22" s="1539"/>
      <c r="Y22" s="3278"/>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76"/>
      <c r="Q23" s="1536" t="str">
        <f>B23</f>
        <v>自然及人文环境</v>
      </c>
      <c r="R23" s="714" t="s">
        <v>21</v>
      </c>
      <c r="S23" s="715">
        <f>F23</f>
        <v>100</v>
      </c>
      <c r="T23" s="714" t="s">
        <v>21</v>
      </c>
      <c r="U23" s="715">
        <f>H23</f>
        <v>100</v>
      </c>
      <c r="V23" s="714" t="s">
        <v>21</v>
      </c>
      <c r="W23" s="715">
        <f>J23</f>
        <v>100</v>
      </c>
      <c r="X23" s="1539"/>
      <c r="Y23" s="327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276"/>
      <c r="Q24" s="1536"/>
      <c r="R24" s="714"/>
      <c r="S24" s="715"/>
      <c r="T24" s="714"/>
      <c r="U24" s="715"/>
      <c r="V24" s="714"/>
      <c r="W24" s="715"/>
      <c r="X24" s="1539"/>
      <c r="Y24" s="3278"/>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27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78"/>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276"/>
      <c r="Q26" s="1536" t="str">
        <f t="shared" si="11"/>
        <v>朝向</v>
      </c>
      <c r="R26" s="714" t="s">
        <v>21</v>
      </c>
      <c r="S26" s="715">
        <f t="shared" si="12"/>
        <v>100</v>
      </c>
      <c r="T26" s="714" t="s">
        <v>21</v>
      </c>
      <c r="U26" s="715">
        <f t="shared" si="13"/>
        <v>100</v>
      </c>
      <c r="V26" s="714" t="s">
        <v>21</v>
      </c>
      <c r="W26" s="715">
        <f t="shared" si="14"/>
        <v>100</v>
      </c>
      <c r="X26" s="1539"/>
      <c r="Y26" s="327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276"/>
      <c r="Q27" s="1527">
        <f t="shared" si="11"/>
        <v>111</v>
      </c>
      <c r="R27" s="710" t="s">
        <v>21</v>
      </c>
      <c r="S27" s="711">
        <f t="shared" si="12"/>
        <v>100</v>
      </c>
      <c r="T27" s="710" t="s">
        <v>21</v>
      </c>
      <c r="U27" s="711">
        <f t="shared" si="13"/>
        <v>100</v>
      </c>
      <c r="V27" s="710" t="s">
        <v>21</v>
      </c>
      <c r="W27" s="711">
        <f t="shared" si="14"/>
        <v>100</v>
      </c>
      <c r="X27" s="712"/>
      <c r="Y27" s="327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276"/>
      <c r="Q28" s="1536">
        <f t="shared" si="11"/>
        <v>111</v>
      </c>
      <c r="R28" s="714" t="s">
        <v>21</v>
      </c>
      <c r="S28" s="715">
        <f t="shared" si="12"/>
        <v>100</v>
      </c>
      <c r="T28" s="714" t="s">
        <v>21</v>
      </c>
      <c r="U28" s="715">
        <f t="shared" si="13"/>
        <v>100</v>
      </c>
      <c r="V28" s="714" t="s">
        <v>21</v>
      </c>
      <c r="W28" s="715">
        <f t="shared" si="14"/>
        <v>100</v>
      </c>
      <c r="X28" s="1539"/>
      <c r="Y28" s="327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276"/>
      <c r="Q29" s="1536">
        <f t="shared" si="11"/>
        <v>111</v>
      </c>
      <c r="R29" s="714" t="s">
        <v>21</v>
      </c>
      <c r="S29" s="715">
        <f t="shared" si="12"/>
        <v>100</v>
      </c>
      <c r="T29" s="714" t="s">
        <v>21</v>
      </c>
      <c r="U29" s="715">
        <f t="shared" si="13"/>
        <v>100</v>
      </c>
      <c r="V29" s="714" t="s">
        <v>21</v>
      </c>
      <c r="W29" s="715">
        <f t="shared" si="14"/>
        <v>100</v>
      </c>
      <c r="X29" s="1539"/>
      <c r="Y29" s="327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276"/>
      <c r="Q30" s="1536">
        <f t="shared" si="11"/>
        <v>111</v>
      </c>
      <c r="R30" s="714" t="s">
        <v>21</v>
      </c>
      <c r="S30" s="715">
        <f t="shared" si="12"/>
        <v>100</v>
      </c>
      <c r="T30" s="714" t="s">
        <v>21</v>
      </c>
      <c r="U30" s="715">
        <f t="shared" si="13"/>
        <v>100</v>
      </c>
      <c r="V30" s="714" t="s">
        <v>21</v>
      </c>
      <c r="W30" s="715">
        <f t="shared" si="14"/>
        <v>100</v>
      </c>
      <c r="X30" s="1539"/>
      <c r="Y30" s="327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276"/>
      <c r="Q31" s="1536">
        <f t="shared" si="11"/>
        <v>111</v>
      </c>
      <c r="R31" s="714" t="s">
        <v>21</v>
      </c>
      <c r="S31" s="715">
        <f t="shared" si="12"/>
        <v>100</v>
      </c>
      <c r="T31" s="714" t="s">
        <v>21</v>
      </c>
      <c r="U31" s="715">
        <f t="shared" si="13"/>
        <v>100</v>
      </c>
      <c r="V31" s="714" t="s">
        <v>21</v>
      </c>
      <c r="W31" s="715">
        <f t="shared" si="14"/>
        <v>100</v>
      </c>
      <c r="X31" s="1539"/>
      <c r="Y31" s="3278"/>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279" t="s">
        <v>2386</v>
      </c>
      <c r="Q32" s="1536" t="str">
        <f t="shared" si="11"/>
        <v>建筑类型</v>
      </c>
      <c r="R32" s="714" t="s">
        <v>21</v>
      </c>
      <c r="S32" s="715">
        <f t="shared" si="12"/>
        <v>100</v>
      </c>
      <c r="T32" s="714" t="s">
        <v>21</v>
      </c>
      <c r="U32" s="715">
        <f t="shared" si="13"/>
        <v>100</v>
      </c>
      <c r="V32" s="714" t="s">
        <v>21</v>
      </c>
      <c r="W32" s="715">
        <f t="shared" si="14"/>
        <v>100</v>
      </c>
      <c r="X32" s="1539"/>
      <c r="Y32" s="3282"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280"/>
      <c r="Q33" s="716" t="str">
        <f t="shared" si="11"/>
        <v>项目建筑规模</v>
      </c>
      <c r="R33" s="717" t="s">
        <v>21</v>
      </c>
      <c r="S33" s="718" t="e">
        <f t="shared" si="12"/>
        <v>#N/A</v>
      </c>
      <c r="T33" s="717" t="s">
        <v>21</v>
      </c>
      <c r="U33" s="718" t="e">
        <f t="shared" si="13"/>
        <v>#N/A</v>
      </c>
      <c r="V33" s="717" t="s">
        <v>21</v>
      </c>
      <c r="W33" s="718" t="e">
        <f t="shared" si="14"/>
        <v>#N/A</v>
      </c>
      <c r="X33" s="719"/>
      <c r="Y33" s="3282"/>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280"/>
      <c r="Q34" s="1536" t="str">
        <f t="shared" si="11"/>
        <v>建筑结构</v>
      </c>
      <c r="R34" s="714" t="s">
        <v>21</v>
      </c>
      <c r="S34" s="715">
        <f t="shared" si="12"/>
        <v>100</v>
      </c>
      <c r="T34" s="714" t="s">
        <v>21</v>
      </c>
      <c r="U34" s="715">
        <f t="shared" si="13"/>
        <v>100</v>
      </c>
      <c r="V34" s="714" t="s">
        <v>21</v>
      </c>
      <c r="W34" s="715">
        <f t="shared" si="14"/>
        <v>100</v>
      </c>
      <c r="X34" s="1539"/>
      <c r="Y34" s="3282"/>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280"/>
      <c r="Q35" s="1536" t="str">
        <f t="shared" si="11"/>
        <v>建筑品质</v>
      </c>
      <c r="R35" s="714" t="s">
        <v>21</v>
      </c>
      <c r="S35" s="715">
        <f t="shared" si="12"/>
        <v>100</v>
      </c>
      <c r="T35" s="714" t="s">
        <v>21</v>
      </c>
      <c r="U35" s="715">
        <f t="shared" si="13"/>
        <v>100</v>
      </c>
      <c r="V35" s="714" t="s">
        <v>21</v>
      </c>
      <c r="W35" s="715">
        <f t="shared" si="14"/>
        <v>100</v>
      </c>
      <c r="X35" s="1539"/>
      <c r="Y35" s="3282"/>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280"/>
      <c r="Q36" s="1536" t="str">
        <f t="shared" si="11"/>
        <v>公共部分装修</v>
      </c>
      <c r="R36" s="714" t="s">
        <v>21</v>
      </c>
      <c r="S36" s="715">
        <f t="shared" si="12"/>
        <v>100</v>
      </c>
      <c r="T36" s="714" t="s">
        <v>21</v>
      </c>
      <c r="U36" s="715">
        <f t="shared" si="13"/>
        <v>100</v>
      </c>
      <c r="V36" s="714" t="s">
        <v>21</v>
      </c>
      <c r="W36" s="715">
        <f t="shared" si="14"/>
        <v>100</v>
      </c>
      <c r="X36" s="1539"/>
      <c r="Y36" s="3282"/>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280"/>
      <c r="Q37" s="1527" t="str">
        <f t="shared" si="11"/>
        <v>成新度</v>
      </c>
      <c r="R37" s="710" t="s">
        <v>21</v>
      </c>
      <c r="S37" s="711" t="e">
        <f t="shared" si="12"/>
        <v>#N/A</v>
      </c>
      <c r="T37" s="710" t="s">
        <v>21</v>
      </c>
      <c r="U37" s="711" t="e">
        <f t="shared" si="13"/>
        <v>#N/A</v>
      </c>
      <c r="V37" s="710" t="s">
        <v>21</v>
      </c>
      <c r="W37" s="711" t="e">
        <f t="shared" si="14"/>
        <v>#N/A</v>
      </c>
      <c r="X37" s="712"/>
      <c r="Y37" s="3282"/>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280" t="s">
        <v>2386</v>
      </c>
      <c r="Q38" s="1536" t="str">
        <f t="shared" si="11"/>
        <v>物业管理</v>
      </c>
      <c r="R38" s="714" t="s">
        <v>21</v>
      </c>
      <c r="S38" s="715">
        <f t="shared" si="12"/>
        <v>100</v>
      </c>
      <c r="T38" s="714" t="s">
        <v>21</v>
      </c>
      <c r="U38" s="715">
        <f t="shared" si="13"/>
        <v>100</v>
      </c>
      <c r="V38" s="714" t="s">
        <v>21</v>
      </c>
      <c r="W38" s="715">
        <f t="shared" si="14"/>
        <v>100</v>
      </c>
      <c r="X38" s="1539"/>
      <c r="Y38" s="3282"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280"/>
      <c r="Q39" s="1536" t="str">
        <f t="shared" si="11"/>
        <v>市政基础设施</v>
      </c>
      <c r="R39" s="714" t="s">
        <v>21</v>
      </c>
      <c r="S39" s="715">
        <f t="shared" si="12"/>
        <v>100</v>
      </c>
      <c r="T39" s="714" t="s">
        <v>21</v>
      </c>
      <c r="U39" s="715">
        <f t="shared" si="13"/>
        <v>100</v>
      </c>
      <c r="V39" s="714" t="s">
        <v>21</v>
      </c>
      <c r="W39" s="715">
        <f t="shared" si="14"/>
        <v>100</v>
      </c>
      <c r="X39" s="1539"/>
      <c r="Y39" s="3282"/>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280"/>
      <c r="Q40" s="1536" t="str">
        <f t="shared" si="11"/>
        <v>房型</v>
      </c>
      <c r="R40" s="714" t="s">
        <v>21</v>
      </c>
      <c r="S40" s="715">
        <f t="shared" si="12"/>
        <v>100</v>
      </c>
      <c r="T40" s="714" t="s">
        <v>21</v>
      </c>
      <c r="U40" s="715">
        <f t="shared" si="13"/>
        <v>100</v>
      </c>
      <c r="V40" s="714" t="s">
        <v>21</v>
      </c>
      <c r="W40" s="715">
        <f t="shared" si="14"/>
        <v>100</v>
      </c>
      <c r="X40" s="1539"/>
      <c r="Y40" s="328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280"/>
      <c r="Q41" s="716" t="str">
        <f t="shared" si="11"/>
        <v>单套/主力户型建筑面积</v>
      </c>
      <c r="R41" s="717" t="s">
        <v>21</v>
      </c>
      <c r="S41" s="718">
        <f t="shared" si="12"/>
        <v>100</v>
      </c>
      <c r="T41" s="717" t="s">
        <v>21</v>
      </c>
      <c r="U41" s="718">
        <f t="shared" si="13"/>
        <v>100</v>
      </c>
      <c r="V41" s="717" t="s">
        <v>21</v>
      </c>
      <c r="W41" s="718">
        <f t="shared" si="14"/>
        <v>100</v>
      </c>
      <c r="X41" s="719"/>
      <c r="Y41" s="3282"/>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280"/>
      <c r="Q42" s="1536" t="str">
        <f t="shared" si="11"/>
        <v>内部装修</v>
      </c>
      <c r="R42" s="714" t="s">
        <v>21</v>
      </c>
      <c r="S42" s="715">
        <f t="shared" si="12"/>
        <v>100</v>
      </c>
      <c r="T42" s="714" t="s">
        <v>21</v>
      </c>
      <c r="U42" s="715">
        <f t="shared" si="13"/>
        <v>100</v>
      </c>
      <c r="V42" s="714" t="s">
        <v>21</v>
      </c>
      <c r="W42" s="715">
        <f t="shared" si="14"/>
        <v>100</v>
      </c>
      <c r="X42" s="1539"/>
      <c r="Y42" s="3282"/>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280"/>
      <c r="Q43" s="1536" t="str">
        <f t="shared" si="11"/>
        <v>内部装修维护情况</v>
      </c>
      <c r="R43" s="714" t="s">
        <v>21</v>
      </c>
      <c r="S43" s="715">
        <f t="shared" si="12"/>
        <v>100</v>
      </c>
      <c r="T43" s="714" t="s">
        <v>21</v>
      </c>
      <c r="U43" s="715">
        <f t="shared" si="13"/>
        <v>100</v>
      </c>
      <c r="V43" s="714" t="s">
        <v>21</v>
      </c>
      <c r="W43" s="715">
        <f t="shared" si="14"/>
        <v>100</v>
      </c>
      <c r="X43" s="1539"/>
      <c r="Y43" s="3282"/>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280"/>
      <c r="Q44" s="1527">
        <f t="shared" si="11"/>
        <v>111</v>
      </c>
      <c r="R44" s="710" t="s">
        <v>21</v>
      </c>
      <c r="S44" s="711">
        <f t="shared" si="12"/>
        <v>100</v>
      </c>
      <c r="T44" s="710" t="s">
        <v>21</v>
      </c>
      <c r="U44" s="711">
        <f t="shared" si="13"/>
        <v>100</v>
      </c>
      <c r="V44" s="710" t="s">
        <v>21</v>
      </c>
      <c r="W44" s="711">
        <f t="shared" si="14"/>
        <v>100</v>
      </c>
      <c r="X44" s="712"/>
      <c r="Y44" s="328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280"/>
      <c r="Q45" s="1536">
        <f t="shared" si="11"/>
        <v>111</v>
      </c>
      <c r="R45" s="714" t="s">
        <v>21</v>
      </c>
      <c r="S45" s="715">
        <f t="shared" si="12"/>
        <v>100</v>
      </c>
      <c r="T45" s="714" t="s">
        <v>21</v>
      </c>
      <c r="U45" s="715">
        <f t="shared" si="13"/>
        <v>100</v>
      </c>
      <c r="V45" s="714" t="s">
        <v>21</v>
      </c>
      <c r="W45" s="715">
        <f t="shared" si="14"/>
        <v>100</v>
      </c>
      <c r="X45" s="1539"/>
      <c r="Y45" s="328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281"/>
      <c r="Q46" s="1536">
        <f t="shared" si="11"/>
        <v>111</v>
      </c>
      <c r="R46" s="714" t="s">
        <v>20</v>
      </c>
      <c r="S46" s="715">
        <f t="shared" si="12"/>
        <v>100</v>
      </c>
      <c r="T46" s="714" t="s">
        <v>20</v>
      </c>
      <c r="U46" s="715">
        <f t="shared" si="13"/>
        <v>100</v>
      </c>
      <c r="V46" s="714" t="s">
        <v>20</v>
      </c>
      <c r="W46" s="715">
        <f t="shared" si="14"/>
        <v>100</v>
      </c>
      <c r="X46" s="1539"/>
      <c r="Y46" s="3283"/>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70" t="str">
        <f>A47</f>
        <v>成交单价（元/平方米）</v>
      </c>
      <c r="Q47" s="3270"/>
      <c r="R47" s="3271">
        <f>E47</f>
        <v>0</v>
      </c>
      <c r="S47" s="3271"/>
      <c r="T47" s="3271">
        <f>G47</f>
        <v>0</v>
      </c>
      <c r="U47" s="3271"/>
      <c r="V47" s="3271">
        <f>I47</f>
        <v>0</v>
      </c>
      <c r="W47" s="3271"/>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70" t="str">
        <f>A48</f>
        <v>比较价值（元/平方米）</v>
      </c>
      <c r="Q48" s="3270"/>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72" t="str">
        <f>A49</f>
        <v>估价对象XX用房的比较价值（楼面单价，元/平方米）</v>
      </c>
      <c r="Q49" s="3273"/>
      <c r="R49" s="3274" t="e">
        <f>IF(F1="售价",ROUND(IF(D48="简单平均",AVERAGE(R48:V48),R48*F48+T48*H48+V48*J48),0),ROUND(IF(D48="简单平均",AVERAGE(R48:V48),R48*F48+T48*H48+V48*J48),1))</f>
        <v>#DIV/0!</v>
      </c>
      <c r="S49" s="3274"/>
      <c r="T49" s="3274"/>
      <c r="U49" s="3274"/>
      <c r="V49" s="3274"/>
      <c r="W49" s="327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2021-10</v>
      </c>
      <c r="D58" s="1347">
        <f>EDATE(C58,-1)</f>
        <v>44440</v>
      </c>
      <c r="E58" s="1347">
        <f>EDATE(D58,-1)</f>
        <v>44409</v>
      </c>
      <c r="F58" s="1347">
        <f t="shared" ref="F58:O58" si="19">EDATE(E58,-1)</f>
        <v>44378</v>
      </c>
      <c r="G58" s="1347">
        <f t="shared" si="19"/>
        <v>44348</v>
      </c>
      <c r="H58" s="1347">
        <f t="shared" si="19"/>
        <v>44317</v>
      </c>
      <c r="I58" s="1347">
        <f t="shared" si="19"/>
        <v>44287</v>
      </c>
      <c r="J58" s="1347">
        <f t="shared" si="19"/>
        <v>44256</v>
      </c>
      <c r="K58" s="1347">
        <f t="shared" si="19"/>
        <v>44228</v>
      </c>
      <c r="L58" s="1347">
        <f t="shared" si="19"/>
        <v>44197</v>
      </c>
      <c r="M58" s="1347">
        <f t="shared" si="19"/>
        <v>44166</v>
      </c>
      <c r="N58" s="1347">
        <f t="shared" si="19"/>
        <v>44136</v>
      </c>
      <c r="O58" s="1347">
        <f t="shared" si="19"/>
        <v>44105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22576.38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89" t="s">
        <v>2467</v>
      </c>
      <c r="D4" s="3290"/>
      <c r="E4" s="3291" t="s">
        <v>2468</v>
      </c>
      <c r="F4" s="3292"/>
      <c r="G4" s="3289" t="s">
        <v>2469</v>
      </c>
      <c r="H4" s="3290"/>
      <c r="I4" s="3289" t="s">
        <v>2470</v>
      </c>
      <c r="J4" s="3290"/>
      <c r="K4" s="567" t="s">
        <v>2471</v>
      </c>
      <c r="L4" s="2944"/>
      <c r="M4" s="2945"/>
      <c r="N4" s="2945"/>
      <c r="O4" s="2945"/>
      <c r="P4" s="3350" t="s">
        <v>2472</v>
      </c>
      <c r="Q4" s="3351"/>
      <c r="R4" s="3354" t="s">
        <v>2468</v>
      </c>
      <c r="S4" s="3355"/>
      <c r="T4" s="3354" t="s">
        <v>2469</v>
      </c>
      <c r="U4" s="3355"/>
      <c r="V4" s="3356" t="s">
        <v>2470</v>
      </c>
      <c r="W4" s="3356"/>
      <c r="X4" s="2144"/>
      <c r="Y4" s="3354" t="s">
        <v>2472</v>
      </c>
      <c r="Z4" s="3355"/>
      <c r="AA4" s="3358" t="s">
        <v>2468</v>
      </c>
      <c r="AB4" s="3358" t="s">
        <v>2469</v>
      </c>
      <c r="AC4" s="3347" t="s">
        <v>2470</v>
      </c>
    </row>
    <row r="5" spans="1:29" ht="15">
      <c r="A5" s="364"/>
      <c r="B5" s="365"/>
      <c r="C5" s="3307" t="s">
        <v>2363</v>
      </c>
      <c r="D5" s="3308"/>
      <c r="E5" s="3314" t="s">
        <v>2364</v>
      </c>
      <c r="F5" s="3315"/>
      <c r="G5" s="3307" t="s">
        <v>2365</v>
      </c>
      <c r="H5" s="3308"/>
      <c r="I5" s="3307" t="s">
        <v>2366</v>
      </c>
      <c r="J5" s="3308"/>
      <c r="K5" s="567"/>
      <c r="L5" s="2944"/>
      <c r="M5" s="2945"/>
      <c r="N5" s="2945"/>
      <c r="O5" s="2945"/>
      <c r="P5" s="3352"/>
      <c r="Q5" s="3296"/>
      <c r="R5" s="3301"/>
      <c r="S5" s="3302"/>
      <c r="T5" s="3301"/>
      <c r="U5" s="3302"/>
      <c r="V5" s="3284"/>
      <c r="W5" s="3284"/>
      <c r="X5" s="1539"/>
      <c r="Y5" s="3301"/>
      <c r="Z5" s="3302"/>
      <c r="AA5" s="3287"/>
      <c r="AB5" s="3287"/>
      <c r="AC5" s="3348"/>
    </row>
    <row r="6" spans="1:29" ht="15.75" thickBot="1">
      <c r="A6" s="366"/>
      <c r="B6" s="367"/>
      <c r="C6" s="3305" t="s">
        <v>2367</v>
      </c>
      <c r="D6" s="3306"/>
      <c r="E6" s="3312" t="s">
        <v>2367</v>
      </c>
      <c r="F6" s="3313"/>
      <c r="G6" s="3305" t="s">
        <v>2367</v>
      </c>
      <c r="H6" s="3306"/>
      <c r="I6" s="3305" t="s">
        <v>2367</v>
      </c>
      <c r="J6" s="3306"/>
      <c r="K6" s="567" t="s">
        <v>2368</v>
      </c>
      <c r="L6" s="2944"/>
      <c r="M6" s="2945"/>
      <c r="N6" s="2945"/>
      <c r="O6" s="2945"/>
      <c r="P6" s="3353"/>
      <c r="Q6" s="3298"/>
      <c r="R6" s="3301"/>
      <c r="S6" s="3302"/>
      <c r="T6" s="3303"/>
      <c r="U6" s="3304"/>
      <c r="V6" s="3284"/>
      <c r="W6" s="3284"/>
      <c r="X6" s="1539"/>
      <c r="Y6" s="3303"/>
      <c r="Z6" s="3304"/>
      <c r="AA6" s="3288"/>
      <c r="AB6" s="3288"/>
      <c r="AC6" s="3349"/>
    </row>
    <row r="7" spans="1:29" s="113" customFormat="1" ht="15.75" thickBot="1">
      <c r="A7" s="368" t="s">
        <v>2369</v>
      </c>
      <c r="B7" s="369"/>
      <c r="C7" s="370">
        <f>'数据-取费表'!B2</f>
        <v>44487</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57" t="s">
        <v>2370</v>
      </c>
      <c r="Q7" s="3311"/>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57" t="s">
        <v>2373</v>
      </c>
      <c r="Q8" s="3310"/>
      <c r="R8" s="710" t="s">
        <v>17</v>
      </c>
      <c r="S8" s="711">
        <f t="shared" si="0"/>
        <v>0</v>
      </c>
      <c r="T8" s="710" t="s">
        <v>17</v>
      </c>
      <c r="U8" s="711">
        <f t="shared" si="1"/>
        <v>0</v>
      </c>
      <c r="V8" s="710" t="s">
        <v>17</v>
      </c>
      <c r="W8" s="711">
        <f t="shared" si="2"/>
        <v>0</v>
      </c>
      <c r="X8" s="712"/>
      <c r="Y8" s="3309" t="s">
        <v>2373</v>
      </c>
      <c r="Z8" s="3310"/>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85" t="s">
        <v>2376</v>
      </c>
      <c r="Q9" s="1527" t="str">
        <f t="shared" ref="Q9:Q15" si="6">B9</f>
        <v>用途</v>
      </c>
      <c r="R9" s="710" t="s">
        <v>17</v>
      </c>
      <c r="S9" s="711">
        <f t="shared" si="0"/>
        <v>100</v>
      </c>
      <c r="T9" s="710" t="s">
        <v>17</v>
      </c>
      <c r="U9" s="711">
        <f t="shared" si="1"/>
        <v>100</v>
      </c>
      <c r="V9" s="710" t="s">
        <v>17</v>
      </c>
      <c r="W9" s="711">
        <f t="shared" si="2"/>
        <v>100</v>
      </c>
      <c r="X9" s="712"/>
      <c r="Y9" s="3171"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85"/>
      <c r="Q10" s="1527"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85"/>
      <c r="Q11" s="1527"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85"/>
      <c r="Q12" s="1527">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85"/>
      <c r="Q13" s="1527">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85"/>
      <c r="Q14" s="1527">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275" t="s">
        <v>2381</v>
      </c>
      <c r="Q15" s="1536" t="str">
        <f t="shared" si="6"/>
        <v>办公集聚程度</v>
      </c>
      <c r="R15" s="714" t="s">
        <v>17</v>
      </c>
      <c r="S15" s="715">
        <f t="shared" si="0"/>
        <v>100</v>
      </c>
      <c r="T15" s="714" t="s">
        <v>17</v>
      </c>
      <c r="U15" s="715">
        <f t="shared" si="1"/>
        <v>100</v>
      </c>
      <c r="V15" s="714" t="s">
        <v>17</v>
      </c>
      <c r="W15" s="715">
        <f t="shared" si="2"/>
        <v>100</v>
      </c>
      <c r="X15" s="1539"/>
      <c r="Y15" s="3277"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276"/>
      <c r="Q16" s="1536"/>
      <c r="R16" s="714"/>
      <c r="S16" s="715"/>
      <c r="T16" s="714"/>
      <c r="U16" s="715"/>
      <c r="V16" s="714"/>
      <c r="W16" s="715"/>
      <c r="X16" s="1539"/>
      <c r="Y16" s="3278"/>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276"/>
      <c r="Q17" s="1536" t="str">
        <f>B17</f>
        <v>交通便捷度</v>
      </c>
      <c r="R17" s="714" t="s">
        <v>17</v>
      </c>
      <c r="S17" s="715">
        <f>F17</f>
        <v>100</v>
      </c>
      <c r="T17" s="714" t="s">
        <v>17</v>
      </c>
      <c r="U17" s="715">
        <f>H17</f>
        <v>100</v>
      </c>
      <c r="V17" s="714" t="s">
        <v>17</v>
      </c>
      <c r="W17" s="715">
        <f>J17</f>
        <v>100</v>
      </c>
      <c r="X17" s="1539"/>
      <c r="Y17" s="327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276"/>
      <c r="Q18" s="1536"/>
      <c r="R18" s="714"/>
      <c r="S18" s="715"/>
      <c r="T18" s="714"/>
      <c r="U18" s="715"/>
      <c r="V18" s="714"/>
      <c r="W18" s="715"/>
      <c r="X18" s="1539"/>
      <c r="Y18" s="3278"/>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276"/>
      <c r="Q19" s="1536" t="str">
        <f>B19</f>
        <v>公共配套设施</v>
      </c>
      <c r="R19" s="714" t="s">
        <v>17</v>
      </c>
      <c r="S19" s="715">
        <f>F19</f>
        <v>100</v>
      </c>
      <c r="T19" s="714" t="s">
        <v>17</v>
      </c>
      <c r="U19" s="715">
        <f>H19</f>
        <v>100</v>
      </c>
      <c r="V19" s="714" t="s">
        <v>17</v>
      </c>
      <c r="W19" s="715">
        <f>J19</f>
        <v>100</v>
      </c>
      <c r="X19" s="1539"/>
      <c r="Y19" s="327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276"/>
      <c r="Q20" s="1536"/>
      <c r="R20" s="714"/>
      <c r="S20" s="715"/>
      <c r="T20" s="714"/>
      <c r="U20" s="715"/>
      <c r="V20" s="714"/>
      <c r="W20" s="715"/>
      <c r="X20" s="1539"/>
      <c r="Y20" s="3278"/>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276"/>
      <c r="Q21" s="1536" t="str">
        <f>B21</f>
        <v>基础设施水平</v>
      </c>
      <c r="R21" s="714" t="s">
        <v>17</v>
      </c>
      <c r="S21" s="715">
        <f>F21</f>
        <v>100</v>
      </c>
      <c r="T21" s="714" t="s">
        <v>17</v>
      </c>
      <c r="U21" s="715">
        <f>H21</f>
        <v>100</v>
      </c>
      <c r="V21" s="714" t="s">
        <v>17</v>
      </c>
      <c r="W21" s="715">
        <f>J21</f>
        <v>100</v>
      </c>
      <c r="X21" s="1539"/>
      <c r="Y21" s="327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276"/>
      <c r="Q22" s="1536"/>
      <c r="R22" s="714"/>
      <c r="S22" s="715"/>
      <c r="T22" s="714"/>
      <c r="U22" s="715"/>
      <c r="V22" s="714"/>
      <c r="W22" s="715"/>
      <c r="X22" s="1539"/>
      <c r="Y22" s="3278"/>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276"/>
      <c r="Q23" s="1536" t="str">
        <f>B23</f>
        <v>环境质量</v>
      </c>
      <c r="R23" s="714" t="s">
        <v>17</v>
      </c>
      <c r="S23" s="715">
        <f>F23</f>
        <v>100</v>
      </c>
      <c r="T23" s="714" t="s">
        <v>17</v>
      </c>
      <c r="U23" s="715">
        <f>H23</f>
        <v>100</v>
      </c>
      <c r="V23" s="714" t="s">
        <v>17</v>
      </c>
      <c r="W23" s="715">
        <f>J23</f>
        <v>100</v>
      </c>
      <c r="X23" s="1539"/>
      <c r="Y23" s="327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276"/>
      <c r="Q24" s="1536"/>
      <c r="R24" s="714"/>
      <c r="S24" s="715"/>
      <c r="T24" s="714"/>
      <c r="U24" s="715"/>
      <c r="V24" s="714"/>
      <c r="W24" s="715"/>
      <c r="X24" s="1539"/>
      <c r="Y24" s="3278"/>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276"/>
      <c r="Q25" s="1536" t="str">
        <f>B25</f>
        <v>毗邻道路的类型与等级</v>
      </c>
      <c r="R25" s="714" t="s">
        <v>17</v>
      </c>
      <c r="S25" s="715">
        <f>F25</f>
        <v>100</v>
      </c>
      <c r="T25" s="714" t="s">
        <v>17</v>
      </c>
      <c r="U25" s="715">
        <f>H25</f>
        <v>100</v>
      </c>
      <c r="V25" s="714" t="s">
        <v>17</v>
      </c>
      <c r="W25" s="715">
        <f>J25</f>
        <v>100</v>
      </c>
      <c r="X25" s="1539"/>
      <c r="Y25" s="327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276"/>
      <c r="Q26" s="1536"/>
      <c r="R26" s="714"/>
      <c r="S26" s="715"/>
      <c r="T26" s="714"/>
      <c r="U26" s="715"/>
      <c r="V26" s="714"/>
      <c r="W26" s="715"/>
      <c r="X26" s="1539"/>
      <c r="Y26" s="3278"/>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76"/>
      <c r="Q27" s="1536" t="str">
        <f t="shared" ref="Q27:Q47" si="11">B27</f>
        <v>楼层</v>
      </c>
      <c r="R27" s="714" t="s">
        <v>17</v>
      </c>
      <c r="S27" s="715">
        <f>F27</f>
        <v>100</v>
      </c>
      <c r="T27" s="714" t="s">
        <v>17</v>
      </c>
      <c r="U27" s="715">
        <f>H27</f>
        <v>100</v>
      </c>
      <c r="V27" s="714" t="s">
        <v>17</v>
      </c>
      <c r="W27" s="715">
        <f>J27</f>
        <v>100</v>
      </c>
      <c r="X27" s="1539"/>
      <c r="Y27" s="3278"/>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276"/>
      <c r="Q28" s="1527" t="str">
        <f t="shared" si="11"/>
        <v>朝向</v>
      </c>
      <c r="R28" s="710" t="s">
        <v>17</v>
      </c>
      <c r="S28" s="711">
        <f>F28</f>
        <v>100</v>
      </c>
      <c r="T28" s="710" t="s">
        <v>17</v>
      </c>
      <c r="U28" s="711">
        <f>H28</f>
        <v>100</v>
      </c>
      <c r="V28" s="710" t="s">
        <v>17</v>
      </c>
      <c r="W28" s="711">
        <f>J28</f>
        <v>100</v>
      </c>
      <c r="X28" s="712"/>
      <c r="Y28" s="327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276"/>
      <c r="Q29" s="1536">
        <f t="shared" si="11"/>
        <v>111</v>
      </c>
      <c r="R29" s="714" t="s">
        <v>17</v>
      </c>
      <c r="S29" s="715">
        <f t="shared" ref="S29:S47" si="12">F29</f>
        <v>100</v>
      </c>
      <c r="T29" s="714" t="s">
        <v>17</v>
      </c>
      <c r="U29" s="715">
        <f t="shared" ref="U29:U47" si="13">H29</f>
        <v>100</v>
      </c>
      <c r="V29" s="714" t="s">
        <v>17</v>
      </c>
      <c r="W29" s="715">
        <f t="shared" ref="W29:W47" si="14">J29</f>
        <v>100</v>
      </c>
      <c r="X29" s="1539"/>
      <c r="Y29" s="327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276"/>
      <c r="Q30" s="1536">
        <f t="shared" si="11"/>
        <v>111</v>
      </c>
      <c r="R30" s="714" t="s">
        <v>17</v>
      </c>
      <c r="S30" s="715">
        <f t="shared" si="12"/>
        <v>100</v>
      </c>
      <c r="T30" s="714" t="s">
        <v>17</v>
      </c>
      <c r="U30" s="715">
        <f t="shared" si="13"/>
        <v>100</v>
      </c>
      <c r="V30" s="714" t="s">
        <v>17</v>
      </c>
      <c r="W30" s="715">
        <f t="shared" si="14"/>
        <v>100</v>
      </c>
      <c r="X30" s="1539"/>
      <c r="Y30" s="327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276"/>
      <c r="Q31" s="1536">
        <f t="shared" si="11"/>
        <v>111</v>
      </c>
      <c r="R31" s="714" t="s">
        <v>17</v>
      </c>
      <c r="S31" s="715">
        <f t="shared" si="12"/>
        <v>100</v>
      </c>
      <c r="T31" s="714" t="s">
        <v>17</v>
      </c>
      <c r="U31" s="715">
        <f t="shared" si="13"/>
        <v>100</v>
      </c>
      <c r="V31" s="714" t="s">
        <v>17</v>
      </c>
      <c r="W31" s="715">
        <f t="shared" si="14"/>
        <v>100</v>
      </c>
      <c r="X31" s="1539"/>
      <c r="Y31" s="327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276"/>
      <c r="Q32" s="1536">
        <f t="shared" si="11"/>
        <v>111</v>
      </c>
      <c r="R32" s="714" t="s">
        <v>17</v>
      </c>
      <c r="S32" s="715">
        <f t="shared" si="12"/>
        <v>100</v>
      </c>
      <c r="T32" s="714" t="s">
        <v>17</v>
      </c>
      <c r="U32" s="715">
        <f t="shared" si="13"/>
        <v>100</v>
      </c>
      <c r="V32" s="714" t="s">
        <v>17</v>
      </c>
      <c r="W32" s="715">
        <f t="shared" si="14"/>
        <v>100</v>
      </c>
      <c r="X32" s="1539"/>
      <c r="Y32" s="3278"/>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279" t="s">
        <v>2386</v>
      </c>
      <c r="Q33" s="1536" t="str">
        <f t="shared" si="11"/>
        <v>建筑类型</v>
      </c>
      <c r="R33" s="714" t="s">
        <v>17</v>
      </c>
      <c r="S33" s="715">
        <f t="shared" si="12"/>
        <v>100</v>
      </c>
      <c r="T33" s="714" t="s">
        <v>17</v>
      </c>
      <c r="U33" s="715">
        <f t="shared" si="13"/>
        <v>100</v>
      </c>
      <c r="V33" s="714" t="s">
        <v>17</v>
      </c>
      <c r="W33" s="715">
        <f t="shared" si="14"/>
        <v>100</v>
      </c>
      <c r="X33" s="1539"/>
      <c r="Y33" s="3282"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280"/>
      <c r="Q34" s="716" t="str">
        <f t="shared" si="11"/>
        <v>项目建筑规模</v>
      </c>
      <c r="R34" s="717" t="s">
        <v>17</v>
      </c>
      <c r="S34" s="718" t="e">
        <f t="shared" si="12"/>
        <v>#N/A</v>
      </c>
      <c r="T34" s="717" t="s">
        <v>17</v>
      </c>
      <c r="U34" s="718" t="e">
        <f t="shared" si="13"/>
        <v>#N/A</v>
      </c>
      <c r="V34" s="717" t="s">
        <v>17</v>
      </c>
      <c r="W34" s="718" t="e">
        <f t="shared" si="14"/>
        <v>#N/A</v>
      </c>
      <c r="X34" s="719"/>
      <c r="Y34" s="3282"/>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280"/>
      <c r="Q35" s="1536" t="str">
        <f t="shared" si="11"/>
        <v>建筑结构</v>
      </c>
      <c r="R35" s="714" t="s">
        <v>17</v>
      </c>
      <c r="S35" s="715">
        <f t="shared" si="12"/>
        <v>100</v>
      </c>
      <c r="T35" s="714" t="s">
        <v>17</v>
      </c>
      <c r="U35" s="715">
        <f t="shared" si="13"/>
        <v>100</v>
      </c>
      <c r="V35" s="714" t="s">
        <v>17</v>
      </c>
      <c r="W35" s="715">
        <f t="shared" si="14"/>
        <v>100</v>
      </c>
      <c r="X35" s="1539"/>
      <c r="Y35" s="3282"/>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280"/>
      <c r="Q36" s="1536" t="str">
        <f t="shared" si="11"/>
        <v>公共部分装修</v>
      </c>
      <c r="R36" s="714" t="s">
        <v>17</v>
      </c>
      <c r="S36" s="715">
        <f t="shared" si="12"/>
        <v>100</v>
      </c>
      <c r="T36" s="714" t="s">
        <v>17</v>
      </c>
      <c r="U36" s="715">
        <f t="shared" si="13"/>
        <v>100</v>
      </c>
      <c r="V36" s="714" t="s">
        <v>17</v>
      </c>
      <c r="W36" s="715">
        <f t="shared" si="14"/>
        <v>100</v>
      </c>
      <c r="X36" s="1539"/>
      <c r="Y36" s="3282"/>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280"/>
      <c r="Q37" s="1536" t="str">
        <f t="shared" si="11"/>
        <v>成新度</v>
      </c>
      <c r="R37" s="714" t="s">
        <v>17</v>
      </c>
      <c r="S37" s="715" t="e">
        <f t="shared" si="12"/>
        <v>#N/A</v>
      </c>
      <c r="T37" s="714" t="s">
        <v>17</v>
      </c>
      <c r="U37" s="715" t="e">
        <f t="shared" si="13"/>
        <v>#N/A</v>
      </c>
      <c r="V37" s="714" t="s">
        <v>17</v>
      </c>
      <c r="W37" s="715" t="e">
        <f t="shared" si="14"/>
        <v>#N/A</v>
      </c>
      <c r="X37" s="1539"/>
      <c r="Y37" s="3282"/>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280"/>
      <c r="Q38" s="1527" t="str">
        <f t="shared" si="11"/>
        <v>写字楼等级</v>
      </c>
      <c r="R38" s="710" t="s">
        <v>17</v>
      </c>
      <c r="S38" s="711">
        <f t="shared" si="12"/>
        <v>100</v>
      </c>
      <c r="T38" s="710" t="s">
        <v>17</v>
      </c>
      <c r="U38" s="711">
        <f t="shared" si="13"/>
        <v>100</v>
      </c>
      <c r="V38" s="710" t="s">
        <v>17</v>
      </c>
      <c r="W38" s="711">
        <f t="shared" si="14"/>
        <v>100</v>
      </c>
      <c r="X38" s="712"/>
      <c r="Y38" s="3282"/>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280" t="s">
        <v>2386</v>
      </c>
      <c r="Q39" s="1536" t="str">
        <f t="shared" si="11"/>
        <v>物业管理</v>
      </c>
      <c r="R39" s="714" t="s">
        <v>17</v>
      </c>
      <c r="S39" s="715">
        <f t="shared" si="12"/>
        <v>100</v>
      </c>
      <c r="T39" s="714" t="s">
        <v>17</v>
      </c>
      <c r="U39" s="715">
        <f t="shared" si="13"/>
        <v>100</v>
      </c>
      <c r="V39" s="714" t="s">
        <v>17</v>
      </c>
      <c r="W39" s="715">
        <f t="shared" si="14"/>
        <v>100</v>
      </c>
      <c r="X39" s="1539"/>
      <c r="Y39" s="3282"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280"/>
      <c r="Q40" s="1536" t="str">
        <f t="shared" si="11"/>
        <v>市政基础设施</v>
      </c>
      <c r="R40" s="714" t="s">
        <v>17</v>
      </c>
      <c r="S40" s="715">
        <f t="shared" si="12"/>
        <v>100</v>
      </c>
      <c r="T40" s="714" t="s">
        <v>17</v>
      </c>
      <c r="U40" s="715">
        <f t="shared" si="13"/>
        <v>100</v>
      </c>
      <c r="V40" s="714" t="s">
        <v>17</v>
      </c>
      <c r="W40" s="715">
        <f t="shared" si="14"/>
        <v>100</v>
      </c>
      <c r="X40" s="1539"/>
      <c r="Y40" s="3282"/>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280"/>
      <c r="Q41" s="1536" t="str">
        <f t="shared" si="11"/>
        <v>层高</v>
      </c>
      <c r="R41" s="714" t="s">
        <v>17</v>
      </c>
      <c r="S41" s="715">
        <f t="shared" si="12"/>
        <v>100</v>
      </c>
      <c r="T41" s="714" t="s">
        <v>17</v>
      </c>
      <c r="U41" s="715">
        <f t="shared" si="13"/>
        <v>100</v>
      </c>
      <c r="V41" s="714" t="s">
        <v>17</v>
      </c>
      <c r="W41" s="715">
        <f t="shared" si="14"/>
        <v>100</v>
      </c>
      <c r="X41" s="1539"/>
      <c r="Y41" s="3282"/>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80"/>
      <c r="Q42" s="716" t="str">
        <f t="shared" si="11"/>
        <v>单套建筑面积</v>
      </c>
      <c r="R42" s="717" t="s">
        <v>17</v>
      </c>
      <c r="S42" s="718">
        <f t="shared" si="12"/>
        <v>100</v>
      </c>
      <c r="T42" s="717" t="s">
        <v>17</v>
      </c>
      <c r="U42" s="718">
        <f t="shared" si="13"/>
        <v>100</v>
      </c>
      <c r="V42" s="717" t="s">
        <v>17</v>
      </c>
      <c r="W42" s="718">
        <f t="shared" si="14"/>
        <v>100</v>
      </c>
      <c r="X42" s="719"/>
      <c r="Y42" s="3282"/>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280"/>
      <c r="Q43" s="1536" t="str">
        <f t="shared" si="11"/>
        <v>内部装修</v>
      </c>
      <c r="R43" s="714" t="s">
        <v>17</v>
      </c>
      <c r="S43" s="715">
        <f t="shared" si="12"/>
        <v>100</v>
      </c>
      <c r="T43" s="714" t="s">
        <v>17</v>
      </c>
      <c r="U43" s="715">
        <f t="shared" si="13"/>
        <v>100</v>
      </c>
      <c r="V43" s="714" t="s">
        <v>17</v>
      </c>
      <c r="W43" s="715">
        <f t="shared" si="14"/>
        <v>100</v>
      </c>
      <c r="X43" s="1539"/>
      <c r="Y43" s="3282"/>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280"/>
      <c r="Q44" s="1536" t="str">
        <f t="shared" si="11"/>
        <v>内部装修维护情况</v>
      </c>
      <c r="R44" s="714" t="s">
        <v>17</v>
      </c>
      <c r="S44" s="715">
        <f t="shared" si="12"/>
        <v>100</v>
      </c>
      <c r="T44" s="714" t="s">
        <v>17</v>
      </c>
      <c r="U44" s="715">
        <f t="shared" si="13"/>
        <v>100</v>
      </c>
      <c r="V44" s="714" t="s">
        <v>17</v>
      </c>
      <c r="W44" s="715">
        <f t="shared" si="14"/>
        <v>100</v>
      </c>
      <c r="X44" s="1539"/>
      <c r="Y44" s="3282"/>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80"/>
      <c r="Q45" s="1527">
        <f t="shared" si="11"/>
        <v>111</v>
      </c>
      <c r="R45" s="710" t="s">
        <v>17</v>
      </c>
      <c r="S45" s="711">
        <f t="shared" si="12"/>
        <v>100</v>
      </c>
      <c r="T45" s="710" t="s">
        <v>17</v>
      </c>
      <c r="U45" s="711">
        <f t="shared" si="13"/>
        <v>100</v>
      </c>
      <c r="V45" s="710" t="s">
        <v>17</v>
      </c>
      <c r="W45" s="711">
        <f t="shared" si="14"/>
        <v>100</v>
      </c>
      <c r="X45" s="712"/>
      <c r="Y45" s="3282"/>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80"/>
      <c r="Q46" s="1536">
        <f t="shared" si="11"/>
        <v>111</v>
      </c>
      <c r="R46" s="714" t="s">
        <v>17</v>
      </c>
      <c r="S46" s="715">
        <f t="shared" si="12"/>
        <v>100</v>
      </c>
      <c r="T46" s="714" t="s">
        <v>17</v>
      </c>
      <c r="U46" s="715">
        <f t="shared" si="13"/>
        <v>100</v>
      </c>
      <c r="V46" s="714" t="s">
        <v>17</v>
      </c>
      <c r="W46" s="715">
        <f t="shared" si="14"/>
        <v>100</v>
      </c>
      <c r="X46" s="1539"/>
      <c r="Y46" s="328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81"/>
      <c r="Q47" s="1536">
        <f t="shared" si="11"/>
        <v>111</v>
      </c>
      <c r="R47" s="714" t="s">
        <v>17</v>
      </c>
      <c r="S47" s="715">
        <f t="shared" si="12"/>
        <v>100</v>
      </c>
      <c r="T47" s="714" t="s">
        <v>17</v>
      </c>
      <c r="U47" s="715">
        <f t="shared" si="13"/>
        <v>100</v>
      </c>
      <c r="V47" s="714" t="s">
        <v>17</v>
      </c>
      <c r="W47" s="715">
        <f t="shared" si="14"/>
        <v>100</v>
      </c>
      <c r="X47" s="1539"/>
      <c r="Y47" s="3283"/>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85" t="str">
        <f>A48</f>
        <v>成交单价（元/平方米）</v>
      </c>
      <c r="Q48" s="3270"/>
      <c r="R48" s="3271">
        <f>E48</f>
        <v>0</v>
      </c>
      <c r="S48" s="3271"/>
      <c r="T48" s="3271">
        <f>G48</f>
        <v>0</v>
      </c>
      <c r="U48" s="3271"/>
      <c r="V48" s="3271">
        <f>I48</f>
        <v>0</v>
      </c>
      <c r="W48" s="3271"/>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85" t="str">
        <f>A49</f>
        <v>比较价值（元/平方米）</v>
      </c>
      <c r="Q49" s="3270"/>
      <c r="R49" s="3271" t="e">
        <f>IF(F1="售价",ROUND(PRODUCT(R48,AA7:AA47),0),ROUND(PRODUCT(R48,AA7:AA47),1))</f>
        <v>#DIV/0!</v>
      </c>
      <c r="S49" s="3271"/>
      <c r="T49" s="3271" t="e">
        <f>IF(F1="售价",ROUND(PRODUCT(T48,AB7:AB47),0),ROUND(PRODUCT(T48,AB7:AB47),1))</f>
        <v>#DIV/0!</v>
      </c>
      <c r="U49" s="3271"/>
      <c r="V49" s="3271" t="e">
        <f>IF(F1="售价",ROUND(PRODUCT(V48,AC7:AC47),0),ROUND(PRODUCT(V48,AC7:AC47),1))</f>
        <v>#DIV/0!</v>
      </c>
      <c r="W49" s="3271"/>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44" t="str">
        <f>A50</f>
        <v>估价对象XX用房的比较价值（楼面单价，元/平方米）</v>
      </c>
      <c r="Q50" s="3345"/>
      <c r="R50" s="3346" t="e">
        <f>IF(F1="售价",ROUND(IF(D49="简单平均",AVERAGE(R49:V49),R49*F49+T49*H49+V49*J49),0),ROUND(IF(D49="简单平均",AVERAGE(R49:V49),R49*F49+T49*H49+V49*J49),1))</f>
        <v>#DIV/0!</v>
      </c>
      <c r="S50" s="3346"/>
      <c r="T50" s="3346"/>
      <c r="U50" s="3346"/>
      <c r="V50" s="3346"/>
      <c r="W50" s="3346"/>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2021-10</v>
      </c>
      <c r="D59" s="1347">
        <f>EDATE(C59,-1)</f>
        <v>44440</v>
      </c>
      <c r="E59" s="1347">
        <f>EDATE(D59,-1)</f>
        <v>44409</v>
      </c>
      <c r="F59" s="1347">
        <f t="shared" ref="F59:O59" si="16">EDATE(E59,-1)</f>
        <v>44378</v>
      </c>
      <c r="G59" s="1347">
        <f t="shared" si="16"/>
        <v>44348</v>
      </c>
      <c r="H59" s="1347">
        <f t="shared" si="16"/>
        <v>44317</v>
      </c>
      <c r="I59" s="1347">
        <f t="shared" si="16"/>
        <v>44287</v>
      </c>
      <c r="J59" s="1347">
        <f t="shared" si="16"/>
        <v>44256</v>
      </c>
      <c r="K59" s="1347">
        <f t="shared" si="16"/>
        <v>44228</v>
      </c>
      <c r="L59" s="1347">
        <f t="shared" si="16"/>
        <v>44197</v>
      </c>
      <c r="M59" s="1347">
        <f t="shared" si="16"/>
        <v>44166</v>
      </c>
      <c r="N59" s="1347">
        <f t="shared" si="16"/>
        <v>44136</v>
      </c>
      <c r="O59" s="1347">
        <f t="shared" si="16"/>
        <v>44105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估价对象为房地产，为所有。根据《国有土地使用证》[]，估价对象（分摊）出让国有建设用地使用权面积为0平方米，建筑面积为22576.38平方米。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估价对象为房地产,属开发建设的，该项目尚在开发建设中。根据《国有土地使用证》[]，估价对象（分摊）出让国有建设用地使用权面积为0平方米，规划建筑面积为22576.38平方米。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2021年10月18日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22576.38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89" t="s">
        <v>2467</v>
      </c>
      <c r="D4" s="3290"/>
      <c r="E4" s="3291" t="s">
        <v>2468</v>
      </c>
      <c r="F4" s="3292"/>
      <c r="G4" s="3289" t="s">
        <v>2469</v>
      </c>
      <c r="H4" s="3290"/>
      <c r="I4" s="3289" t="s">
        <v>2470</v>
      </c>
      <c r="J4" s="3290"/>
      <c r="K4" s="567" t="s">
        <v>2471</v>
      </c>
      <c r="L4" s="1044"/>
      <c r="M4" s="1045"/>
      <c r="N4" s="1045"/>
      <c r="O4" s="1045"/>
      <c r="P4" s="3293" t="s">
        <v>2472</v>
      </c>
      <c r="Q4" s="3294"/>
      <c r="R4" s="3299" t="s">
        <v>2468</v>
      </c>
      <c r="S4" s="3300"/>
      <c r="T4" s="3299" t="s">
        <v>2469</v>
      </c>
      <c r="U4" s="3300"/>
      <c r="V4" s="3284" t="s">
        <v>2470</v>
      </c>
      <c r="W4" s="3284"/>
      <c r="X4" s="1539"/>
      <c r="Y4" s="3299" t="s">
        <v>2472</v>
      </c>
      <c r="Z4" s="3300"/>
      <c r="AA4" s="3286" t="s">
        <v>2468</v>
      </c>
      <c r="AB4" s="3287" t="s">
        <v>2469</v>
      </c>
      <c r="AC4" s="3286" t="s">
        <v>2470</v>
      </c>
    </row>
    <row r="5" spans="1:29" ht="15">
      <c r="A5" s="364"/>
      <c r="B5" s="365"/>
      <c r="C5" s="3307" t="s">
        <v>2363</v>
      </c>
      <c r="D5" s="3308"/>
      <c r="E5" s="3314" t="s">
        <v>2364</v>
      </c>
      <c r="F5" s="3315"/>
      <c r="G5" s="3307" t="s">
        <v>2365</v>
      </c>
      <c r="H5" s="3308"/>
      <c r="I5" s="3307" t="s">
        <v>2366</v>
      </c>
      <c r="J5" s="3308"/>
      <c r="K5" s="567"/>
      <c r="L5" s="1044"/>
      <c r="M5" s="1045"/>
      <c r="N5" s="1045"/>
      <c r="O5" s="1045"/>
      <c r="P5" s="3295"/>
      <c r="Q5" s="3296"/>
      <c r="R5" s="3301"/>
      <c r="S5" s="3302"/>
      <c r="T5" s="3301"/>
      <c r="U5" s="3302"/>
      <c r="V5" s="3284"/>
      <c r="W5" s="3284"/>
      <c r="X5" s="1539"/>
      <c r="Y5" s="3301"/>
      <c r="Z5" s="3302"/>
      <c r="AA5" s="3287"/>
      <c r="AB5" s="3287"/>
      <c r="AC5" s="3287"/>
    </row>
    <row r="6" spans="1:29" ht="15.75" thickBot="1">
      <c r="A6" s="366"/>
      <c r="B6" s="367"/>
      <c r="C6" s="3305" t="s">
        <v>2367</v>
      </c>
      <c r="D6" s="3306"/>
      <c r="E6" s="3312" t="s">
        <v>2367</v>
      </c>
      <c r="F6" s="3313"/>
      <c r="G6" s="3305" t="s">
        <v>2367</v>
      </c>
      <c r="H6" s="3306"/>
      <c r="I6" s="3305" t="s">
        <v>2367</v>
      </c>
      <c r="J6" s="3306"/>
      <c r="K6" s="567" t="s">
        <v>2368</v>
      </c>
      <c r="L6" s="1044"/>
      <c r="M6" s="1045"/>
      <c r="N6" s="1045"/>
      <c r="O6" s="1045"/>
      <c r="P6" s="3297"/>
      <c r="Q6" s="3298"/>
      <c r="R6" s="3301"/>
      <c r="S6" s="3302"/>
      <c r="T6" s="3303"/>
      <c r="U6" s="3304"/>
      <c r="V6" s="3284"/>
      <c r="W6" s="3284"/>
      <c r="X6" s="1539"/>
      <c r="Y6" s="3303"/>
      <c r="Z6" s="3304"/>
      <c r="AA6" s="3288"/>
      <c r="AB6" s="3288"/>
      <c r="AC6" s="3288"/>
    </row>
    <row r="7" spans="1:29" s="113" customFormat="1" ht="15.75" thickBot="1">
      <c r="A7" s="368" t="s">
        <v>2369</v>
      </c>
      <c r="B7" s="369"/>
      <c r="C7" s="370">
        <f>'数据-取费表'!B2</f>
        <v>44487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9" t="s">
        <v>2370</v>
      </c>
      <c r="Q7" s="3311"/>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9" t="s">
        <v>2373</v>
      </c>
      <c r="Q8" s="3310"/>
      <c r="R8" s="710" t="s">
        <v>17</v>
      </c>
      <c r="S8" s="711">
        <f t="shared" si="0"/>
        <v>0</v>
      </c>
      <c r="T8" s="710" t="s">
        <v>17</v>
      </c>
      <c r="U8" s="711">
        <f t="shared" si="1"/>
        <v>0</v>
      </c>
      <c r="V8" s="710" t="s">
        <v>17</v>
      </c>
      <c r="W8" s="711">
        <f t="shared" si="2"/>
        <v>0</v>
      </c>
      <c r="X8" s="712"/>
      <c r="Y8" s="3309" t="s">
        <v>2373</v>
      </c>
      <c r="Z8" s="331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0" t="s">
        <v>2376</v>
      </c>
      <c r="Q9" s="1527" t="str">
        <f t="shared" ref="Q9:Q15" si="6">B9</f>
        <v>用途</v>
      </c>
      <c r="R9" s="710" t="s">
        <v>17</v>
      </c>
      <c r="S9" s="711">
        <f t="shared" si="0"/>
        <v>100</v>
      </c>
      <c r="T9" s="710" t="s">
        <v>17</v>
      </c>
      <c r="U9" s="711">
        <f t="shared" si="1"/>
        <v>100</v>
      </c>
      <c r="V9" s="710" t="s">
        <v>17</v>
      </c>
      <c r="W9" s="711">
        <f t="shared" si="2"/>
        <v>100</v>
      </c>
      <c r="X9" s="712"/>
      <c r="Y9" s="317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0"/>
      <c r="Q10" s="1527"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0"/>
      <c r="Q11" s="1527"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0"/>
      <c r="Q12" s="1527">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0"/>
      <c r="Q13" s="1527">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0"/>
      <c r="Q14" s="1527">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7" t="s">
        <v>2381</v>
      </c>
      <c r="Q15" s="1536" t="str">
        <f t="shared" si="6"/>
        <v>产业集聚程度</v>
      </c>
      <c r="R15" s="714" t="s">
        <v>17</v>
      </c>
      <c r="S15" s="715">
        <f t="shared" si="0"/>
        <v>100</v>
      </c>
      <c r="T15" s="714" t="s">
        <v>17</v>
      </c>
      <c r="U15" s="715">
        <f t="shared" si="1"/>
        <v>100</v>
      </c>
      <c r="V15" s="714" t="s">
        <v>17</v>
      </c>
      <c r="W15" s="715">
        <f t="shared" si="2"/>
        <v>100</v>
      </c>
      <c r="X15" s="1539"/>
      <c r="Y15" s="3277"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78"/>
      <c r="Q16" s="1536"/>
      <c r="R16" s="714"/>
      <c r="S16" s="715"/>
      <c r="T16" s="714"/>
      <c r="U16" s="715"/>
      <c r="V16" s="714"/>
      <c r="W16" s="715"/>
      <c r="X16" s="1539"/>
      <c r="Y16" s="3278"/>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8"/>
      <c r="Q17" s="1536" t="str">
        <f>B17</f>
        <v>交通便捷度</v>
      </c>
      <c r="R17" s="714" t="s">
        <v>17</v>
      </c>
      <c r="S17" s="715">
        <f>F17</f>
        <v>100</v>
      </c>
      <c r="T17" s="714" t="s">
        <v>17</v>
      </c>
      <c r="U17" s="715">
        <f>H17</f>
        <v>100</v>
      </c>
      <c r="V17" s="714" t="s">
        <v>17</v>
      </c>
      <c r="W17" s="715">
        <f>J17</f>
        <v>100</v>
      </c>
      <c r="X17" s="1539"/>
      <c r="Y17" s="327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78"/>
      <c r="Q18" s="1536"/>
      <c r="R18" s="714"/>
      <c r="S18" s="715"/>
      <c r="T18" s="714"/>
      <c r="U18" s="715"/>
      <c r="V18" s="714"/>
      <c r="W18" s="715"/>
      <c r="X18" s="1539"/>
      <c r="Y18" s="3278"/>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8"/>
      <c r="Q19" s="1536" t="str">
        <f>B19</f>
        <v>公共配套设施</v>
      </c>
      <c r="R19" s="714" t="s">
        <v>17</v>
      </c>
      <c r="S19" s="715">
        <f>F19</f>
        <v>100</v>
      </c>
      <c r="T19" s="714" t="s">
        <v>17</v>
      </c>
      <c r="U19" s="715">
        <f>H19</f>
        <v>100</v>
      </c>
      <c r="V19" s="714" t="s">
        <v>17</v>
      </c>
      <c r="W19" s="715">
        <f>J19</f>
        <v>100</v>
      </c>
      <c r="X19" s="1539"/>
      <c r="Y19" s="327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78"/>
      <c r="Q20" s="1536"/>
      <c r="R20" s="714"/>
      <c r="S20" s="715"/>
      <c r="T20" s="714"/>
      <c r="U20" s="715"/>
      <c r="V20" s="714"/>
      <c r="W20" s="715"/>
      <c r="X20" s="1539"/>
      <c r="Y20" s="3278"/>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8"/>
      <c r="Q21" s="1536" t="str">
        <f>B21</f>
        <v>基础设施水平</v>
      </c>
      <c r="R21" s="714" t="s">
        <v>17</v>
      </c>
      <c r="S21" s="715">
        <f>F21</f>
        <v>100</v>
      </c>
      <c r="T21" s="714" t="s">
        <v>17</v>
      </c>
      <c r="U21" s="715">
        <f>H21</f>
        <v>100</v>
      </c>
      <c r="V21" s="714" t="s">
        <v>17</v>
      </c>
      <c r="W21" s="715">
        <f>J21</f>
        <v>100</v>
      </c>
      <c r="X21" s="1539"/>
      <c r="Y21" s="327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78"/>
      <c r="Q22" s="1536"/>
      <c r="R22" s="714"/>
      <c r="S22" s="715"/>
      <c r="T22" s="714"/>
      <c r="U22" s="715"/>
      <c r="V22" s="714"/>
      <c r="W22" s="715"/>
      <c r="X22" s="1539"/>
      <c r="Y22" s="3278"/>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8"/>
      <c r="Q23" s="1536" t="str">
        <f>B23</f>
        <v>环境质量</v>
      </c>
      <c r="R23" s="714" t="s">
        <v>17</v>
      </c>
      <c r="S23" s="715">
        <f>F23</f>
        <v>100</v>
      </c>
      <c r="T23" s="714" t="s">
        <v>17</v>
      </c>
      <c r="U23" s="715">
        <f>H23</f>
        <v>100</v>
      </c>
      <c r="V23" s="714" t="s">
        <v>17</v>
      </c>
      <c r="W23" s="715">
        <f>J23</f>
        <v>100</v>
      </c>
      <c r="X23" s="1539"/>
      <c r="Y23" s="3278"/>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78"/>
      <c r="Q24" s="1536"/>
      <c r="R24" s="714"/>
      <c r="S24" s="715"/>
      <c r="T24" s="714"/>
      <c r="U24" s="715"/>
      <c r="V24" s="714"/>
      <c r="W24" s="715"/>
      <c r="X24" s="1539"/>
      <c r="Y24" s="327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8"/>
      <c r="Q25" s="1536">
        <f>B25</f>
        <v>111</v>
      </c>
      <c r="R25" s="714" t="s">
        <v>17</v>
      </c>
      <c r="S25" s="715">
        <f>F25</f>
        <v>100</v>
      </c>
      <c r="T25" s="714" t="s">
        <v>17</v>
      </c>
      <c r="U25" s="715">
        <f>H25</f>
        <v>100</v>
      </c>
      <c r="V25" s="714" t="s">
        <v>17</v>
      </c>
      <c r="W25" s="715">
        <f>J25</f>
        <v>100</v>
      </c>
      <c r="X25" s="1539"/>
      <c r="Y25" s="327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8"/>
      <c r="Q26" s="1536">
        <f t="shared" ref="Q26:Q40" si="11">B26</f>
        <v>111</v>
      </c>
      <c r="R26" s="714" t="s">
        <v>17</v>
      </c>
      <c r="S26" s="715">
        <f>F26</f>
        <v>100</v>
      </c>
      <c r="T26" s="714" t="s">
        <v>17</v>
      </c>
      <c r="U26" s="715">
        <f>H26</f>
        <v>100</v>
      </c>
      <c r="V26" s="714" t="s">
        <v>17</v>
      </c>
      <c r="W26" s="715">
        <f>J26</f>
        <v>100</v>
      </c>
      <c r="X26" s="1539"/>
      <c r="Y26" s="327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8"/>
      <c r="Q27" s="1527">
        <f t="shared" si="11"/>
        <v>111</v>
      </c>
      <c r="R27" s="710" t="s">
        <v>17</v>
      </c>
      <c r="S27" s="711">
        <f>F27</f>
        <v>100</v>
      </c>
      <c r="T27" s="710" t="s">
        <v>17</v>
      </c>
      <c r="U27" s="711">
        <f>H27</f>
        <v>100</v>
      </c>
      <c r="V27" s="710" t="s">
        <v>17</v>
      </c>
      <c r="W27" s="711">
        <f>J27</f>
        <v>100</v>
      </c>
      <c r="X27" s="712"/>
      <c r="Y27" s="327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8"/>
      <c r="Q28" s="1536">
        <f t="shared" si="11"/>
        <v>111</v>
      </c>
      <c r="R28" s="714" t="s">
        <v>17</v>
      </c>
      <c r="S28" s="715">
        <f t="shared" ref="S28:S40" si="12">F28</f>
        <v>100</v>
      </c>
      <c r="T28" s="714" t="s">
        <v>17</v>
      </c>
      <c r="U28" s="715">
        <f t="shared" ref="U28:U40" si="13">H28</f>
        <v>100</v>
      </c>
      <c r="V28" s="714" t="s">
        <v>17</v>
      </c>
      <c r="W28" s="715">
        <f t="shared" ref="W28:W40" si="14">J28</f>
        <v>100</v>
      </c>
      <c r="X28" s="1539"/>
      <c r="Y28" s="3278"/>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9" t="s">
        <v>2386</v>
      </c>
      <c r="Q29" s="1536" t="str">
        <f t="shared" si="11"/>
        <v>建筑类型</v>
      </c>
      <c r="R29" s="714" t="s">
        <v>17</v>
      </c>
      <c r="S29" s="715">
        <f t="shared" si="12"/>
        <v>100</v>
      </c>
      <c r="T29" s="714" t="s">
        <v>17</v>
      </c>
      <c r="U29" s="715">
        <f t="shared" si="13"/>
        <v>100</v>
      </c>
      <c r="V29" s="714" t="s">
        <v>17</v>
      </c>
      <c r="W29" s="715">
        <f t="shared" si="14"/>
        <v>100</v>
      </c>
      <c r="X29" s="1539"/>
      <c r="Y29" s="328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2"/>
      <c r="Q30" s="716" t="str">
        <f t="shared" si="11"/>
        <v>项目建筑规模</v>
      </c>
      <c r="R30" s="717" t="s">
        <v>17</v>
      </c>
      <c r="S30" s="718" t="e">
        <f t="shared" si="12"/>
        <v>#N/A</v>
      </c>
      <c r="T30" s="717" t="s">
        <v>17</v>
      </c>
      <c r="U30" s="718" t="e">
        <f t="shared" si="13"/>
        <v>#N/A</v>
      </c>
      <c r="V30" s="717" t="s">
        <v>17</v>
      </c>
      <c r="W30" s="718" t="e">
        <f t="shared" si="14"/>
        <v>#N/A</v>
      </c>
      <c r="X30" s="719"/>
      <c r="Y30" s="3282"/>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2"/>
      <c r="Q31" s="1536" t="str">
        <f t="shared" si="11"/>
        <v>建筑结构</v>
      </c>
      <c r="R31" s="714" t="s">
        <v>17</v>
      </c>
      <c r="S31" s="715">
        <f t="shared" si="12"/>
        <v>100</v>
      </c>
      <c r="T31" s="714" t="s">
        <v>17</v>
      </c>
      <c r="U31" s="715">
        <f t="shared" si="13"/>
        <v>100</v>
      </c>
      <c r="V31" s="714" t="s">
        <v>17</v>
      </c>
      <c r="W31" s="715">
        <f t="shared" si="14"/>
        <v>100</v>
      </c>
      <c r="X31" s="1539"/>
      <c r="Y31" s="328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2"/>
      <c r="Q32" s="1536" t="str">
        <f t="shared" si="11"/>
        <v>公共部分装修</v>
      </c>
      <c r="R32" s="714" t="s">
        <v>17</v>
      </c>
      <c r="S32" s="715">
        <f t="shared" si="12"/>
        <v>100</v>
      </c>
      <c r="T32" s="714" t="s">
        <v>17</v>
      </c>
      <c r="U32" s="715">
        <f t="shared" si="13"/>
        <v>100</v>
      </c>
      <c r="V32" s="714" t="s">
        <v>17</v>
      </c>
      <c r="W32" s="715">
        <f t="shared" si="14"/>
        <v>100</v>
      </c>
      <c r="X32" s="1539"/>
      <c r="Y32" s="328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2"/>
      <c r="Q33" s="1536" t="str">
        <f t="shared" si="11"/>
        <v>成新度</v>
      </c>
      <c r="R33" s="714" t="s">
        <v>17</v>
      </c>
      <c r="S33" s="715" t="e">
        <f t="shared" si="12"/>
        <v>#N/A</v>
      </c>
      <c r="T33" s="714" t="s">
        <v>17</v>
      </c>
      <c r="U33" s="715" t="e">
        <f t="shared" si="13"/>
        <v>#N/A</v>
      </c>
      <c r="V33" s="714" t="s">
        <v>17</v>
      </c>
      <c r="W33" s="715" t="e">
        <f t="shared" si="14"/>
        <v>#N/A</v>
      </c>
      <c r="X33" s="1539"/>
      <c r="Y33" s="328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2"/>
      <c r="Q34" s="1527" t="str">
        <f t="shared" si="11"/>
        <v>物业管理</v>
      </c>
      <c r="R34" s="710" t="s">
        <v>17</v>
      </c>
      <c r="S34" s="711">
        <f t="shared" si="12"/>
        <v>100</v>
      </c>
      <c r="T34" s="710" t="s">
        <v>17</v>
      </c>
      <c r="U34" s="711">
        <f t="shared" si="13"/>
        <v>100</v>
      </c>
      <c r="V34" s="710" t="s">
        <v>17</v>
      </c>
      <c r="W34" s="711">
        <f t="shared" si="14"/>
        <v>100</v>
      </c>
      <c r="X34" s="712"/>
      <c r="Y34" s="328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2" t="s">
        <v>2386</v>
      </c>
      <c r="Q35" s="1536" t="str">
        <f t="shared" si="11"/>
        <v>市政基础设施</v>
      </c>
      <c r="R35" s="714" t="s">
        <v>17</v>
      </c>
      <c r="S35" s="715">
        <f t="shared" si="12"/>
        <v>100</v>
      </c>
      <c r="T35" s="714" t="s">
        <v>17</v>
      </c>
      <c r="U35" s="715">
        <f t="shared" si="13"/>
        <v>100</v>
      </c>
      <c r="V35" s="714" t="s">
        <v>17</v>
      </c>
      <c r="W35" s="715">
        <f t="shared" si="14"/>
        <v>100</v>
      </c>
      <c r="X35" s="1539"/>
      <c r="Y35" s="328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2"/>
      <c r="Q36" s="1536" t="str">
        <f t="shared" si="11"/>
        <v>内部装修</v>
      </c>
      <c r="R36" s="714" t="s">
        <v>17</v>
      </c>
      <c r="S36" s="715">
        <f t="shared" si="12"/>
        <v>100</v>
      </c>
      <c r="T36" s="714" t="s">
        <v>17</v>
      </c>
      <c r="U36" s="715">
        <f t="shared" si="13"/>
        <v>100</v>
      </c>
      <c r="V36" s="714" t="s">
        <v>17</v>
      </c>
      <c r="W36" s="715">
        <f t="shared" si="14"/>
        <v>100</v>
      </c>
      <c r="X36" s="1539"/>
      <c r="Y36" s="328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2"/>
      <c r="Q37" s="1536" t="str">
        <f t="shared" si="11"/>
        <v>内部装修状况</v>
      </c>
      <c r="R37" s="714" t="s">
        <v>17</v>
      </c>
      <c r="S37" s="715">
        <f t="shared" si="12"/>
        <v>100</v>
      </c>
      <c r="T37" s="714" t="s">
        <v>17</v>
      </c>
      <c r="U37" s="715">
        <f t="shared" si="13"/>
        <v>100</v>
      </c>
      <c r="V37" s="714" t="s">
        <v>17</v>
      </c>
      <c r="W37" s="715">
        <f t="shared" si="14"/>
        <v>100</v>
      </c>
      <c r="X37" s="1539"/>
      <c r="Y37" s="328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2"/>
      <c r="Q38" s="716">
        <f t="shared" si="11"/>
        <v>111</v>
      </c>
      <c r="R38" s="717" t="s">
        <v>17</v>
      </c>
      <c r="S38" s="718">
        <f t="shared" si="12"/>
        <v>100</v>
      </c>
      <c r="T38" s="717" t="s">
        <v>17</v>
      </c>
      <c r="U38" s="718">
        <f t="shared" si="13"/>
        <v>100</v>
      </c>
      <c r="V38" s="717" t="s">
        <v>17</v>
      </c>
      <c r="W38" s="718">
        <f t="shared" si="14"/>
        <v>100</v>
      </c>
      <c r="X38" s="719"/>
      <c r="Y38" s="328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2"/>
      <c r="Q39" s="1536">
        <f t="shared" si="11"/>
        <v>111</v>
      </c>
      <c r="R39" s="714" t="s">
        <v>17</v>
      </c>
      <c r="S39" s="715">
        <f t="shared" si="12"/>
        <v>100</v>
      </c>
      <c r="T39" s="714" t="s">
        <v>17</v>
      </c>
      <c r="U39" s="715">
        <f t="shared" si="13"/>
        <v>100</v>
      </c>
      <c r="V39" s="714" t="s">
        <v>17</v>
      </c>
      <c r="W39" s="715">
        <f t="shared" si="14"/>
        <v>100</v>
      </c>
      <c r="X39" s="1539"/>
      <c r="Y39" s="328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3"/>
      <c r="Q40" s="1536">
        <f t="shared" si="11"/>
        <v>111</v>
      </c>
      <c r="R40" s="714" t="s">
        <v>17</v>
      </c>
      <c r="S40" s="715">
        <f t="shared" si="12"/>
        <v>100</v>
      </c>
      <c r="T40" s="714" t="s">
        <v>17</v>
      </c>
      <c r="U40" s="715">
        <f t="shared" si="13"/>
        <v>100</v>
      </c>
      <c r="V40" s="714" t="s">
        <v>17</v>
      </c>
      <c r="W40" s="715">
        <f t="shared" si="14"/>
        <v>100</v>
      </c>
      <c r="X40" s="1539"/>
      <c r="Y40" s="3283"/>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70" t="str">
        <f>A41</f>
        <v>成交单价（元/平方米）</v>
      </c>
      <c r="Q41" s="3270"/>
      <c r="R41" s="3271">
        <f>E41</f>
        <v>0</v>
      </c>
      <c r="S41" s="3271"/>
      <c r="T41" s="3271">
        <f>G41</f>
        <v>0</v>
      </c>
      <c r="U41" s="3271"/>
      <c r="V41" s="3271">
        <f>I41</f>
        <v>0</v>
      </c>
      <c r="W41" s="3271"/>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70" t="str">
        <f>A42</f>
        <v>比较价值（元/平方米）</v>
      </c>
      <c r="Q42" s="3270"/>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72" t="str">
        <f>A43</f>
        <v>估价对象XX用房的比较价值（楼面单价，元/平方米）</v>
      </c>
      <c r="Q43" s="3273"/>
      <c r="R43" s="3274" t="e">
        <f>IF(F1="售价",ROUND(IF(D42="简单平均",AVERAGE(R42:V42),R42*F42+T42*H42+V42*J42),0),ROUND(IF(D42="简单平均",AVERAGE(R42:V42),R42*F42+T42*H42+V42*J42),1))</f>
        <v>#DIV/0!</v>
      </c>
      <c r="S43" s="3274"/>
      <c r="T43" s="3274"/>
      <c r="U43" s="3274"/>
      <c r="V43" s="3274"/>
      <c r="W43" s="3274"/>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2021-10</v>
      </c>
      <c r="D52" s="1347">
        <f>EDATE(C52,-1)</f>
        <v>44440</v>
      </c>
      <c r="E52" s="1347">
        <f t="shared" ref="E52:O52" si="16">EDATE(D52,-1)</f>
        <v>44409</v>
      </c>
      <c r="F52" s="1347">
        <f t="shared" si="16"/>
        <v>44378</v>
      </c>
      <c r="G52" s="1347">
        <f t="shared" si="16"/>
        <v>44348</v>
      </c>
      <c r="H52" s="1347">
        <f t="shared" si="16"/>
        <v>44317</v>
      </c>
      <c r="I52" s="1347">
        <f t="shared" si="16"/>
        <v>44287</v>
      </c>
      <c r="J52" s="1347">
        <f t="shared" si="16"/>
        <v>44256</v>
      </c>
      <c r="K52" s="1347">
        <f t="shared" si="16"/>
        <v>44228</v>
      </c>
      <c r="L52" s="1347">
        <f t="shared" si="16"/>
        <v>44197</v>
      </c>
      <c r="M52" s="1347">
        <f t="shared" si="16"/>
        <v>44166</v>
      </c>
      <c r="N52" s="1347">
        <f t="shared" si="16"/>
        <v>44136</v>
      </c>
      <c r="O52" s="1347">
        <f t="shared" si="16"/>
        <v>44105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89" t="s">
        <v>2467</v>
      </c>
      <c r="D4" s="3290"/>
      <c r="E4" s="3291" t="s">
        <v>2468</v>
      </c>
      <c r="F4" s="3292"/>
      <c r="G4" s="3289" t="s">
        <v>2469</v>
      </c>
      <c r="H4" s="3290"/>
      <c r="I4" s="3289" t="s">
        <v>2470</v>
      </c>
      <c r="J4" s="3290"/>
      <c r="K4" s="567" t="s">
        <v>2471</v>
      </c>
      <c r="L4" s="2944"/>
      <c r="M4" s="2945"/>
      <c r="N4" s="2945"/>
      <c r="O4" s="2945"/>
      <c r="P4" s="3293" t="s">
        <v>2472</v>
      </c>
      <c r="Q4" s="3294"/>
      <c r="R4" s="3299" t="s">
        <v>2468</v>
      </c>
      <c r="S4" s="3300"/>
      <c r="T4" s="3299" t="s">
        <v>2469</v>
      </c>
      <c r="U4" s="3300"/>
      <c r="V4" s="3284" t="s">
        <v>2470</v>
      </c>
      <c r="W4" s="3284"/>
      <c r="X4" s="1539"/>
      <c r="Y4" s="3299" t="s">
        <v>2472</v>
      </c>
      <c r="Z4" s="3300"/>
      <c r="AA4" s="3286" t="s">
        <v>2468</v>
      </c>
      <c r="AB4" s="3287" t="s">
        <v>2469</v>
      </c>
      <c r="AC4" s="3286" t="s">
        <v>2470</v>
      </c>
    </row>
    <row r="5" spans="1:29"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4"/>
      <c r="W5" s="3284"/>
      <c r="X5" s="1539"/>
      <c r="Y5" s="3301"/>
      <c r="Z5" s="3302"/>
      <c r="AA5" s="3287"/>
      <c r="AB5" s="3287"/>
      <c r="AC5" s="3287"/>
    </row>
    <row r="6" spans="1:29" ht="15.75" thickBot="1">
      <c r="A6" s="366"/>
      <c r="B6" s="367"/>
      <c r="C6" s="3305" t="s">
        <v>2367</v>
      </c>
      <c r="D6" s="3306"/>
      <c r="E6" s="3312" t="s">
        <v>2367</v>
      </c>
      <c r="F6" s="3313"/>
      <c r="G6" s="3305" t="s">
        <v>2367</v>
      </c>
      <c r="H6" s="3306"/>
      <c r="I6" s="3305" t="s">
        <v>2367</v>
      </c>
      <c r="J6" s="3306"/>
      <c r="K6" s="567" t="s">
        <v>2368</v>
      </c>
      <c r="L6" s="2944"/>
      <c r="M6" s="2945"/>
      <c r="N6" s="2945"/>
      <c r="O6" s="2945"/>
      <c r="P6" s="3297"/>
      <c r="Q6" s="3298"/>
      <c r="R6" s="3301"/>
      <c r="S6" s="3302"/>
      <c r="T6" s="3303"/>
      <c r="U6" s="3304"/>
      <c r="V6" s="3284"/>
      <c r="W6" s="3284"/>
      <c r="X6" s="1539"/>
      <c r="Y6" s="3303"/>
      <c r="Z6" s="3304"/>
      <c r="AA6" s="3288"/>
      <c r="AB6" s="3288"/>
      <c r="AC6" s="3288"/>
    </row>
    <row r="7" spans="1:29" s="113" customFormat="1" ht="15.75" thickBot="1">
      <c r="A7" s="368" t="s">
        <v>2369</v>
      </c>
      <c r="B7" s="369"/>
      <c r="C7" s="370">
        <f>'数据-取费表'!B2</f>
        <v>44487</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09" t="s">
        <v>2370</v>
      </c>
      <c r="Q7" s="3311"/>
      <c r="R7" s="710" t="s">
        <v>17</v>
      </c>
      <c r="S7" s="711">
        <f t="shared" ref="S7:S14" si="0">F7</f>
        <v>0</v>
      </c>
      <c r="T7" s="710" t="s">
        <v>17</v>
      </c>
      <c r="U7" s="711">
        <f t="shared" ref="U7:U14" si="1">H7</f>
        <v>0</v>
      </c>
      <c r="V7" s="710" t="s">
        <v>17</v>
      </c>
      <c r="W7" s="711">
        <f t="shared" ref="W7:W14" si="2">J7</f>
        <v>0</v>
      </c>
      <c r="X7" s="712"/>
      <c r="Y7" s="3309" t="s">
        <v>2370</v>
      </c>
      <c r="Z7" s="331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09" t="s">
        <v>2373</v>
      </c>
      <c r="Q8" s="3310"/>
      <c r="R8" s="710" t="s">
        <v>17</v>
      </c>
      <c r="S8" s="711">
        <f t="shared" si="0"/>
        <v>0</v>
      </c>
      <c r="T8" s="710" t="s">
        <v>17</v>
      </c>
      <c r="U8" s="711">
        <f t="shared" si="1"/>
        <v>0</v>
      </c>
      <c r="V8" s="710" t="s">
        <v>17</v>
      </c>
      <c r="W8" s="711">
        <f t="shared" si="2"/>
        <v>0</v>
      </c>
      <c r="X8" s="712"/>
      <c r="Y8" s="3309" t="s">
        <v>2373</v>
      </c>
      <c r="Z8" s="331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70" t="s">
        <v>2376</v>
      </c>
      <c r="Q9" s="1527" t="str">
        <f t="shared" ref="Q9:Q14" si="6">B9</f>
        <v>用途</v>
      </c>
      <c r="R9" s="710" t="s">
        <v>17</v>
      </c>
      <c r="S9" s="711">
        <f t="shared" si="0"/>
        <v>100</v>
      </c>
      <c r="T9" s="710" t="s">
        <v>17</v>
      </c>
      <c r="U9" s="711">
        <f t="shared" si="1"/>
        <v>100</v>
      </c>
      <c r="V9" s="710" t="s">
        <v>17</v>
      </c>
      <c r="W9" s="711">
        <f t="shared" si="2"/>
        <v>100</v>
      </c>
      <c r="X9" s="712"/>
      <c r="Y9" s="3171"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70"/>
      <c r="Q10" s="1527"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70"/>
      <c r="Q11" s="1527">
        <f t="shared" si="6"/>
        <v>111</v>
      </c>
      <c r="R11" s="710" t="s">
        <v>17</v>
      </c>
      <c r="S11" s="711">
        <f t="shared" si="0"/>
        <v>100</v>
      </c>
      <c r="T11" s="710" t="s">
        <v>17</v>
      </c>
      <c r="U11" s="711">
        <f t="shared" si="1"/>
        <v>100</v>
      </c>
      <c r="V11" s="710" t="s">
        <v>17</v>
      </c>
      <c r="W11" s="711">
        <f t="shared" si="2"/>
        <v>100</v>
      </c>
      <c r="X11" s="712"/>
      <c r="Y11" s="317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70"/>
      <c r="Q12" s="1527">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70"/>
      <c r="Q13" s="1527">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77" t="s">
        <v>2381</v>
      </c>
      <c r="Q14" s="1536" t="str">
        <f t="shared" si="6"/>
        <v>交通便捷度</v>
      </c>
      <c r="R14" s="714" t="s">
        <v>17</v>
      </c>
      <c r="S14" s="715">
        <f t="shared" si="0"/>
        <v>100</v>
      </c>
      <c r="T14" s="714" t="s">
        <v>17</v>
      </c>
      <c r="U14" s="715">
        <f t="shared" si="1"/>
        <v>100</v>
      </c>
      <c r="V14" s="714" t="s">
        <v>17</v>
      </c>
      <c r="W14" s="715">
        <f t="shared" si="2"/>
        <v>100</v>
      </c>
      <c r="X14" s="1539"/>
      <c r="Y14" s="3277"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78"/>
      <c r="Q15" s="1536"/>
      <c r="R15" s="714"/>
      <c r="S15" s="715"/>
      <c r="T15" s="714"/>
      <c r="U15" s="715"/>
      <c r="V15" s="714"/>
      <c r="W15" s="715"/>
      <c r="X15" s="1539"/>
      <c r="Y15" s="3278"/>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78"/>
      <c r="Q16" s="1536" t="str">
        <f>B16</f>
        <v>公共配套设施</v>
      </c>
      <c r="R16" s="714" t="s">
        <v>17</v>
      </c>
      <c r="S16" s="715">
        <f>F16</f>
        <v>100</v>
      </c>
      <c r="T16" s="714" t="s">
        <v>17</v>
      </c>
      <c r="U16" s="715">
        <f>H16</f>
        <v>100</v>
      </c>
      <c r="V16" s="714" t="s">
        <v>17</v>
      </c>
      <c r="W16" s="715">
        <f>J16</f>
        <v>100</v>
      </c>
      <c r="X16" s="1539"/>
      <c r="Y16" s="327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78"/>
      <c r="Q17" s="1536"/>
      <c r="R17" s="714"/>
      <c r="S17" s="715"/>
      <c r="T17" s="714"/>
      <c r="U17" s="715"/>
      <c r="V17" s="714"/>
      <c r="W17" s="715"/>
      <c r="X17" s="1539"/>
      <c r="Y17" s="3278"/>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78"/>
      <c r="Q18" s="1536" t="str">
        <f>B18</f>
        <v>基础设施水平</v>
      </c>
      <c r="R18" s="714" t="s">
        <v>17</v>
      </c>
      <c r="S18" s="715">
        <f>F18</f>
        <v>100</v>
      </c>
      <c r="T18" s="714" t="s">
        <v>17</v>
      </c>
      <c r="U18" s="715">
        <f>H18</f>
        <v>100</v>
      </c>
      <c r="V18" s="714" t="s">
        <v>17</v>
      </c>
      <c r="W18" s="715">
        <f>J18</f>
        <v>100</v>
      </c>
      <c r="X18" s="1539"/>
      <c r="Y18" s="327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78"/>
      <c r="Q19" s="1536"/>
      <c r="R19" s="714"/>
      <c r="S19" s="715"/>
      <c r="T19" s="714"/>
      <c r="U19" s="715"/>
      <c r="V19" s="714"/>
      <c r="W19" s="715"/>
      <c r="X19" s="1539"/>
      <c r="Y19" s="3278"/>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78"/>
      <c r="Q20" s="1536" t="str">
        <f>B20</f>
        <v>自然及人文环境</v>
      </c>
      <c r="R20" s="714" t="s">
        <v>17</v>
      </c>
      <c r="S20" s="715">
        <f>F20</f>
        <v>100</v>
      </c>
      <c r="T20" s="714" t="s">
        <v>17</v>
      </c>
      <c r="U20" s="715">
        <f>H20</f>
        <v>100</v>
      </c>
      <c r="V20" s="714" t="s">
        <v>17</v>
      </c>
      <c r="W20" s="715">
        <f>J20</f>
        <v>100</v>
      </c>
      <c r="X20" s="1539"/>
      <c r="Y20" s="327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78"/>
      <c r="Q21" s="1536"/>
      <c r="R21" s="714"/>
      <c r="S21" s="715"/>
      <c r="T21" s="714"/>
      <c r="U21" s="715"/>
      <c r="V21" s="714"/>
      <c r="W21" s="715"/>
      <c r="X21" s="1539"/>
      <c r="Y21" s="3278"/>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78"/>
      <c r="Q22" s="1536" t="str">
        <f>B22</f>
        <v>楼层</v>
      </c>
      <c r="R22" s="714" t="s">
        <v>17</v>
      </c>
      <c r="S22" s="715">
        <f>F22</f>
        <v>100</v>
      </c>
      <c r="T22" s="714" t="s">
        <v>17</v>
      </c>
      <c r="U22" s="715">
        <f>H22</f>
        <v>100</v>
      </c>
      <c r="V22" s="714" t="s">
        <v>17</v>
      </c>
      <c r="W22" s="715">
        <f>J22</f>
        <v>100</v>
      </c>
      <c r="X22" s="1539"/>
      <c r="Y22" s="327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78"/>
      <c r="Q23" s="1536">
        <f>B23</f>
        <v>111</v>
      </c>
      <c r="R23" s="714" t="s">
        <v>17</v>
      </c>
      <c r="S23" s="715">
        <f>F23</f>
        <v>100</v>
      </c>
      <c r="T23" s="714" t="s">
        <v>17</v>
      </c>
      <c r="U23" s="715">
        <f>H23</f>
        <v>100</v>
      </c>
      <c r="V23" s="714" t="s">
        <v>17</v>
      </c>
      <c r="W23" s="715">
        <f>J23</f>
        <v>100</v>
      </c>
      <c r="X23" s="1539"/>
      <c r="Y23" s="327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78"/>
      <c r="Q24" s="1536">
        <f t="shared" ref="Q24:Q36" si="11">B24</f>
        <v>111</v>
      </c>
      <c r="R24" s="714" t="s">
        <v>17</v>
      </c>
      <c r="S24" s="715">
        <f>F24</f>
        <v>100</v>
      </c>
      <c r="T24" s="714" t="s">
        <v>17</v>
      </c>
      <c r="U24" s="715">
        <f>H24</f>
        <v>100</v>
      </c>
      <c r="V24" s="714" t="s">
        <v>17</v>
      </c>
      <c r="W24" s="715">
        <f>J24</f>
        <v>100</v>
      </c>
      <c r="X24" s="1539"/>
      <c r="Y24" s="327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78"/>
      <c r="Q25" s="1527">
        <f t="shared" si="11"/>
        <v>111</v>
      </c>
      <c r="R25" s="710" t="s">
        <v>17</v>
      </c>
      <c r="S25" s="711">
        <f>F25</f>
        <v>100</v>
      </c>
      <c r="T25" s="710" t="s">
        <v>17</v>
      </c>
      <c r="U25" s="711">
        <f>H25</f>
        <v>100</v>
      </c>
      <c r="V25" s="710" t="s">
        <v>17</v>
      </c>
      <c r="W25" s="711">
        <f>J25</f>
        <v>100</v>
      </c>
      <c r="X25" s="712"/>
      <c r="Y25" s="3278"/>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59"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82"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82"/>
      <c r="Q27" s="716" t="str">
        <f t="shared" si="11"/>
        <v>项目停车位配比</v>
      </c>
      <c r="R27" s="717" t="s">
        <v>17</v>
      </c>
      <c r="S27" s="718">
        <f t="shared" si="12"/>
        <v>100</v>
      </c>
      <c r="T27" s="717" t="s">
        <v>17</v>
      </c>
      <c r="U27" s="718">
        <f t="shared" si="13"/>
        <v>100</v>
      </c>
      <c r="V27" s="717" t="s">
        <v>17</v>
      </c>
      <c r="W27" s="718">
        <f t="shared" si="14"/>
        <v>100</v>
      </c>
      <c r="X27" s="719"/>
      <c r="Y27" s="3282"/>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82"/>
      <c r="Q28" s="1536" t="str">
        <f t="shared" si="11"/>
        <v>公共部分装修</v>
      </c>
      <c r="R28" s="714" t="s">
        <v>17</v>
      </c>
      <c r="S28" s="715">
        <f t="shared" si="12"/>
        <v>100</v>
      </c>
      <c r="T28" s="714" t="s">
        <v>17</v>
      </c>
      <c r="U28" s="715">
        <f t="shared" si="13"/>
        <v>100</v>
      </c>
      <c r="V28" s="714" t="s">
        <v>17</v>
      </c>
      <c r="W28" s="715">
        <f t="shared" si="14"/>
        <v>100</v>
      </c>
      <c r="X28" s="1539"/>
      <c r="Y28" s="3282"/>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82"/>
      <c r="Q29" s="1536" t="str">
        <f t="shared" si="11"/>
        <v>成新率</v>
      </c>
      <c r="R29" s="714" t="s">
        <v>17</v>
      </c>
      <c r="S29" s="715" t="e">
        <f t="shared" si="12"/>
        <v>#N/A</v>
      </c>
      <c r="T29" s="714" t="s">
        <v>17</v>
      </c>
      <c r="U29" s="715" t="e">
        <f t="shared" si="13"/>
        <v>#N/A</v>
      </c>
      <c r="V29" s="714" t="s">
        <v>17</v>
      </c>
      <c r="W29" s="715" t="e">
        <f t="shared" si="14"/>
        <v>#N/A</v>
      </c>
      <c r="X29" s="1539"/>
      <c r="Y29" s="3282"/>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82"/>
      <c r="Q30" s="1536" t="str">
        <f t="shared" si="11"/>
        <v>物业等级</v>
      </c>
      <c r="R30" s="714" t="s">
        <v>17</v>
      </c>
      <c r="S30" s="715">
        <f t="shared" si="12"/>
        <v>100</v>
      </c>
      <c r="T30" s="714" t="s">
        <v>17</v>
      </c>
      <c r="U30" s="715">
        <f t="shared" si="13"/>
        <v>100</v>
      </c>
      <c r="V30" s="714" t="s">
        <v>17</v>
      </c>
      <c r="W30" s="715">
        <f t="shared" si="14"/>
        <v>100</v>
      </c>
      <c r="X30" s="1539"/>
      <c r="Y30" s="3282"/>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82"/>
      <c r="Q31" s="1527" t="str">
        <f t="shared" si="11"/>
        <v>停车位面积</v>
      </c>
      <c r="R31" s="710" t="s">
        <v>17</v>
      </c>
      <c r="S31" s="711" t="e">
        <f t="shared" si="12"/>
        <v>#N/A</v>
      </c>
      <c r="T31" s="710" t="s">
        <v>17</v>
      </c>
      <c r="U31" s="711" t="e">
        <f t="shared" si="13"/>
        <v>#N/A</v>
      </c>
      <c r="V31" s="710" t="s">
        <v>17</v>
      </c>
      <c r="W31" s="711" t="e">
        <f t="shared" si="14"/>
        <v>#N/A</v>
      </c>
      <c r="X31" s="712"/>
      <c r="Y31" s="328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82" t="s">
        <v>2386</v>
      </c>
      <c r="Q32" s="1536" t="str">
        <f t="shared" si="11"/>
        <v>车位类型</v>
      </c>
      <c r="R32" s="714" t="s">
        <v>17</v>
      </c>
      <c r="S32" s="715">
        <f t="shared" si="12"/>
        <v>100</v>
      </c>
      <c r="T32" s="714" t="s">
        <v>17</v>
      </c>
      <c r="U32" s="715">
        <f t="shared" si="13"/>
        <v>100</v>
      </c>
      <c r="V32" s="714" t="s">
        <v>17</v>
      </c>
      <c r="W32" s="715">
        <f t="shared" si="14"/>
        <v>100</v>
      </c>
      <c r="X32" s="1539"/>
      <c r="Y32" s="3282"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82"/>
      <c r="Q33" s="1536" t="str">
        <f t="shared" si="11"/>
        <v>是否直接入户</v>
      </c>
      <c r="R33" s="714" t="s">
        <v>17</v>
      </c>
      <c r="S33" s="715">
        <f t="shared" si="12"/>
        <v>100</v>
      </c>
      <c r="T33" s="714" t="s">
        <v>17</v>
      </c>
      <c r="U33" s="715">
        <f t="shared" si="13"/>
        <v>100</v>
      </c>
      <c r="V33" s="714" t="s">
        <v>17</v>
      </c>
      <c r="W33" s="715">
        <f t="shared" si="14"/>
        <v>100</v>
      </c>
      <c r="X33" s="1539"/>
      <c r="Y33" s="328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82"/>
      <c r="Q34" s="1536">
        <f t="shared" si="11"/>
        <v>111</v>
      </c>
      <c r="R34" s="714" t="s">
        <v>17</v>
      </c>
      <c r="S34" s="715">
        <f t="shared" si="12"/>
        <v>100</v>
      </c>
      <c r="T34" s="714" t="s">
        <v>17</v>
      </c>
      <c r="U34" s="715">
        <f t="shared" si="13"/>
        <v>100</v>
      </c>
      <c r="V34" s="714" t="s">
        <v>17</v>
      </c>
      <c r="W34" s="715">
        <f t="shared" si="14"/>
        <v>100</v>
      </c>
      <c r="X34" s="1539"/>
      <c r="Y34" s="328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82"/>
      <c r="Q35" s="716">
        <f t="shared" si="11"/>
        <v>111</v>
      </c>
      <c r="R35" s="717" t="s">
        <v>17</v>
      </c>
      <c r="S35" s="718">
        <f t="shared" si="12"/>
        <v>100</v>
      </c>
      <c r="T35" s="717" t="s">
        <v>17</v>
      </c>
      <c r="U35" s="718">
        <f t="shared" si="13"/>
        <v>100</v>
      </c>
      <c r="V35" s="717" t="s">
        <v>17</v>
      </c>
      <c r="W35" s="718">
        <f t="shared" si="14"/>
        <v>100</v>
      </c>
      <c r="X35" s="719"/>
      <c r="Y35" s="328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82"/>
      <c r="Q36" s="1536">
        <f t="shared" si="11"/>
        <v>111</v>
      </c>
      <c r="R36" s="714" t="s">
        <v>17</v>
      </c>
      <c r="S36" s="715">
        <f t="shared" si="12"/>
        <v>100</v>
      </c>
      <c r="T36" s="714" t="s">
        <v>17</v>
      </c>
      <c r="U36" s="715">
        <f t="shared" si="13"/>
        <v>100</v>
      </c>
      <c r="V36" s="714" t="s">
        <v>17</v>
      </c>
      <c r="W36" s="715">
        <f t="shared" si="14"/>
        <v>100</v>
      </c>
      <c r="X36" s="1539"/>
      <c r="Y36" s="3282"/>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70" t="str">
        <f>A37</f>
        <v>成交单价</v>
      </c>
      <c r="Q37" s="3270"/>
      <c r="R37" s="3271">
        <f>E37</f>
        <v>0</v>
      </c>
      <c r="S37" s="3271"/>
      <c r="T37" s="3271">
        <f>G37</f>
        <v>0</v>
      </c>
      <c r="U37" s="3271"/>
      <c r="V37" s="3271">
        <f>I37</f>
        <v>0</v>
      </c>
      <c r="W37" s="3271"/>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70" t="str">
        <f>A38</f>
        <v>比较价值（元/平方米）</v>
      </c>
      <c r="Q38" s="3270"/>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72" t="str">
        <f>A39</f>
        <v>估价对象XX用房的比较价值（楼面单价，元/平方米）</v>
      </c>
      <c r="Q39" s="3273"/>
      <c r="R39" s="3360" t="e">
        <f>IF(F1="售价",ROUND(IF(D38="简单平均",AVERAGE(R38:W38),R38*F38+T38*H38+V38*J38),0),ROUND(IF(D38="简单平均",AVERAGE(R38:V38),R38*F38+T38*H38+V38*J38),1))</f>
        <v>#DIV/0!</v>
      </c>
      <c r="S39" s="3360"/>
      <c r="T39" s="3360"/>
      <c r="U39" s="3360"/>
      <c r="V39" s="3360"/>
      <c r="W39" s="3360"/>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2021-10</v>
      </c>
      <c r="D48" s="1347">
        <f>EDATE(C48,-1)</f>
        <v>44440</v>
      </c>
      <c r="E48" s="1347">
        <f t="shared" ref="E48:O48" si="16">EDATE(D48,-1)</f>
        <v>44409</v>
      </c>
      <c r="F48" s="1347">
        <f t="shared" si="16"/>
        <v>44378</v>
      </c>
      <c r="G48" s="1347">
        <f t="shared" si="16"/>
        <v>44348</v>
      </c>
      <c r="H48" s="1347">
        <f t="shared" si="16"/>
        <v>44317</v>
      </c>
      <c r="I48" s="1347">
        <f t="shared" si="16"/>
        <v>44287</v>
      </c>
      <c r="J48" s="1347">
        <f t="shared" si="16"/>
        <v>44256</v>
      </c>
      <c r="K48" s="1347">
        <f t="shared" si="16"/>
        <v>44228</v>
      </c>
      <c r="L48" s="1347">
        <f t="shared" si="16"/>
        <v>44197</v>
      </c>
      <c r="M48" s="1347">
        <f t="shared" si="16"/>
        <v>44166</v>
      </c>
      <c r="N48" s="1347">
        <f t="shared" si="16"/>
        <v>44136</v>
      </c>
      <c r="O48" s="1347">
        <f t="shared" si="16"/>
        <v>44105</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89" t="s">
        <v>2467</v>
      </c>
      <c r="D4" s="3290"/>
      <c r="E4" s="3291" t="s">
        <v>2468</v>
      </c>
      <c r="F4" s="3292"/>
      <c r="G4" s="3289" t="s">
        <v>2469</v>
      </c>
      <c r="H4" s="3290"/>
      <c r="I4" s="3289" t="s">
        <v>2470</v>
      </c>
      <c r="J4" s="3290"/>
      <c r="K4" s="567" t="s">
        <v>2471</v>
      </c>
      <c r="L4" s="2944"/>
      <c r="M4" s="2945"/>
      <c r="N4" s="2945"/>
      <c r="O4" s="2945"/>
      <c r="P4" s="3293" t="s">
        <v>2472</v>
      </c>
      <c r="Q4" s="3294"/>
      <c r="R4" s="3299" t="s">
        <v>2468</v>
      </c>
      <c r="S4" s="3300"/>
      <c r="T4" s="3299" t="s">
        <v>2469</v>
      </c>
      <c r="U4" s="3300"/>
      <c r="V4" s="3284" t="s">
        <v>2470</v>
      </c>
      <c r="W4" s="3284"/>
      <c r="X4" s="1539"/>
      <c r="Y4" s="3299" t="s">
        <v>2472</v>
      </c>
      <c r="Z4" s="3300"/>
      <c r="AA4" s="3286" t="s">
        <v>2468</v>
      </c>
      <c r="AB4" s="3287" t="s">
        <v>2469</v>
      </c>
      <c r="AC4" s="3286" t="s">
        <v>2470</v>
      </c>
    </row>
    <row r="5" spans="1:29"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4"/>
      <c r="W5" s="3284"/>
      <c r="X5" s="1539"/>
      <c r="Y5" s="3301"/>
      <c r="Z5" s="3302"/>
      <c r="AA5" s="3287"/>
      <c r="AB5" s="3287"/>
      <c r="AC5" s="3287"/>
    </row>
    <row r="6" spans="1:29" ht="15.75" thickBot="1">
      <c r="A6" s="366"/>
      <c r="B6" s="367"/>
      <c r="C6" s="3305" t="s">
        <v>2367</v>
      </c>
      <c r="D6" s="3306"/>
      <c r="E6" s="3312" t="s">
        <v>2367</v>
      </c>
      <c r="F6" s="3313"/>
      <c r="G6" s="3305" t="s">
        <v>2367</v>
      </c>
      <c r="H6" s="3306"/>
      <c r="I6" s="3305" t="s">
        <v>2367</v>
      </c>
      <c r="J6" s="3306"/>
      <c r="K6" s="567" t="s">
        <v>2368</v>
      </c>
      <c r="L6" s="2944"/>
      <c r="M6" s="2945"/>
      <c r="N6" s="2945"/>
      <c r="O6" s="2945"/>
      <c r="P6" s="3297"/>
      <c r="Q6" s="3298"/>
      <c r="R6" s="3301"/>
      <c r="S6" s="3302"/>
      <c r="T6" s="3303"/>
      <c r="U6" s="3304"/>
      <c r="V6" s="3284"/>
      <c r="W6" s="3284"/>
      <c r="X6" s="1539"/>
      <c r="Y6" s="3303"/>
      <c r="Z6" s="3304"/>
      <c r="AA6" s="3288"/>
      <c r="AB6" s="3288"/>
      <c r="AC6" s="3288"/>
    </row>
    <row r="7" spans="1:29" s="113" customFormat="1" ht="15.75" thickBot="1">
      <c r="A7" s="368" t="s">
        <v>2369</v>
      </c>
      <c r="B7" s="369"/>
      <c r="C7" s="370">
        <f>'数据-取费表'!B2</f>
        <v>44487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09" t="s">
        <v>2370</v>
      </c>
      <c r="Q7" s="3311"/>
      <c r="R7" s="710" t="s">
        <v>17</v>
      </c>
      <c r="S7" s="711">
        <f t="shared" ref="S7:S14" si="0">F7</f>
        <v>0</v>
      </c>
      <c r="T7" s="710" t="s">
        <v>17</v>
      </c>
      <c r="U7" s="711">
        <f t="shared" ref="U7:U14" si="1">H7</f>
        <v>0</v>
      </c>
      <c r="V7" s="710" t="s">
        <v>17</v>
      </c>
      <c r="W7" s="711">
        <f t="shared" ref="W7:W14" si="2">J7</f>
        <v>0</v>
      </c>
      <c r="X7" s="712"/>
      <c r="Y7" s="3309" t="s">
        <v>2370</v>
      </c>
      <c r="Z7" s="331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09" t="s">
        <v>2373</v>
      </c>
      <c r="Q8" s="3310"/>
      <c r="R8" s="710" t="s">
        <v>17</v>
      </c>
      <c r="S8" s="711">
        <f t="shared" si="0"/>
        <v>0</v>
      </c>
      <c r="T8" s="710" t="s">
        <v>17</v>
      </c>
      <c r="U8" s="711">
        <f t="shared" si="1"/>
        <v>0</v>
      </c>
      <c r="V8" s="710" t="s">
        <v>17</v>
      </c>
      <c r="W8" s="711">
        <f t="shared" si="2"/>
        <v>0</v>
      </c>
      <c r="X8" s="712"/>
      <c r="Y8" s="3309" t="s">
        <v>2373</v>
      </c>
      <c r="Z8" s="331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70" t="s">
        <v>2376</v>
      </c>
      <c r="Q9" s="1527" t="str">
        <f t="shared" ref="Q9:Q14" si="6">B9</f>
        <v>用途</v>
      </c>
      <c r="R9" s="710" t="s">
        <v>17</v>
      </c>
      <c r="S9" s="711">
        <f t="shared" si="0"/>
        <v>100</v>
      </c>
      <c r="T9" s="710" t="s">
        <v>17</v>
      </c>
      <c r="U9" s="711">
        <f t="shared" si="1"/>
        <v>100</v>
      </c>
      <c r="V9" s="710" t="s">
        <v>17</v>
      </c>
      <c r="W9" s="711">
        <f t="shared" si="2"/>
        <v>100</v>
      </c>
      <c r="X9" s="712"/>
      <c r="Y9" s="3171"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70"/>
      <c r="Q10" s="1527"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70"/>
      <c r="Q11" s="1527">
        <f t="shared" si="6"/>
        <v>111</v>
      </c>
      <c r="R11" s="710" t="s">
        <v>17</v>
      </c>
      <c r="S11" s="711">
        <f t="shared" si="0"/>
        <v>100</v>
      </c>
      <c r="T11" s="710" t="s">
        <v>17</v>
      </c>
      <c r="U11" s="711">
        <f t="shared" si="1"/>
        <v>100</v>
      </c>
      <c r="V11" s="710" t="s">
        <v>17</v>
      </c>
      <c r="W11" s="711">
        <f t="shared" si="2"/>
        <v>100</v>
      </c>
      <c r="X11" s="712"/>
      <c r="Y11" s="3171"/>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70"/>
      <c r="Q12" s="1527">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70"/>
      <c r="Q13" s="1527">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77" t="s">
        <v>2381</v>
      </c>
      <c r="Q14" s="1536" t="str">
        <f t="shared" si="6"/>
        <v>交通便捷度</v>
      </c>
      <c r="R14" s="714" t="s">
        <v>17</v>
      </c>
      <c r="S14" s="715">
        <f t="shared" si="0"/>
        <v>100</v>
      </c>
      <c r="T14" s="714" t="s">
        <v>17</v>
      </c>
      <c r="U14" s="715">
        <f t="shared" si="1"/>
        <v>100</v>
      </c>
      <c r="V14" s="714" t="s">
        <v>17</v>
      </c>
      <c r="W14" s="715">
        <f t="shared" si="2"/>
        <v>100</v>
      </c>
      <c r="X14" s="1539"/>
      <c r="Y14" s="3277"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78"/>
      <c r="Q15" s="1536"/>
      <c r="R15" s="714"/>
      <c r="S15" s="715"/>
      <c r="T15" s="714"/>
      <c r="U15" s="715"/>
      <c r="V15" s="714"/>
      <c r="W15" s="715"/>
      <c r="X15" s="1539"/>
      <c r="Y15" s="3278"/>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78"/>
      <c r="Q16" s="1536" t="str">
        <f>B16</f>
        <v>公共配套设施</v>
      </c>
      <c r="R16" s="714" t="s">
        <v>17</v>
      </c>
      <c r="S16" s="715">
        <f>F16</f>
        <v>100</v>
      </c>
      <c r="T16" s="714" t="s">
        <v>17</v>
      </c>
      <c r="U16" s="715">
        <f>H16</f>
        <v>100</v>
      </c>
      <c r="V16" s="714" t="s">
        <v>17</v>
      </c>
      <c r="W16" s="715">
        <f>J16</f>
        <v>100</v>
      </c>
      <c r="X16" s="1539"/>
      <c r="Y16" s="327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78"/>
      <c r="Q17" s="1536"/>
      <c r="R17" s="714"/>
      <c r="S17" s="715"/>
      <c r="T17" s="714"/>
      <c r="U17" s="715"/>
      <c r="V17" s="714"/>
      <c r="W17" s="715"/>
      <c r="X17" s="1539"/>
      <c r="Y17" s="3278"/>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78"/>
      <c r="Q18" s="1536" t="str">
        <f>B18</f>
        <v>基础设施水平</v>
      </c>
      <c r="R18" s="714" t="s">
        <v>17</v>
      </c>
      <c r="S18" s="715">
        <f>F18</f>
        <v>100</v>
      </c>
      <c r="T18" s="714" t="s">
        <v>17</v>
      </c>
      <c r="U18" s="715">
        <f>H18</f>
        <v>100</v>
      </c>
      <c r="V18" s="714" t="s">
        <v>17</v>
      </c>
      <c r="W18" s="715">
        <f>J18</f>
        <v>100</v>
      </c>
      <c r="X18" s="1539"/>
      <c r="Y18" s="3278"/>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78"/>
      <c r="Q19" s="1536"/>
      <c r="R19" s="714"/>
      <c r="S19" s="715"/>
      <c r="T19" s="714"/>
      <c r="U19" s="715"/>
      <c r="V19" s="714"/>
      <c r="W19" s="715"/>
      <c r="X19" s="1539"/>
      <c r="Y19" s="3278"/>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78"/>
      <c r="Q20" s="1536" t="str">
        <f>B20</f>
        <v>自然及人文环境</v>
      </c>
      <c r="R20" s="714" t="s">
        <v>17</v>
      </c>
      <c r="S20" s="715">
        <f>F20</f>
        <v>100</v>
      </c>
      <c r="T20" s="714" t="s">
        <v>17</v>
      </c>
      <c r="U20" s="715">
        <f>H20</f>
        <v>100</v>
      </c>
      <c r="V20" s="714" t="s">
        <v>17</v>
      </c>
      <c r="W20" s="715">
        <f>J20</f>
        <v>100</v>
      </c>
      <c r="X20" s="1539"/>
      <c r="Y20" s="327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78"/>
      <c r="Q21" s="1536"/>
      <c r="R21" s="714"/>
      <c r="S21" s="715"/>
      <c r="T21" s="714"/>
      <c r="U21" s="715"/>
      <c r="V21" s="714"/>
      <c r="W21" s="715"/>
      <c r="X21" s="1539"/>
      <c r="Y21" s="3278"/>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78"/>
      <c r="Q22" s="1536" t="str">
        <f>B22</f>
        <v>楼层</v>
      </c>
      <c r="R22" s="714" t="s">
        <v>17</v>
      </c>
      <c r="S22" s="715">
        <f>F22</f>
        <v>100</v>
      </c>
      <c r="T22" s="714" t="s">
        <v>17</v>
      </c>
      <c r="U22" s="715">
        <f>H22</f>
        <v>100</v>
      </c>
      <c r="V22" s="714" t="s">
        <v>17</v>
      </c>
      <c r="W22" s="715">
        <f>J22</f>
        <v>100</v>
      </c>
      <c r="X22" s="1539"/>
      <c r="Y22" s="327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78"/>
      <c r="Q23" s="1536">
        <f>B23</f>
        <v>111</v>
      </c>
      <c r="R23" s="714" t="s">
        <v>17</v>
      </c>
      <c r="S23" s="715">
        <f>F23</f>
        <v>100</v>
      </c>
      <c r="T23" s="714" t="s">
        <v>17</v>
      </c>
      <c r="U23" s="715">
        <f>H23</f>
        <v>100</v>
      </c>
      <c r="V23" s="714" t="s">
        <v>17</v>
      </c>
      <c r="W23" s="715">
        <f>J23</f>
        <v>100</v>
      </c>
      <c r="X23" s="1539"/>
      <c r="Y23" s="327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78"/>
      <c r="Q24" s="1536">
        <f t="shared" ref="Q24:Q34" si="11">B24</f>
        <v>111</v>
      </c>
      <c r="R24" s="714" t="s">
        <v>17</v>
      </c>
      <c r="S24" s="715">
        <f>F24</f>
        <v>100</v>
      </c>
      <c r="T24" s="714" t="s">
        <v>17</v>
      </c>
      <c r="U24" s="715">
        <f>H24</f>
        <v>100</v>
      </c>
      <c r="V24" s="714" t="s">
        <v>17</v>
      </c>
      <c r="W24" s="715">
        <f>J24</f>
        <v>100</v>
      </c>
      <c r="X24" s="1539"/>
      <c r="Y24" s="327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78"/>
      <c r="Q25" s="1527">
        <f t="shared" si="11"/>
        <v>111</v>
      </c>
      <c r="R25" s="710" t="s">
        <v>17</v>
      </c>
      <c r="S25" s="711">
        <f>F25</f>
        <v>100</v>
      </c>
      <c r="T25" s="710" t="s">
        <v>17</v>
      </c>
      <c r="U25" s="711">
        <f>H25</f>
        <v>100</v>
      </c>
      <c r="V25" s="710" t="s">
        <v>17</v>
      </c>
      <c r="W25" s="711">
        <f>J25</f>
        <v>100</v>
      </c>
      <c r="X25" s="712"/>
      <c r="Y25" s="3278"/>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59"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8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82"/>
      <c r="Q27" s="716" t="str">
        <f t="shared" si="11"/>
        <v>成新率</v>
      </c>
      <c r="R27" s="717" t="s">
        <v>17</v>
      </c>
      <c r="S27" s="718" t="e">
        <f t="shared" si="12"/>
        <v>#N/A</v>
      </c>
      <c r="T27" s="717" t="s">
        <v>17</v>
      </c>
      <c r="U27" s="718" t="e">
        <f t="shared" si="13"/>
        <v>#N/A</v>
      </c>
      <c r="V27" s="717" t="s">
        <v>17</v>
      </c>
      <c r="W27" s="718" t="e">
        <f t="shared" si="14"/>
        <v>#N/A</v>
      </c>
      <c r="X27" s="719"/>
      <c r="Y27" s="3282"/>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82"/>
      <c r="Q28" s="1536" t="str">
        <f t="shared" si="11"/>
        <v>物业等级</v>
      </c>
      <c r="R28" s="714" t="s">
        <v>17</v>
      </c>
      <c r="S28" s="715">
        <f t="shared" si="12"/>
        <v>100</v>
      </c>
      <c r="T28" s="714" t="s">
        <v>17</v>
      </c>
      <c r="U28" s="715">
        <f t="shared" si="13"/>
        <v>100</v>
      </c>
      <c r="V28" s="714" t="s">
        <v>17</v>
      </c>
      <c r="W28" s="715">
        <f t="shared" si="14"/>
        <v>100</v>
      </c>
      <c r="X28" s="1539"/>
      <c r="Y28" s="3282"/>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82"/>
      <c r="Q29" s="1536" t="str">
        <f t="shared" si="11"/>
        <v>有无电梯</v>
      </c>
      <c r="R29" s="714" t="s">
        <v>17</v>
      </c>
      <c r="S29" s="715">
        <f t="shared" si="12"/>
        <v>100</v>
      </c>
      <c r="T29" s="714" t="s">
        <v>17</v>
      </c>
      <c r="U29" s="715">
        <f t="shared" si="13"/>
        <v>100</v>
      </c>
      <c r="V29" s="714" t="s">
        <v>17</v>
      </c>
      <c r="W29" s="715">
        <f t="shared" si="14"/>
        <v>100</v>
      </c>
      <c r="X29" s="1539"/>
      <c r="Y29" s="3282"/>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82"/>
      <c r="Q30" s="1536" t="str">
        <f t="shared" si="11"/>
        <v>建筑面积</v>
      </c>
      <c r="R30" s="714" t="s">
        <v>17</v>
      </c>
      <c r="S30" s="715" t="e">
        <f t="shared" si="12"/>
        <v>#N/A</v>
      </c>
      <c r="T30" s="714" t="s">
        <v>17</v>
      </c>
      <c r="U30" s="715" t="e">
        <f t="shared" si="13"/>
        <v>#N/A</v>
      </c>
      <c r="V30" s="714" t="s">
        <v>17</v>
      </c>
      <c r="W30" s="715" t="e">
        <f t="shared" si="14"/>
        <v>#N/A</v>
      </c>
      <c r="X30" s="1539"/>
      <c r="Y30" s="3282"/>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82"/>
      <c r="Q31" s="1527" t="str">
        <f t="shared" si="11"/>
        <v>是否封闭</v>
      </c>
      <c r="R31" s="710" t="s">
        <v>17</v>
      </c>
      <c r="S31" s="711">
        <f t="shared" si="12"/>
        <v>100</v>
      </c>
      <c r="T31" s="710" t="s">
        <v>17</v>
      </c>
      <c r="U31" s="711">
        <f t="shared" si="13"/>
        <v>100</v>
      </c>
      <c r="V31" s="710" t="s">
        <v>17</v>
      </c>
      <c r="W31" s="711">
        <f t="shared" si="14"/>
        <v>100</v>
      </c>
      <c r="X31" s="712"/>
      <c r="Y31" s="328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82" t="s">
        <v>2386</v>
      </c>
      <c r="Q32" s="1536">
        <f t="shared" si="11"/>
        <v>111</v>
      </c>
      <c r="R32" s="714" t="s">
        <v>17</v>
      </c>
      <c r="S32" s="715">
        <f t="shared" si="12"/>
        <v>100</v>
      </c>
      <c r="T32" s="714" t="s">
        <v>17</v>
      </c>
      <c r="U32" s="715">
        <f t="shared" si="13"/>
        <v>100</v>
      </c>
      <c r="V32" s="714" t="s">
        <v>17</v>
      </c>
      <c r="W32" s="715">
        <f t="shared" si="14"/>
        <v>100</v>
      </c>
      <c r="X32" s="1539"/>
      <c r="Y32" s="3282"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82"/>
      <c r="Q33" s="1536">
        <f t="shared" si="11"/>
        <v>111</v>
      </c>
      <c r="R33" s="714" t="s">
        <v>17</v>
      </c>
      <c r="S33" s="715">
        <f t="shared" si="12"/>
        <v>100</v>
      </c>
      <c r="T33" s="714" t="s">
        <v>17</v>
      </c>
      <c r="U33" s="715">
        <f t="shared" si="13"/>
        <v>100</v>
      </c>
      <c r="V33" s="714" t="s">
        <v>17</v>
      </c>
      <c r="W33" s="715">
        <f t="shared" si="14"/>
        <v>100</v>
      </c>
      <c r="X33" s="1539"/>
      <c r="Y33" s="328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82"/>
      <c r="Q34" s="1536">
        <f t="shared" si="11"/>
        <v>111</v>
      </c>
      <c r="R34" s="714" t="s">
        <v>17</v>
      </c>
      <c r="S34" s="715">
        <f t="shared" si="12"/>
        <v>100</v>
      </c>
      <c r="T34" s="714" t="s">
        <v>17</v>
      </c>
      <c r="U34" s="715">
        <f t="shared" si="13"/>
        <v>100</v>
      </c>
      <c r="V34" s="714" t="s">
        <v>17</v>
      </c>
      <c r="W34" s="715">
        <f t="shared" si="14"/>
        <v>100</v>
      </c>
      <c r="X34" s="1539"/>
      <c r="Y34" s="3282"/>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70" t="str">
        <f>A35</f>
        <v>成交单价（元/平方米）</v>
      </c>
      <c r="Q35" s="3270"/>
      <c r="R35" s="3271">
        <f>E35</f>
        <v>0</v>
      </c>
      <c r="S35" s="3271"/>
      <c r="T35" s="3271">
        <f>G35</f>
        <v>0</v>
      </c>
      <c r="U35" s="3271"/>
      <c r="V35" s="3271">
        <f>I35</f>
        <v>0</v>
      </c>
      <c r="W35" s="3271"/>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70" t="str">
        <f>A36</f>
        <v>比较价值（元/平方米）</v>
      </c>
      <c r="Q36" s="3270"/>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72" t="str">
        <f>A37</f>
        <v>估价对象XX用房的比较价值（楼面单价，元/平方米）</v>
      </c>
      <c r="Q37" s="3273"/>
      <c r="R37" s="3360" t="e">
        <f>IF(F1="售价",ROUND(IF(D36="简单平均",AVERAGE(R36:W36),R36*F36+T36*H36+V36*J36),0),ROUND(IF(D36="简单平均",AVERAGE(R36:V36),R36*F36+T36*H36+V36*J36),1))</f>
        <v>#DIV/0!</v>
      </c>
      <c r="S37" s="3360"/>
      <c r="T37" s="3360"/>
      <c r="U37" s="3360"/>
      <c r="V37" s="3360"/>
      <c r="W37" s="3360"/>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2021-10</v>
      </c>
      <c r="D46" s="1347">
        <f>EDATE(C46,-1)</f>
        <v>44440</v>
      </c>
      <c r="E46" s="1347">
        <f t="shared" ref="E46:O46" si="16">EDATE(D46,-1)</f>
        <v>44409</v>
      </c>
      <c r="F46" s="1347">
        <f t="shared" si="16"/>
        <v>44378</v>
      </c>
      <c r="G46" s="1347">
        <f t="shared" si="16"/>
        <v>44348</v>
      </c>
      <c r="H46" s="1347">
        <f t="shared" si="16"/>
        <v>44317</v>
      </c>
      <c r="I46" s="1347">
        <f t="shared" si="16"/>
        <v>44287</v>
      </c>
      <c r="J46" s="1347">
        <f t="shared" si="16"/>
        <v>44256</v>
      </c>
      <c r="K46" s="1347">
        <f t="shared" si="16"/>
        <v>44228</v>
      </c>
      <c r="L46" s="1347">
        <f t="shared" si="16"/>
        <v>44197</v>
      </c>
      <c r="M46" s="1347">
        <f t="shared" si="16"/>
        <v>44166</v>
      </c>
      <c r="N46" s="1347">
        <f t="shared" si="16"/>
        <v>44136</v>
      </c>
      <c r="O46" s="1347">
        <f t="shared" si="16"/>
        <v>44105</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Q27" sqref="Q2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89" t="s">
        <v>2467</v>
      </c>
      <c r="D4" s="3290"/>
      <c r="E4" s="3291" t="s">
        <v>2468</v>
      </c>
      <c r="F4" s="3292"/>
      <c r="G4" s="3289" t="s">
        <v>2469</v>
      </c>
      <c r="H4" s="3290"/>
      <c r="I4" s="3289" t="s">
        <v>2470</v>
      </c>
      <c r="J4" s="3290"/>
      <c r="K4" s="567" t="s">
        <v>2471</v>
      </c>
      <c r="L4" s="2944"/>
      <c r="M4" s="2945"/>
      <c r="N4" s="2945"/>
      <c r="O4" s="2945"/>
      <c r="P4" s="3293" t="s">
        <v>2472</v>
      </c>
      <c r="Q4" s="3294"/>
      <c r="R4" s="3299" t="s">
        <v>2468</v>
      </c>
      <c r="S4" s="3300"/>
      <c r="T4" s="3299" t="s">
        <v>2469</v>
      </c>
      <c r="U4" s="3300"/>
      <c r="V4" s="3284" t="s">
        <v>2470</v>
      </c>
      <c r="W4" s="3284"/>
      <c r="X4" s="1539"/>
      <c r="Y4" s="3299" t="s">
        <v>2472</v>
      </c>
      <c r="Z4" s="3300"/>
      <c r="AA4" s="3286" t="s">
        <v>2468</v>
      </c>
      <c r="AB4" s="3287" t="s">
        <v>2469</v>
      </c>
      <c r="AC4" s="3286" t="s">
        <v>2470</v>
      </c>
    </row>
    <row r="5" spans="1:30"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4"/>
      <c r="W5" s="3284"/>
      <c r="X5" s="1539"/>
      <c r="Y5" s="3301"/>
      <c r="Z5" s="3302"/>
      <c r="AA5" s="3287"/>
      <c r="AB5" s="3287"/>
      <c r="AC5" s="3287"/>
    </row>
    <row r="6" spans="1:30" ht="15.75" thickBot="1">
      <c r="A6" s="366"/>
      <c r="B6" s="367"/>
      <c r="C6" s="3305" t="s">
        <v>2367</v>
      </c>
      <c r="D6" s="3306"/>
      <c r="E6" s="3312" t="s">
        <v>2367</v>
      </c>
      <c r="F6" s="3313"/>
      <c r="G6" s="3305" t="s">
        <v>2367</v>
      </c>
      <c r="H6" s="3306"/>
      <c r="I6" s="3305" t="s">
        <v>2367</v>
      </c>
      <c r="J6" s="3306"/>
      <c r="K6" s="567" t="s">
        <v>2368</v>
      </c>
      <c r="L6" s="2944"/>
      <c r="M6" s="2945"/>
      <c r="N6" s="2945"/>
      <c r="O6" s="2945"/>
      <c r="P6" s="3297"/>
      <c r="Q6" s="3298"/>
      <c r="R6" s="3301"/>
      <c r="S6" s="3302"/>
      <c r="T6" s="3303"/>
      <c r="U6" s="3304"/>
      <c r="V6" s="3284"/>
      <c r="W6" s="3284"/>
      <c r="X6" s="1539"/>
      <c r="Y6" s="3303"/>
      <c r="Z6" s="3304"/>
      <c r="AA6" s="3288"/>
      <c r="AB6" s="3288"/>
      <c r="AC6" s="3288"/>
    </row>
    <row r="7" spans="1:30" s="113" customFormat="1" ht="15.75" thickBot="1">
      <c r="A7" s="368" t="s">
        <v>2369</v>
      </c>
      <c r="B7" s="369"/>
      <c r="C7" s="370">
        <f>'数据-取费表'!B2</f>
        <v>44487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09" t="s">
        <v>2370</v>
      </c>
      <c r="Q7" s="3311"/>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09" t="s">
        <v>2373</v>
      </c>
      <c r="Q8" s="3310"/>
      <c r="R8" s="710" t="s">
        <v>17</v>
      </c>
      <c r="S8" s="711">
        <f t="shared" si="0"/>
        <v>0</v>
      </c>
      <c r="T8" s="710" t="s">
        <v>17</v>
      </c>
      <c r="U8" s="711">
        <f t="shared" si="1"/>
        <v>0</v>
      </c>
      <c r="V8" s="710" t="s">
        <v>17</v>
      </c>
      <c r="W8" s="711">
        <f t="shared" si="2"/>
        <v>0</v>
      </c>
      <c r="X8" s="712"/>
      <c r="Y8" s="3309" t="s">
        <v>2373</v>
      </c>
      <c r="Z8" s="3310"/>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70" t="s">
        <v>2376</v>
      </c>
      <c r="Q9" s="1527" t="str">
        <f t="shared" ref="Q9:Q15" si="6">B9</f>
        <v>用途</v>
      </c>
      <c r="R9" s="710" t="s">
        <v>17</v>
      </c>
      <c r="S9" s="711">
        <f t="shared" si="0"/>
        <v>100</v>
      </c>
      <c r="T9" s="710" t="s">
        <v>17</v>
      </c>
      <c r="U9" s="711">
        <f t="shared" si="1"/>
        <v>100</v>
      </c>
      <c r="V9" s="710" t="s">
        <v>17</v>
      </c>
      <c r="W9" s="711">
        <f t="shared" si="2"/>
        <v>100</v>
      </c>
      <c r="X9" s="712"/>
      <c r="Y9" s="3171"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119</v>
      </c>
      <c r="G10" s="422"/>
      <c r="H10" s="132">
        <f>ROUND(100/'数据-取费表'!G16,0)</f>
        <v>119</v>
      </c>
      <c r="I10" s="422"/>
      <c r="J10" s="132">
        <f>ROUND(100/'数据-取费表'!G16,0)</f>
        <v>119</v>
      </c>
      <c r="K10" s="628"/>
      <c r="L10" s="2948"/>
      <c r="M10" s="2949"/>
      <c r="N10" s="2949"/>
      <c r="O10" s="3002"/>
      <c r="P10" s="3270"/>
      <c r="Q10" s="1527" t="str">
        <f t="shared" si="6"/>
        <v>土地使用年限（年）</v>
      </c>
      <c r="R10" s="710" t="s">
        <v>17</v>
      </c>
      <c r="S10" s="711">
        <f t="shared" si="0"/>
        <v>119</v>
      </c>
      <c r="T10" s="710" t="s">
        <v>17</v>
      </c>
      <c r="U10" s="711">
        <f t="shared" si="1"/>
        <v>119</v>
      </c>
      <c r="V10" s="710" t="s">
        <v>17</v>
      </c>
      <c r="W10" s="711">
        <f t="shared" si="2"/>
        <v>119</v>
      </c>
      <c r="X10" s="712"/>
      <c r="Y10" s="3171"/>
      <c r="Z10" s="55" t="str">
        <f t="shared" si="7"/>
        <v>土地使用年限（年）</v>
      </c>
      <c r="AA10" s="713">
        <f t="shared" si="3"/>
        <v>0.84033613445378152</v>
      </c>
      <c r="AB10" s="713">
        <f t="shared" si="4"/>
        <v>0.84033613445378152</v>
      </c>
      <c r="AC10" s="713">
        <f t="shared" si="5"/>
        <v>0.84033613445378152</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70"/>
      <c r="Q11" s="1527"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70"/>
      <c r="Q12" s="1527" t="str">
        <f t="shared" si="6"/>
        <v>配建</v>
      </c>
      <c r="R12" s="710" t="s">
        <v>17</v>
      </c>
      <c r="S12" s="711">
        <f t="shared" si="0"/>
        <v>100</v>
      </c>
      <c r="T12" s="710" t="s">
        <v>17</v>
      </c>
      <c r="U12" s="711">
        <f t="shared" si="1"/>
        <v>100</v>
      </c>
      <c r="V12" s="710" t="s">
        <v>17</v>
      </c>
      <c r="W12" s="711">
        <f t="shared" si="2"/>
        <v>100</v>
      </c>
      <c r="X12" s="712"/>
      <c r="Y12" s="3171"/>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70"/>
      <c r="Q13" s="1527">
        <f t="shared" si="6"/>
        <v>111</v>
      </c>
      <c r="R13" s="710" t="s">
        <v>17</v>
      </c>
      <c r="S13" s="711">
        <f t="shared" si="0"/>
        <v>100</v>
      </c>
      <c r="T13" s="710" t="s">
        <v>17</v>
      </c>
      <c r="U13" s="711">
        <f t="shared" si="1"/>
        <v>100</v>
      </c>
      <c r="V13" s="710" t="s">
        <v>17</v>
      </c>
      <c r="W13" s="711">
        <f t="shared" si="2"/>
        <v>100</v>
      </c>
      <c r="X13" s="712"/>
      <c r="Y13" s="3171"/>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70"/>
      <c r="Q14" s="1527">
        <f t="shared" si="6"/>
        <v>111</v>
      </c>
      <c r="R14" s="710" t="s">
        <v>17</v>
      </c>
      <c r="S14" s="711">
        <f t="shared" si="0"/>
        <v>100</v>
      </c>
      <c r="T14" s="710" t="s">
        <v>17</v>
      </c>
      <c r="U14" s="711">
        <f t="shared" si="1"/>
        <v>100</v>
      </c>
      <c r="V14" s="710" t="s">
        <v>17</v>
      </c>
      <c r="W14" s="711">
        <f t="shared" si="2"/>
        <v>100</v>
      </c>
      <c r="X14" s="712"/>
      <c r="Y14" s="3171"/>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77" t="s">
        <v>2381</v>
      </c>
      <c r="Q15" s="1536" t="str">
        <f t="shared" si="6"/>
        <v>居住社区成熟度</v>
      </c>
      <c r="R15" s="714" t="s">
        <v>17</v>
      </c>
      <c r="S15" s="715">
        <f t="shared" si="0"/>
        <v>100</v>
      </c>
      <c r="T15" s="714" t="s">
        <v>17</v>
      </c>
      <c r="U15" s="715">
        <f t="shared" si="1"/>
        <v>100</v>
      </c>
      <c r="V15" s="714" t="s">
        <v>17</v>
      </c>
      <c r="W15" s="715">
        <f t="shared" si="2"/>
        <v>100</v>
      </c>
      <c r="X15" s="1539"/>
      <c r="Y15" s="3277"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78"/>
      <c r="Q16" s="1536"/>
      <c r="R16" s="714"/>
      <c r="S16" s="715"/>
      <c r="T16" s="714"/>
      <c r="U16" s="715"/>
      <c r="V16" s="714"/>
      <c r="W16" s="715"/>
      <c r="X16" s="1539"/>
      <c r="Y16" s="3278"/>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78"/>
      <c r="Q17" s="1536" t="str">
        <f>B17</f>
        <v>商业繁华度</v>
      </c>
      <c r="R17" s="714" t="s">
        <v>17</v>
      </c>
      <c r="S17" s="715">
        <f>F17</f>
        <v>100</v>
      </c>
      <c r="T17" s="714" t="s">
        <v>17</v>
      </c>
      <c r="U17" s="715">
        <f>H17</f>
        <v>100</v>
      </c>
      <c r="V17" s="714" t="s">
        <v>17</v>
      </c>
      <c r="W17" s="715">
        <f>J17</f>
        <v>100</v>
      </c>
      <c r="X17" s="1539"/>
      <c r="Y17" s="327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78"/>
      <c r="Q18" s="1536"/>
      <c r="R18" s="714"/>
      <c r="S18" s="715"/>
      <c r="T18" s="714"/>
      <c r="U18" s="715"/>
      <c r="V18" s="714"/>
      <c r="W18" s="715"/>
      <c r="X18" s="1539"/>
      <c r="Y18" s="3278"/>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78"/>
      <c r="Q19" s="1536" t="str">
        <f>B19</f>
        <v>办公集聚程度</v>
      </c>
      <c r="R19" s="714" t="s">
        <v>17</v>
      </c>
      <c r="S19" s="715">
        <f>F19</f>
        <v>100</v>
      </c>
      <c r="T19" s="714" t="s">
        <v>17</v>
      </c>
      <c r="U19" s="715">
        <f>H19</f>
        <v>100</v>
      </c>
      <c r="V19" s="714" t="s">
        <v>17</v>
      </c>
      <c r="W19" s="715">
        <f>J19</f>
        <v>100</v>
      </c>
      <c r="X19" s="1539"/>
      <c r="Y19" s="327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78"/>
      <c r="Q20" s="1536"/>
      <c r="R20" s="714"/>
      <c r="S20" s="715"/>
      <c r="T20" s="714"/>
      <c r="U20" s="715"/>
      <c r="V20" s="714"/>
      <c r="W20" s="715"/>
      <c r="X20" s="1539"/>
      <c r="Y20" s="3278"/>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78"/>
      <c r="Q21" s="1536" t="str">
        <f>B21</f>
        <v>交通便捷度</v>
      </c>
      <c r="R21" s="714" t="s">
        <v>17</v>
      </c>
      <c r="S21" s="715">
        <f>F21</f>
        <v>100</v>
      </c>
      <c r="T21" s="714" t="s">
        <v>17</v>
      </c>
      <c r="U21" s="715">
        <f>H21</f>
        <v>100</v>
      </c>
      <c r="V21" s="714" t="s">
        <v>17</v>
      </c>
      <c r="W21" s="715">
        <f>J21</f>
        <v>100</v>
      </c>
      <c r="X21" s="1539"/>
      <c r="Y21" s="3278"/>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78"/>
      <c r="Q22" s="1536"/>
      <c r="R22" s="714"/>
      <c r="S22" s="715"/>
      <c r="T22" s="714"/>
      <c r="U22" s="715"/>
      <c r="V22" s="714"/>
      <c r="W22" s="715"/>
      <c r="X22" s="1539"/>
      <c r="Y22" s="3278"/>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78"/>
      <c r="Q23" s="1536" t="str">
        <f t="shared" ref="Q23:Q37" si="8">B23</f>
        <v>区域土地利用方向</v>
      </c>
      <c r="R23" s="714" t="s">
        <v>17</v>
      </c>
      <c r="S23" s="715">
        <f>F23</f>
        <v>100</v>
      </c>
      <c r="T23" s="714" t="s">
        <v>17</v>
      </c>
      <c r="U23" s="715">
        <f>H23</f>
        <v>100</v>
      </c>
      <c r="V23" s="714" t="s">
        <v>17</v>
      </c>
      <c r="W23" s="715">
        <f>J23</f>
        <v>100</v>
      </c>
      <c r="X23" s="1539"/>
      <c r="Y23" s="327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78"/>
      <c r="Q24" s="1536"/>
      <c r="R24" s="714"/>
      <c r="S24" s="715"/>
      <c r="T24" s="714"/>
      <c r="U24" s="715"/>
      <c r="V24" s="714"/>
      <c r="W24" s="715"/>
      <c r="X24" s="1539"/>
      <c r="Y24" s="3278"/>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78"/>
      <c r="Q25" s="1536" t="str">
        <f t="shared" si="8"/>
        <v>自然及人文环境状况</v>
      </c>
      <c r="R25" s="714" t="s">
        <v>17</v>
      </c>
      <c r="S25" s="715">
        <f>F25</f>
        <v>100</v>
      </c>
      <c r="T25" s="714" t="s">
        <v>17</v>
      </c>
      <c r="U25" s="715">
        <f>H25</f>
        <v>100</v>
      </c>
      <c r="V25" s="714" t="s">
        <v>17</v>
      </c>
      <c r="W25" s="715">
        <f>J25</f>
        <v>100</v>
      </c>
      <c r="X25" s="1539"/>
      <c r="Y25" s="327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78"/>
      <c r="Q26" s="1536"/>
      <c r="R26" s="714"/>
      <c r="S26" s="715"/>
      <c r="T26" s="714"/>
      <c r="U26" s="715"/>
      <c r="V26" s="714"/>
      <c r="W26" s="715"/>
      <c r="X26" s="1539"/>
      <c r="Y26" s="3278"/>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78"/>
      <c r="Q27" s="1527" t="str">
        <f t="shared" si="8"/>
        <v>公共配套设施</v>
      </c>
      <c r="R27" s="710" t="s">
        <v>17</v>
      </c>
      <c r="S27" s="711">
        <f>F27</f>
        <v>100</v>
      </c>
      <c r="T27" s="710" t="s">
        <v>17</v>
      </c>
      <c r="U27" s="711">
        <f>H27</f>
        <v>100</v>
      </c>
      <c r="V27" s="710" t="s">
        <v>17</v>
      </c>
      <c r="W27" s="711">
        <f>J27</f>
        <v>100</v>
      </c>
      <c r="X27" s="712"/>
      <c r="Y27" s="327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78"/>
      <c r="Q28" s="1527"/>
      <c r="R28" s="710"/>
      <c r="S28" s="711"/>
      <c r="T28" s="710"/>
      <c r="U28" s="711"/>
      <c r="V28" s="710"/>
      <c r="W28" s="711"/>
      <c r="X28" s="712"/>
      <c r="Y28" s="3278"/>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78"/>
      <c r="Q29" s="1527" t="str">
        <f t="shared" ref="Q29" si="9">B29</f>
        <v>基础设施水平</v>
      </c>
      <c r="R29" s="710" t="s">
        <v>17</v>
      </c>
      <c r="S29" s="711">
        <f>F29</f>
        <v>100</v>
      </c>
      <c r="T29" s="710" t="s">
        <v>17</v>
      </c>
      <c r="U29" s="711">
        <f>H29</f>
        <v>100</v>
      </c>
      <c r="V29" s="710" t="s">
        <v>17</v>
      </c>
      <c r="W29" s="711">
        <f>J29</f>
        <v>100</v>
      </c>
      <c r="X29" s="712"/>
      <c r="Y29" s="327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78"/>
      <c r="Q30" s="1527"/>
      <c r="R30" s="710"/>
      <c r="S30" s="711"/>
      <c r="T30" s="710"/>
      <c r="U30" s="711"/>
      <c r="V30" s="710"/>
      <c r="W30" s="711"/>
      <c r="X30" s="712"/>
      <c r="Y30" s="3278"/>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7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78"/>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78"/>
      <c r="Q32" s="1536" t="str">
        <f t="shared" si="8"/>
        <v>毗邻道路的类型与等级</v>
      </c>
      <c r="R32" s="714" t="s">
        <v>17</v>
      </c>
      <c r="S32" s="715">
        <f t="shared" si="10"/>
        <v>100</v>
      </c>
      <c r="T32" s="714" t="s">
        <v>17</v>
      </c>
      <c r="U32" s="715">
        <f t="shared" si="11"/>
        <v>100</v>
      </c>
      <c r="V32" s="714" t="s">
        <v>17</v>
      </c>
      <c r="W32" s="715">
        <f t="shared" si="12"/>
        <v>100</v>
      </c>
      <c r="X32" s="1539"/>
      <c r="Y32" s="327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78"/>
      <c r="Q33" s="1536"/>
      <c r="R33" s="714"/>
      <c r="S33" s="715"/>
      <c r="T33" s="714"/>
      <c r="U33" s="715"/>
      <c r="V33" s="714"/>
      <c r="W33" s="715"/>
      <c r="X33" s="1539"/>
      <c r="Y33" s="3278"/>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78"/>
      <c r="Q34" s="1536" t="str">
        <f t="shared" si="8"/>
        <v>土地级别</v>
      </c>
      <c r="R34" s="714" t="s">
        <v>17</v>
      </c>
      <c r="S34" s="715">
        <f t="shared" si="10"/>
        <v>100</v>
      </c>
      <c r="T34" s="714" t="s">
        <v>17</v>
      </c>
      <c r="U34" s="715">
        <f t="shared" si="11"/>
        <v>100</v>
      </c>
      <c r="V34" s="714" t="s">
        <v>17</v>
      </c>
      <c r="W34" s="715">
        <f t="shared" si="12"/>
        <v>100</v>
      </c>
      <c r="X34" s="1539"/>
      <c r="Y34" s="327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78"/>
      <c r="Q35" s="1536">
        <f t="shared" si="8"/>
        <v>111</v>
      </c>
      <c r="R35" s="714" t="s">
        <v>17</v>
      </c>
      <c r="S35" s="715">
        <f t="shared" si="10"/>
        <v>100</v>
      </c>
      <c r="T35" s="714" t="s">
        <v>17</v>
      </c>
      <c r="U35" s="715">
        <f t="shared" si="11"/>
        <v>100</v>
      </c>
      <c r="V35" s="714" t="s">
        <v>17</v>
      </c>
      <c r="W35" s="715">
        <f t="shared" si="12"/>
        <v>100</v>
      </c>
      <c r="X35" s="1539"/>
      <c r="Y35" s="327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59" t="s">
        <v>2386</v>
      </c>
      <c r="Q36" s="1536">
        <f t="shared" si="8"/>
        <v>111</v>
      </c>
      <c r="R36" s="714" t="s">
        <v>17</v>
      </c>
      <c r="S36" s="715">
        <f t="shared" si="10"/>
        <v>100</v>
      </c>
      <c r="T36" s="714" t="s">
        <v>17</v>
      </c>
      <c r="U36" s="715">
        <f t="shared" si="11"/>
        <v>100</v>
      </c>
      <c r="V36" s="714" t="s">
        <v>17</v>
      </c>
      <c r="W36" s="715">
        <f t="shared" si="12"/>
        <v>100</v>
      </c>
      <c r="X36" s="1539"/>
      <c r="Y36" s="3282"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82"/>
      <c r="Q37" s="1536">
        <f t="shared" si="8"/>
        <v>111</v>
      </c>
      <c r="R37" s="717" t="s">
        <v>17</v>
      </c>
      <c r="S37" s="718">
        <f t="shared" si="10"/>
        <v>100</v>
      </c>
      <c r="T37" s="717" t="s">
        <v>17</v>
      </c>
      <c r="U37" s="718">
        <f t="shared" si="11"/>
        <v>100</v>
      </c>
      <c r="V37" s="717" t="s">
        <v>17</v>
      </c>
      <c r="W37" s="718">
        <f t="shared" si="12"/>
        <v>100</v>
      </c>
      <c r="X37" s="719"/>
      <c r="Y37" s="3282"/>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82"/>
      <c r="Q38" s="1536" t="str">
        <f>B38</f>
        <v>宗地面积</v>
      </c>
      <c r="R38" s="714" t="s">
        <v>17</v>
      </c>
      <c r="S38" s="715" t="e">
        <f t="shared" si="10"/>
        <v>#N/A</v>
      </c>
      <c r="T38" s="714" t="s">
        <v>17</v>
      </c>
      <c r="U38" s="715" t="e">
        <f t="shared" si="11"/>
        <v>#N/A</v>
      </c>
      <c r="V38" s="714" t="s">
        <v>17</v>
      </c>
      <c r="W38" s="715" t="e">
        <f t="shared" si="12"/>
        <v>#N/A</v>
      </c>
      <c r="X38" s="1539"/>
      <c r="Y38" s="3282"/>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82"/>
      <c r="Q39" s="1536" t="str">
        <f t="shared" ref="Q39:Q45" si="14">B39</f>
        <v>宗地形状</v>
      </c>
      <c r="R39" s="714" t="s">
        <v>17</v>
      </c>
      <c r="S39" s="715">
        <f t="shared" si="10"/>
        <v>100</v>
      </c>
      <c r="T39" s="714" t="s">
        <v>17</v>
      </c>
      <c r="U39" s="715">
        <f t="shared" si="11"/>
        <v>100</v>
      </c>
      <c r="V39" s="714" t="s">
        <v>17</v>
      </c>
      <c r="W39" s="715">
        <f t="shared" si="12"/>
        <v>100</v>
      </c>
      <c r="X39" s="1539"/>
      <c r="Y39" s="3282"/>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82"/>
      <c r="Q40" s="1536" t="str">
        <f t="shared" si="14"/>
        <v>临街宽度及深度</v>
      </c>
      <c r="R40" s="714" t="s">
        <v>17</v>
      </c>
      <c r="S40" s="715">
        <f t="shared" si="10"/>
        <v>100</v>
      </c>
      <c r="T40" s="714" t="s">
        <v>17</v>
      </c>
      <c r="U40" s="715">
        <f t="shared" si="11"/>
        <v>100</v>
      </c>
      <c r="V40" s="714" t="s">
        <v>17</v>
      </c>
      <c r="W40" s="715">
        <f t="shared" si="12"/>
        <v>100</v>
      </c>
      <c r="X40" s="1539"/>
      <c r="Y40" s="3282"/>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82"/>
      <c r="Q41" s="1536" t="str">
        <f t="shared" si="14"/>
        <v>宗地开发程度</v>
      </c>
      <c r="R41" s="710" t="s">
        <v>17</v>
      </c>
      <c r="S41" s="711">
        <f t="shared" si="10"/>
        <v>100</v>
      </c>
      <c r="T41" s="710" t="s">
        <v>17</v>
      </c>
      <c r="U41" s="711">
        <f t="shared" si="11"/>
        <v>100</v>
      </c>
      <c r="V41" s="710" t="s">
        <v>17</v>
      </c>
      <c r="W41" s="711">
        <f t="shared" si="12"/>
        <v>100</v>
      </c>
      <c r="X41" s="712"/>
      <c r="Y41" s="3282"/>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82" t="s">
        <v>2386</v>
      </c>
      <c r="Q42" s="1536" t="str">
        <f t="shared" si="14"/>
        <v>工程地质条件</v>
      </c>
      <c r="R42" s="714" t="s">
        <v>17</v>
      </c>
      <c r="S42" s="715">
        <f t="shared" si="10"/>
        <v>100</v>
      </c>
      <c r="T42" s="714" t="s">
        <v>17</v>
      </c>
      <c r="U42" s="715">
        <f t="shared" si="11"/>
        <v>100</v>
      </c>
      <c r="V42" s="714" t="s">
        <v>17</v>
      </c>
      <c r="W42" s="715">
        <f t="shared" si="12"/>
        <v>100</v>
      </c>
      <c r="X42" s="1539"/>
      <c r="Y42" s="3282"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82"/>
      <c r="Q43" s="1536">
        <f t="shared" si="14"/>
        <v>111</v>
      </c>
      <c r="R43" s="714" t="s">
        <v>17</v>
      </c>
      <c r="S43" s="715">
        <f t="shared" si="10"/>
        <v>100</v>
      </c>
      <c r="T43" s="714" t="s">
        <v>17</v>
      </c>
      <c r="U43" s="715">
        <f t="shared" si="11"/>
        <v>100</v>
      </c>
      <c r="V43" s="714" t="s">
        <v>17</v>
      </c>
      <c r="W43" s="715">
        <f t="shared" si="12"/>
        <v>100</v>
      </c>
      <c r="X43" s="1539"/>
      <c r="Y43" s="3282"/>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82"/>
      <c r="Q44" s="1536">
        <f t="shared" si="14"/>
        <v>111</v>
      </c>
      <c r="R44" s="714" t="s">
        <v>17</v>
      </c>
      <c r="S44" s="715">
        <f t="shared" si="10"/>
        <v>100</v>
      </c>
      <c r="T44" s="714" t="s">
        <v>17</v>
      </c>
      <c r="U44" s="715">
        <f t="shared" si="11"/>
        <v>100</v>
      </c>
      <c r="V44" s="714" t="s">
        <v>17</v>
      </c>
      <c r="W44" s="715">
        <f t="shared" si="12"/>
        <v>100</v>
      </c>
      <c r="X44" s="1539"/>
      <c r="Y44" s="3282"/>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82"/>
      <c r="Q45" s="1536">
        <f t="shared" si="14"/>
        <v>111</v>
      </c>
      <c r="R45" s="717" t="s">
        <v>17</v>
      </c>
      <c r="S45" s="718">
        <f t="shared" si="10"/>
        <v>100</v>
      </c>
      <c r="T45" s="717" t="s">
        <v>17</v>
      </c>
      <c r="U45" s="718">
        <f t="shared" si="11"/>
        <v>100</v>
      </c>
      <c r="V45" s="717" t="s">
        <v>17</v>
      </c>
      <c r="W45" s="718">
        <f t="shared" si="12"/>
        <v>100</v>
      </c>
      <c r="X45" s="719"/>
      <c r="Y45" s="3282"/>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70" t="str">
        <f>A46</f>
        <v>成交单价</v>
      </c>
      <c r="Q46" s="3270"/>
      <c r="R46" s="3284">
        <f>E46</f>
        <v>0</v>
      </c>
      <c r="S46" s="3284"/>
      <c r="T46" s="3284">
        <f>G46</f>
        <v>0</v>
      </c>
      <c r="U46" s="3284"/>
      <c r="V46" s="3284">
        <f>I46</f>
        <v>0</v>
      </c>
      <c r="W46" s="3284"/>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270" t="str">
        <f>A47</f>
        <v>比较价值（元/平方米）</v>
      </c>
      <c r="Q47" s="3270"/>
      <c r="R47" s="3361" t="e">
        <f>ROUND(PRODUCT(R46,AA7:AA45),0)</f>
        <v>#DIV/0!</v>
      </c>
      <c r="S47" s="3361"/>
      <c r="T47" s="3361" t="e">
        <f>ROUND(PRODUCT(T46,AB7:AB45),0)</f>
        <v>#DIV/0!</v>
      </c>
      <c r="U47" s="3361"/>
      <c r="V47" s="3361" t="e">
        <f>ROUND(PRODUCT(V46,AC7:AC45),0)</f>
        <v>#DIV/0!</v>
      </c>
      <c r="W47" s="3361"/>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72" t="str">
        <f>A48</f>
        <v>估价对象XX用房的比较价值（楼面单价，元/平方米）</v>
      </c>
      <c r="Q48" s="3273"/>
      <c r="R48" s="3362" t="e">
        <f>ROUND(IF(D47="简单平均",AVERAGE(R47:W47),R47*F47+T47*H47+V47*J47),0)</f>
        <v>#DIV/0!</v>
      </c>
      <c r="S48" s="3362"/>
      <c r="T48" s="3362"/>
      <c r="U48" s="3362"/>
      <c r="V48" s="3362"/>
      <c r="W48" s="3362"/>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89" t="s">
        <v>2585</v>
      </c>
      <c r="H55" s="3363"/>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348.8</v>
      </c>
      <c r="F56" s="1017" t="e">
        <f t="shared" ref="F56:F65" si="15">ROUND(B56*E56/10000,0)</f>
        <v>#DIV/0!</v>
      </c>
      <c r="G56" s="3285"/>
      <c r="H56" s="327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64"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64"/>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64"/>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64"/>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348.8</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2021-10-1</v>
      </c>
      <c r="D68" s="701">
        <f>EDATE(C68,-3)</f>
        <v>44378</v>
      </c>
      <c r="E68" s="701">
        <f>EDATE(D68,-3)</f>
        <v>44287</v>
      </c>
      <c r="F68" s="701">
        <f t="shared" ref="F68:O68" si="18">EDATE(E68,-3)</f>
        <v>44197</v>
      </c>
      <c r="G68" s="701">
        <f t="shared" si="18"/>
        <v>44105</v>
      </c>
      <c r="H68" s="701">
        <f t="shared" si="18"/>
        <v>44013</v>
      </c>
      <c r="I68" s="701">
        <f t="shared" si="18"/>
        <v>43922</v>
      </c>
      <c r="J68" s="701">
        <f t="shared" si="18"/>
        <v>43831</v>
      </c>
      <c r="K68" s="701">
        <f t="shared" si="18"/>
        <v>43739</v>
      </c>
      <c r="L68" s="701">
        <f t="shared" si="18"/>
        <v>43647</v>
      </c>
      <c r="M68" s="701">
        <f t="shared" si="18"/>
        <v>43556</v>
      </c>
      <c r="N68" s="701">
        <f t="shared" si="18"/>
        <v>43466</v>
      </c>
      <c r="O68" s="701">
        <f t="shared" si="18"/>
        <v>43374</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89" t="s">
        <v>2467</v>
      </c>
      <c r="D4" s="3290"/>
      <c r="E4" s="3291" t="s">
        <v>2468</v>
      </c>
      <c r="F4" s="3292"/>
      <c r="G4" s="3289" t="s">
        <v>2469</v>
      </c>
      <c r="H4" s="3290"/>
      <c r="I4" s="3289" t="s">
        <v>2470</v>
      </c>
      <c r="J4" s="3290"/>
      <c r="K4" s="567" t="s">
        <v>2471</v>
      </c>
      <c r="L4" s="2944"/>
      <c r="M4" s="2945"/>
      <c r="N4" s="2945"/>
      <c r="O4" s="2945"/>
      <c r="P4" s="3293" t="s">
        <v>2472</v>
      </c>
      <c r="Q4" s="3294"/>
      <c r="R4" s="3299" t="s">
        <v>2468</v>
      </c>
      <c r="S4" s="3300"/>
      <c r="T4" s="3299" t="s">
        <v>2469</v>
      </c>
      <c r="U4" s="3300"/>
      <c r="V4" s="3284" t="s">
        <v>2470</v>
      </c>
      <c r="W4" s="3284"/>
      <c r="X4" s="1539"/>
      <c r="Y4" s="3299" t="s">
        <v>2472</v>
      </c>
      <c r="Z4" s="3300"/>
      <c r="AA4" s="3286" t="s">
        <v>2468</v>
      </c>
      <c r="AB4" s="3287" t="s">
        <v>2469</v>
      </c>
      <c r="AC4" s="3286" t="s">
        <v>2470</v>
      </c>
    </row>
    <row r="5" spans="1:29"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4"/>
      <c r="W5" s="3284"/>
      <c r="X5" s="1539"/>
      <c r="Y5" s="3301"/>
      <c r="Z5" s="3302"/>
      <c r="AA5" s="3287"/>
      <c r="AB5" s="3287"/>
      <c r="AC5" s="3287"/>
    </row>
    <row r="6" spans="1:29" ht="15.75" thickBot="1">
      <c r="A6" s="366"/>
      <c r="B6" s="367"/>
      <c r="C6" s="3365" t="s">
        <v>2618</v>
      </c>
      <c r="D6" s="3366"/>
      <c r="E6" s="3367" t="s">
        <v>2618</v>
      </c>
      <c r="F6" s="3368"/>
      <c r="G6" s="3365" t="s">
        <v>2618</v>
      </c>
      <c r="H6" s="3366"/>
      <c r="I6" s="3365" t="s">
        <v>2618</v>
      </c>
      <c r="J6" s="3366"/>
      <c r="K6" s="567" t="s">
        <v>2368</v>
      </c>
      <c r="L6" s="2944"/>
      <c r="M6" s="2945"/>
      <c r="N6" s="2945"/>
      <c r="O6" s="2945"/>
      <c r="P6" s="3297"/>
      <c r="Q6" s="3298"/>
      <c r="R6" s="3301"/>
      <c r="S6" s="3302"/>
      <c r="T6" s="3303"/>
      <c r="U6" s="3304"/>
      <c r="V6" s="3284"/>
      <c r="W6" s="3284"/>
      <c r="X6" s="1539"/>
      <c r="Y6" s="3303"/>
      <c r="Z6" s="3304"/>
      <c r="AA6" s="3288"/>
      <c r="AB6" s="3288"/>
      <c r="AC6" s="3288"/>
    </row>
    <row r="7" spans="1:29" s="113" customFormat="1" ht="15.75" thickBot="1">
      <c r="A7" s="368" t="s">
        <v>2369</v>
      </c>
      <c r="B7" s="369"/>
      <c r="C7" s="370">
        <f>'数据-取费表'!B2</f>
        <v>44487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09" t="s">
        <v>2370</v>
      </c>
      <c r="Q7" s="3311"/>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09" t="s">
        <v>2373</v>
      </c>
      <c r="Q8" s="3310"/>
      <c r="R8" s="710" t="s">
        <v>17</v>
      </c>
      <c r="S8" s="711">
        <f t="shared" si="0"/>
        <v>0</v>
      </c>
      <c r="T8" s="710" t="s">
        <v>17</v>
      </c>
      <c r="U8" s="711">
        <f t="shared" si="1"/>
        <v>0</v>
      </c>
      <c r="V8" s="710" t="s">
        <v>17</v>
      </c>
      <c r="W8" s="711">
        <f t="shared" si="2"/>
        <v>0</v>
      </c>
      <c r="X8" s="712"/>
      <c r="Y8" s="3309" t="s">
        <v>2373</v>
      </c>
      <c r="Z8" s="3310"/>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70" t="s">
        <v>2376</v>
      </c>
      <c r="Q9" s="1527" t="str">
        <f t="shared" ref="Q9:Q15" si="6">B9</f>
        <v>用途</v>
      </c>
      <c r="R9" s="710" t="s">
        <v>17</v>
      </c>
      <c r="S9" s="711">
        <f t="shared" si="0"/>
        <v>100</v>
      </c>
      <c r="T9" s="710" t="s">
        <v>17</v>
      </c>
      <c r="U9" s="711">
        <f t="shared" si="1"/>
        <v>100</v>
      </c>
      <c r="V9" s="710" t="s">
        <v>17</v>
      </c>
      <c r="W9" s="711">
        <f t="shared" si="2"/>
        <v>100</v>
      </c>
      <c r="X9" s="712"/>
      <c r="Y9" s="3171"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119</v>
      </c>
      <c r="G10" s="391"/>
      <c r="H10" s="132">
        <f>ROUND(100/'数据-取费表'!G16,0)</f>
        <v>119</v>
      </c>
      <c r="I10" s="391"/>
      <c r="J10" s="132">
        <f>ROUND(100/'数据-取费表'!G16,0)</f>
        <v>119</v>
      </c>
      <c r="K10" s="628"/>
      <c r="L10" s="2948"/>
      <c r="M10" s="2949"/>
      <c r="N10" s="2949"/>
      <c r="O10" s="3002"/>
      <c r="P10" s="3270"/>
      <c r="Q10" s="1527" t="str">
        <f t="shared" si="6"/>
        <v>土地使用年限（年）</v>
      </c>
      <c r="R10" s="710" t="s">
        <v>17</v>
      </c>
      <c r="S10" s="711">
        <f t="shared" si="0"/>
        <v>119</v>
      </c>
      <c r="T10" s="710" t="s">
        <v>17</v>
      </c>
      <c r="U10" s="711">
        <f t="shared" si="1"/>
        <v>119</v>
      </c>
      <c r="V10" s="710" t="s">
        <v>17</v>
      </c>
      <c r="W10" s="711">
        <f t="shared" si="2"/>
        <v>119</v>
      </c>
      <c r="X10" s="712"/>
      <c r="Y10" s="3171"/>
      <c r="Z10" s="55" t="str">
        <f t="shared" si="7"/>
        <v>土地使用年限（年）</v>
      </c>
      <c r="AA10" s="713">
        <f t="shared" si="3"/>
        <v>0.84033613445378152</v>
      </c>
      <c r="AB10" s="713">
        <f t="shared" si="4"/>
        <v>0.84033613445378152</v>
      </c>
      <c r="AC10" s="713">
        <f t="shared" si="5"/>
        <v>0.84033613445378152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70"/>
      <c r="Q11" s="1527"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70"/>
      <c r="Q12" s="1527">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70"/>
      <c r="Q13" s="1527">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70"/>
      <c r="Q14" s="1527">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77" t="s">
        <v>2381</v>
      </c>
      <c r="Q15" s="1536" t="str">
        <f t="shared" si="6"/>
        <v>产业集聚程度</v>
      </c>
      <c r="R15" s="714" t="s">
        <v>17</v>
      </c>
      <c r="S15" s="715">
        <f t="shared" si="0"/>
        <v>100</v>
      </c>
      <c r="T15" s="714" t="s">
        <v>17</v>
      </c>
      <c r="U15" s="715">
        <f t="shared" si="1"/>
        <v>100</v>
      </c>
      <c r="V15" s="714" t="s">
        <v>17</v>
      </c>
      <c r="W15" s="715">
        <f t="shared" si="2"/>
        <v>100</v>
      </c>
      <c r="X15" s="1539"/>
      <c r="Y15" s="3277"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78"/>
      <c r="Q16" s="1536"/>
      <c r="R16" s="714"/>
      <c r="S16" s="715"/>
      <c r="T16" s="714"/>
      <c r="U16" s="715"/>
      <c r="V16" s="714"/>
      <c r="W16" s="715"/>
      <c r="X16" s="1539"/>
      <c r="Y16" s="3278"/>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78"/>
      <c r="Q17" s="1536" t="str">
        <f>B17</f>
        <v>交通便捷度</v>
      </c>
      <c r="R17" s="714" t="s">
        <v>17</v>
      </c>
      <c r="S17" s="715">
        <f>F17</f>
        <v>100</v>
      </c>
      <c r="T17" s="714" t="s">
        <v>17</v>
      </c>
      <c r="U17" s="715">
        <f>H17</f>
        <v>100</v>
      </c>
      <c r="V17" s="714" t="s">
        <v>17</v>
      </c>
      <c r="W17" s="715">
        <f>J17</f>
        <v>100</v>
      </c>
      <c r="X17" s="1539"/>
      <c r="Y17" s="327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78"/>
      <c r="Q18" s="1536"/>
      <c r="R18" s="714"/>
      <c r="S18" s="715"/>
      <c r="T18" s="714"/>
      <c r="U18" s="715"/>
      <c r="V18" s="714"/>
      <c r="W18" s="715"/>
      <c r="X18" s="1539"/>
      <c r="Y18" s="3278"/>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78"/>
      <c r="Q19" s="1536" t="str">
        <f t="shared" ref="Q19:Q33" si="8">B19</f>
        <v>区域土地利用方向</v>
      </c>
      <c r="R19" s="714" t="s">
        <v>17</v>
      </c>
      <c r="S19" s="715">
        <f>F19</f>
        <v>100</v>
      </c>
      <c r="T19" s="714" t="s">
        <v>17</v>
      </c>
      <c r="U19" s="715">
        <f>H19</f>
        <v>100</v>
      </c>
      <c r="V19" s="714" t="s">
        <v>17</v>
      </c>
      <c r="W19" s="715">
        <f>J19</f>
        <v>100</v>
      </c>
      <c r="X19" s="1539"/>
      <c r="Y19" s="327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78"/>
      <c r="Q20" s="1536"/>
      <c r="R20" s="714"/>
      <c r="S20" s="715"/>
      <c r="T20" s="714"/>
      <c r="U20" s="715"/>
      <c r="V20" s="714"/>
      <c r="W20" s="715"/>
      <c r="X20" s="1539"/>
      <c r="Y20" s="3278"/>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78"/>
      <c r="Q21" s="1536" t="str">
        <f t="shared" si="8"/>
        <v>环境状况</v>
      </c>
      <c r="R21" s="714" t="s">
        <v>17</v>
      </c>
      <c r="S21" s="715">
        <f>F21</f>
        <v>100</v>
      </c>
      <c r="T21" s="714" t="s">
        <v>17</v>
      </c>
      <c r="U21" s="715">
        <f>H21</f>
        <v>100</v>
      </c>
      <c r="V21" s="714" t="s">
        <v>17</v>
      </c>
      <c r="W21" s="715">
        <f>J21</f>
        <v>100</v>
      </c>
      <c r="X21" s="1539"/>
      <c r="Y21" s="327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78"/>
      <c r="Q22" s="1536"/>
      <c r="R22" s="714"/>
      <c r="S22" s="715"/>
      <c r="T22" s="714"/>
      <c r="U22" s="715"/>
      <c r="V22" s="714"/>
      <c r="W22" s="715"/>
      <c r="X22" s="1539"/>
      <c r="Y22" s="3278"/>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78"/>
      <c r="Q23" s="1527" t="str">
        <f t="shared" si="8"/>
        <v>公共配套设施</v>
      </c>
      <c r="R23" s="710" t="s">
        <v>17</v>
      </c>
      <c r="S23" s="711">
        <f>F23</f>
        <v>100</v>
      </c>
      <c r="T23" s="710" t="s">
        <v>17</v>
      </c>
      <c r="U23" s="711">
        <f>H23</f>
        <v>100</v>
      </c>
      <c r="V23" s="710" t="s">
        <v>17</v>
      </c>
      <c r="W23" s="711">
        <f>J23</f>
        <v>100</v>
      </c>
      <c r="X23" s="712"/>
      <c r="Y23" s="327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78"/>
      <c r="Q24" s="1527"/>
      <c r="R24" s="710"/>
      <c r="S24" s="711"/>
      <c r="T24" s="710"/>
      <c r="U24" s="711"/>
      <c r="V24" s="710"/>
      <c r="W24" s="711"/>
      <c r="X24" s="712"/>
      <c r="Y24" s="3278"/>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78"/>
      <c r="Q25" s="1527" t="str">
        <f t="shared" ref="Q25" si="9">B25</f>
        <v>基础设施水平</v>
      </c>
      <c r="R25" s="710" t="s">
        <v>17</v>
      </c>
      <c r="S25" s="711">
        <f>F25</f>
        <v>100</v>
      </c>
      <c r="T25" s="710" t="s">
        <v>17</v>
      </c>
      <c r="U25" s="711">
        <f>H25</f>
        <v>100</v>
      </c>
      <c r="V25" s="710" t="s">
        <v>17</v>
      </c>
      <c r="W25" s="711">
        <f>J25</f>
        <v>100</v>
      </c>
      <c r="X25" s="712"/>
      <c r="Y25" s="327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78"/>
      <c r="Q26" s="1527"/>
      <c r="R26" s="710"/>
      <c r="S26" s="711"/>
      <c r="T26" s="710"/>
      <c r="U26" s="711"/>
      <c r="V26" s="710"/>
      <c r="W26" s="711"/>
      <c r="X26" s="712"/>
      <c r="Y26" s="327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7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78"/>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78"/>
      <c r="Q28" s="1536" t="str">
        <f t="shared" si="8"/>
        <v>毗邻道路的类型与等级</v>
      </c>
      <c r="R28" s="714" t="s">
        <v>17</v>
      </c>
      <c r="S28" s="715">
        <f t="shared" si="10"/>
        <v>100</v>
      </c>
      <c r="T28" s="714" t="s">
        <v>17</v>
      </c>
      <c r="U28" s="715">
        <f t="shared" si="11"/>
        <v>100</v>
      </c>
      <c r="V28" s="714" t="s">
        <v>17</v>
      </c>
      <c r="W28" s="715">
        <f t="shared" si="12"/>
        <v>100</v>
      </c>
      <c r="X28" s="1539"/>
      <c r="Y28" s="327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78"/>
      <c r="Q29" s="1536"/>
      <c r="R29" s="714"/>
      <c r="S29" s="715"/>
      <c r="T29" s="714"/>
      <c r="U29" s="715"/>
      <c r="V29" s="714"/>
      <c r="W29" s="715"/>
      <c r="X29" s="1539"/>
      <c r="Y29" s="3278"/>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78"/>
      <c r="Q30" s="1536" t="str">
        <f t="shared" si="8"/>
        <v>土地级别</v>
      </c>
      <c r="R30" s="714" t="s">
        <v>17</v>
      </c>
      <c r="S30" s="715">
        <f t="shared" si="10"/>
        <v>100</v>
      </c>
      <c r="T30" s="714" t="s">
        <v>17</v>
      </c>
      <c r="U30" s="715">
        <f t="shared" si="11"/>
        <v>100</v>
      </c>
      <c r="V30" s="714" t="s">
        <v>17</v>
      </c>
      <c r="W30" s="715">
        <f t="shared" si="12"/>
        <v>100</v>
      </c>
      <c r="X30" s="1539"/>
      <c r="Y30" s="327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78"/>
      <c r="Q31" s="1536">
        <f t="shared" si="8"/>
        <v>111</v>
      </c>
      <c r="R31" s="714" t="s">
        <v>17</v>
      </c>
      <c r="S31" s="715">
        <f t="shared" si="10"/>
        <v>100</v>
      </c>
      <c r="T31" s="714" t="s">
        <v>17</v>
      </c>
      <c r="U31" s="715">
        <f t="shared" si="11"/>
        <v>100</v>
      </c>
      <c r="V31" s="714" t="s">
        <v>17</v>
      </c>
      <c r="W31" s="715">
        <f t="shared" si="12"/>
        <v>100</v>
      </c>
      <c r="X31" s="1539"/>
      <c r="Y31" s="327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59" t="s">
        <v>2386</v>
      </c>
      <c r="Q32" s="1536">
        <f t="shared" si="8"/>
        <v>111</v>
      </c>
      <c r="R32" s="714" t="s">
        <v>17</v>
      </c>
      <c r="S32" s="715">
        <f t="shared" si="10"/>
        <v>100</v>
      </c>
      <c r="T32" s="714" t="s">
        <v>17</v>
      </c>
      <c r="U32" s="715">
        <f t="shared" si="11"/>
        <v>100</v>
      </c>
      <c r="V32" s="714" t="s">
        <v>17</v>
      </c>
      <c r="W32" s="715">
        <f t="shared" si="12"/>
        <v>100</v>
      </c>
      <c r="X32" s="1539"/>
      <c r="Y32" s="3282"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82"/>
      <c r="Q33" s="1536">
        <f t="shared" si="8"/>
        <v>111</v>
      </c>
      <c r="R33" s="717" t="s">
        <v>17</v>
      </c>
      <c r="S33" s="718">
        <f t="shared" si="10"/>
        <v>100</v>
      </c>
      <c r="T33" s="717" t="s">
        <v>17</v>
      </c>
      <c r="U33" s="718">
        <f t="shared" si="11"/>
        <v>100</v>
      </c>
      <c r="V33" s="717" t="s">
        <v>17</v>
      </c>
      <c r="W33" s="718">
        <f t="shared" si="12"/>
        <v>100</v>
      </c>
      <c r="X33" s="719"/>
      <c r="Y33" s="3282"/>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82"/>
      <c r="Q34" s="1536" t="str">
        <f>B34</f>
        <v>宗地面积</v>
      </c>
      <c r="R34" s="714" t="s">
        <v>17</v>
      </c>
      <c r="S34" s="715" t="e">
        <f t="shared" si="10"/>
        <v>#N/A</v>
      </c>
      <c r="T34" s="714" t="s">
        <v>17</v>
      </c>
      <c r="U34" s="715" t="e">
        <f t="shared" si="11"/>
        <v>#N/A</v>
      </c>
      <c r="V34" s="714" t="s">
        <v>17</v>
      </c>
      <c r="W34" s="715" t="e">
        <f t="shared" si="12"/>
        <v>#N/A</v>
      </c>
      <c r="X34" s="1539"/>
      <c r="Y34" s="3282"/>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82"/>
      <c r="Q35" s="1536" t="str">
        <f t="shared" ref="Q35:Q40" si="14">B35</f>
        <v>宗地形状</v>
      </c>
      <c r="R35" s="714" t="s">
        <v>17</v>
      </c>
      <c r="S35" s="715">
        <f t="shared" si="10"/>
        <v>100</v>
      </c>
      <c r="T35" s="714" t="s">
        <v>17</v>
      </c>
      <c r="U35" s="715">
        <f t="shared" si="11"/>
        <v>100</v>
      </c>
      <c r="V35" s="714" t="s">
        <v>17</v>
      </c>
      <c r="W35" s="715">
        <f t="shared" si="12"/>
        <v>100</v>
      </c>
      <c r="X35" s="1539"/>
      <c r="Y35" s="3282"/>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82"/>
      <c r="Q36" s="1536" t="str">
        <f t="shared" si="14"/>
        <v>宗地开发程度</v>
      </c>
      <c r="R36" s="710" t="s">
        <v>17</v>
      </c>
      <c r="S36" s="711">
        <f t="shared" si="10"/>
        <v>100</v>
      </c>
      <c r="T36" s="710" t="s">
        <v>17</v>
      </c>
      <c r="U36" s="711">
        <f t="shared" si="11"/>
        <v>100</v>
      </c>
      <c r="V36" s="710" t="s">
        <v>17</v>
      </c>
      <c r="W36" s="711">
        <f t="shared" si="12"/>
        <v>100</v>
      </c>
      <c r="X36" s="712"/>
      <c r="Y36" s="3282"/>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82" t="s">
        <v>2386</v>
      </c>
      <c r="Q37" s="1536" t="str">
        <f t="shared" si="14"/>
        <v>工程地质条件</v>
      </c>
      <c r="R37" s="714" t="s">
        <v>17</v>
      </c>
      <c r="S37" s="715">
        <f t="shared" si="10"/>
        <v>100</v>
      </c>
      <c r="T37" s="714" t="s">
        <v>17</v>
      </c>
      <c r="U37" s="715">
        <f t="shared" si="11"/>
        <v>100</v>
      </c>
      <c r="V37" s="714" t="s">
        <v>17</v>
      </c>
      <c r="W37" s="715">
        <f t="shared" si="12"/>
        <v>100</v>
      </c>
      <c r="X37" s="1539"/>
      <c r="Y37" s="3282"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82"/>
      <c r="Q38" s="1536">
        <f t="shared" si="14"/>
        <v>111</v>
      </c>
      <c r="R38" s="714" t="s">
        <v>17</v>
      </c>
      <c r="S38" s="715">
        <f t="shared" si="10"/>
        <v>100</v>
      </c>
      <c r="T38" s="714" t="s">
        <v>17</v>
      </c>
      <c r="U38" s="715">
        <f t="shared" si="11"/>
        <v>100</v>
      </c>
      <c r="V38" s="714" t="s">
        <v>17</v>
      </c>
      <c r="W38" s="715">
        <f t="shared" si="12"/>
        <v>100</v>
      </c>
      <c r="X38" s="1539"/>
      <c r="Y38" s="328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82"/>
      <c r="Q39" s="1536">
        <f t="shared" si="14"/>
        <v>111</v>
      </c>
      <c r="R39" s="714" t="s">
        <v>17</v>
      </c>
      <c r="S39" s="715">
        <f t="shared" si="10"/>
        <v>100</v>
      </c>
      <c r="T39" s="714" t="s">
        <v>17</v>
      </c>
      <c r="U39" s="715">
        <f t="shared" si="11"/>
        <v>100</v>
      </c>
      <c r="V39" s="714" t="s">
        <v>17</v>
      </c>
      <c r="W39" s="715">
        <f t="shared" si="12"/>
        <v>100</v>
      </c>
      <c r="X39" s="1539"/>
      <c r="Y39" s="3282"/>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82"/>
      <c r="Q40" s="1536">
        <f t="shared" si="14"/>
        <v>111</v>
      </c>
      <c r="R40" s="717" t="s">
        <v>17</v>
      </c>
      <c r="S40" s="718">
        <f t="shared" si="10"/>
        <v>100</v>
      </c>
      <c r="T40" s="717" t="s">
        <v>17</v>
      </c>
      <c r="U40" s="718">
        <f t="shared" si="11"/>
        <v>100</v>
      </c>
      <c r="V40" s="717" t="s">
        <v>17</v>
      </c>
      <c r="W40" s="718">
        <f t="shared" si="12"/>
        <v>100</v>
      </c>
      <c r="X40" s="719"/>
      <c r="Y40" s="3282"/>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70" t="str">
        <f>A41</f>
        <v>成交单价</v>
      </c>
      <c r="Q41" s="3270"/>
      <c r="R41" s="3284">
        <f>E41</f>
        <v>0</v>
      </c>
      <c r="S41" s="3284"/>
      <c r="T41" s="3284">
        <f>G41</f>
        <v>0</v>
      </c>
      <c r="U41" s="3284"/>
      <c r="V41" s="3284">
        <f>I41</f>
        <v>0</v>
      </c>
      <c r="W41" s="3284"/>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270" t="str">
        <f>A42</f>
        <v>比较价值（元/平方米）</v>
      </c>
      <c r="Q42" s="3270"/>
      <c r="R42" s="3361" t="e">
        <f>ROUND(PRODUCT(R41,AA7:AA40),0)</f>
        <v>#DIV/0!</v>
      </c>
      <c r="S42" s="3361"/>
      <c r="T42" s="3361" t="e">
        <f>ROUND(PRODUCT(T41,AB7:AB40),0)</f>
        <v>#DIV/0!</v>
      </c>
      <c r="U42" s="3361"/>
      <c r="V42" s="3361" t="e">
        <f>ROUND(PRODUCT(V41,AC7:AC40),0)</f>
        <v>#DIV/0!</v>
      </c>
      <c r="W42" s="336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72" t="str">
        <f>A43</f>
        <v>估价对象XX用房的比较价值（楼面单价，元/平方米）</v>
      </c>
      <c r="Q43" s="3273"/>
      <c r="R43" s="3362" t="e">
        <f>ROUND(IF(D42="简单平均",AVERAGE(R42:W42),R42*F42+T42*H42+V42*J42),0)</f>
        <v>#DIV/0!</v>
      </c>
      <c r="S43" s="3362"/>
      <c r="T43" s="3362"/>
      <c r="U43" s="3362"/>
      <c r="V43" s="3362"/>
      <c r="W43" s="3362"/>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89" t="s">
        <v>2585</v>
      </c>
      <c r="H50" s="3363"/>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348.8</v>
      </c>
      <c r="F51" s="647" t="e">
        <f t="shared" ref="F51:F60" si="15">ROUND(B51*E51/10000,0)</f>
        <v>#DIV/0!</v>
      </c>
      <c r="G51" s="3285"/>
      <c r="H51" s="327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64"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64"/>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64"/>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64"/>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2021-10-1</v>
      </c>
      <c r="D63" s="701">
        <f>EDATE(C63,-3)</f>
        <v>44378</v>
      </c>
      <c r="E63" s="701">
        <f>EDATE(D63,-3)</f>
        <v>44287</v>
      </c>
      <c r="F63" s="701">
        <f t="shared" ref="F63:O63" si="18">EDATE(E63,-3)</f>
        <v>44197</v>
      </c>
      <c r="G63" s="701">
        <f t="shared" si="18"/>
        <v>44105</v>
      </c>
      <c r="H63" s="701">
        <f t="shared" si="18"/>
        <v>44013</v>
      </c>
      <c r="I63" s="701">
        <f t="shared" si="18"/>
        <v>43922</v>
      </c>
      <c r="J63" s="701">
        <f t="shared" si="18"/>
        <v>43831</v>
      </c>
      <c r="K63" s="701">
        <f t="shared" si="18"/>
        <v>43739</v>
      </c>
      <c r="L63" s="701">
        <f t="shared" si="18"/>
        <v>43647</v>
      </c>
      <c r="M63" s="701">
        <f t="shared" si="18"/>
        <v>43556</v>
      </c>
      <c r="N63" s="701">
        <f t="shared" si="18"/>
        <v>43466</v>
      </c>
      <c r="O63" s="701">
        <f t="shared" si="18"/>
        <v>43374</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2"/>
      <c r="B4" s="3373"/>
      <c r="C4" s="3373"/>
      <c r="D4" s="3374"/>
      <c r="E4" s="3374"/>
      <c r="F4" s="3374"/>
      <c r="G4" s="3374"/>
      <c r="H4" s="3374"/>
      <c r="I4" s="3374"/>
      <c r="J4" s="3375"/>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76"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377"/>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9" t="s">
        <v>2661</v>
      </c>
      <c r="X8" s="3370"/>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77"/>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1"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7"/>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7"/>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1"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76"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1"/>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8"/>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371"/>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78"/>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79"/>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76" t="s">
        <v>2704</v>
      </c>
      <c r="B16" s="2209" t="s">
        <v>2705</v>
      </c>
      <c r="C16" s="2371" t="e">
        <f>ROUND(IF(F17="与级别开发程度一致",0,(G17-E17)/C17),0)</f>
        <v>#DIV/0!</v>
      </c>
      <c r="D16" s="3392" t="s">
        <v>2709</v>
      </c>
      <c r="E16" s="3393"/>
      <c r="F16" s="3392" t="s">
        <v>2706</v>
      </c>
      <c r="G16" s="3393"/>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80"/>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ROUND(IF(H19="按公示增长率计算",SUMPRODUCT((地价!A3:A36=YEAR(G19)&amp;"-"&amp;ROUNDUP(MONTH(G19)/3,0))*(地价!X2:AB2=E2)*(地价!X3:AB36)),IF(H19="地价指数",M20/M19,(1+I19)^O19)),4)</f>
        <v>#VALUE!</v>
      </c>
      <c r="D19" s="2251" t="s">
        <v>2713</v>
      </c>
      <c r="E19" s="864">
        <v>41640</v>
      </c>
      <c r="F19" s="2251" t="s">
        <v>2714</v>
      </c>
      <c r="G19" s="865">
        <f>'数据-取费表'!B2</f>
        <v>44487</v>
      </c>
      <c r="H19" s="2252"/>
      <c r="I19" s="866" t="str">
        <f>IF(H19="季度增幅（自定义）",SUMIF(N21:N24,E2,O21:O24),"")</f>
        <v/>
      </c>
      <c r="J19" s="2249"/>
      <c r="K19" s="1287"/>
      <c r="L19" s="2253" t="s">
        <v>2715</v>
      </c>
      <c r="M19" s="1496">
        <f>ROUND(SUMIF(地价!B2:F2,E2,地价!B36:F36),0)</f>
        <v>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ROUND(SUMPRODUCT((地价!A4:A36=YEAR(G19)&amp;"-"&amp;ROUNDUP(MONTH(G19)/3,0))*(地价!B2:F2=E2)*(地价!B4:F36)),0)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t="e">
        <f>IF(B21="容积率修正",IF(G3&lt;=10,D22,J22),C23)</f>
        <v>#DIV/0!</v>
      </c>
      <c r="D21" s="2265"/>
      <c r="E21" s="2265"/>
      <c r="F21" s="2265"/>
      <c r="G21" s="2265"/>
      <c r="H21" s="2265"/>
      <c r="I21" s="2265"/>
      <c r="J21" s="2266"/>
      <c r="K21" s="1287"/>
      <c r="L21" s="3019"/>
      <c r="M21" s="3019"/>
      <c r="N21" s="2267" t="s">
        <v>2725</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9"/>
      <c r="M22" s="3019"/>
      <c r="N22" s="2267" t="s">
        <v>2729</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9"/>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94"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0"/>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0"/>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9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91"/>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9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81" t="s">
        <v>2792</v>
      </c>
      <c r="B90" s="3381"/>
      <c r="C90" s="3381"/>
      <c r="D90" s="3381"/>
      <c r="E90" s="3381"/>
      <c r="F90" s="3381"/>
      <c r="G90" s="3381"/>
      <c r="H90" s="3381"/>
      <c r="I90" s="3381"/>
      <c r="J90" s="3381"/>
      <c r="K90" s="2343"/>
      <c r="L90" s="2343"/>
      <c r="M90" s="2343"/>
      <c r="N90" s="2343"/>
    </row>
    <row r="91" spans="1:37">
      <c r="A91" s="3383" t="s">
        <v>2793</v>
      </c>
      <c r="B91" s="3383" t="s">
        <v>2794</v>
      </c>
      <c r="C91" s="2297" t="s">
        <v>2795</v>
      </c>
      <c r="D91" s="2298"/>
      <c r="E91" s="2298"/>
      <c r="F91" s="2298"/>
      <c r="G91" s="2298"/>
      <c r="H91" s="2298"/>
      <c r="I91" s="2298"/>
      <c r="J91" s="2344"/>
      <c r="K91" s="2345"/>
      <c r="L91" s="2345"/>
      <c r="M91" s="2345"/>
      <c r="N91" s="2345"/>
    </row>
    <row r="92" spans="1:37">
      <c r="A92" s="3383"/>
      <c r="B92" s="3383"/>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84"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5"/>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4"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385"/>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385"/>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385"/>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385"/>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385"/>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385"/>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385"/>
      <c r="B108" s="3387"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6"/>
      <c r="B109" s="3388"/>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382" t="s">
        <v>2800</v>
      </c>
      <c r="B110" s="3382"/>
      <c r="C110" s="3382"/>
      <c r="D110" s="3382"/>
      <c r="E110" s="3382"/>
      <c r="F110" s="3382"/>
      <c r="G110" s="3382"/>
      <c r="H110" s="3382"/>
      <c r="I110" s="3382"/>
      <c r="J110" s="3382"/>
      <c r="K110" s="2352"/>
      <c r="L110" s="2352"/>
      <c r="M110" s="2352"/>
      <c r="N110" s="2352"/>
    </row>
    <row r="112" spans="1:14" ht="13.5" thickBot="1"/>
    <row r="113" spans="1:13" ht="25.5"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5" t="s">
        <v>183</v>
      </c>
      <c r="B18" s="821" t="s">
        <v>560</v>
      </c>
      <c r="C18" s="822" t="s">
        <v>561</v>
      </c>
      <c r="D18" s="823"/>
      <c r="E18" s="821">
        <v>1</v>
      </c>
      <c r="F18" s="824" t="s">
        <v>562</v>
      </c>
      <c r="G18" s="825"/>
      <c r="H18" s="817"/>
      <c r="I18" s="817"/>
    </row>
    <row r="19" spans="1:9" s="826" customFormat="1" ht="19.5" customHeight="1">
      <c r="A19" s="3395"/>
      <c r="B19" s="3395" t="s">
        <v>563</v>
      </c>
      <c r="C19" s="822" t="s">
        <v>564</v>
      </c>
      <c r="D19" s="823"/>
      <c r="E19" s="821">
        <v>0.9</v>
      </c>
      <c r="F19" s="824" t="s">
        <v>565</v>
      </c>
      <c r="G19" s="825"/>
      <c r="H19" s="817"/>
      <c r="I19" s="817"/>
    </row>
    <row r="20" spans="1:9" s="826" customFormat="1" ht="19.5" customHeight="1">
      <c r="A20" s="3395"/>
      <c r="B20" s="3395"/>
      <c r="C20" s="822" t="s">
        <v>566</v>
      </c>
      <c r="D20" s="823"/>
      <c r="E20" s="821">
        <v>1.1000000000000001</v>
      </c>
      <c r="F20" s="824" t="s">
        <v>567</v>
      </c>
      <c r="G20" s="825"/>
      <c r="H20" s="817"/>
      <c r="I20" s="817"/>
    </row>
    <row r="21" spans="1:9" s="826" customFormat="1" ht="19.5" customHeight="1">
      <c r="A21" s="3395"/>
      <c r="B21" s="3395"/>
      <c r="C21" s="822" t="s">
        <v>568</v>
      </c>
      <c r="D21" s="823"/>
      <c r="E21" s="821">
        <v>0.8</v>
      </c>
      <c r="F21" s="824" t="s">
        <v>569</v>
      </c>
      <c r="G21" s="825"/>
      <c r="H21" s="817"/>
      <c r="I21" s="817"/>
    </row>
    <row r="22" spans="1:9" s="826" customFormat="1" ht="19.5" customHeight="1">
      <c r="A22" s="3395"/>
      <c r="B22" s="3395"/>
      <c r="C22" s="822" t="s">
        <v>570</v>
      </c>
      <c r="D22" s="823"/>
      <c r="E22" s="821">
        <v>0.5</v>
      </c>
      <c r="F22" s="824"/>
      <c r="G22" s="825"/>
      <c r="H22" s="817"/>
      <c r="I22" s="817"/>
    </row>
    <row r="23" spans="1:9" s="826" customFormat="1" ht="19.5" customHeight="1">
      <c r="A23" s="3395" t="s">
        <v>184</v>
      </c>
      <c r="B23" s="821" t="s">
        <v>560</v>
      </c>
      <c r="C23" s="822" t="s">
        <v>571</v>
      </c>
      <c r="D23" s="823"/>
      <c r="E23" s="821">
        <v>1</v>
      </c>
      <c r="F23" s="824" t="s">
        <v>572</v>
      </c>
      <c r="G23" s="825"/>
      <c r="H23" s="817"/>
      <c r="I23" s="817"/>
    </row>
    <row r="24" spans="1:9" s="826" customFormat="1" ht="19.5" customHeight="1">
      <c r="A24" s="3395"/>
      <c r="B24" s="3395" t="s">
        <v>563</v>
      </c>
      <c r="C24" s="822" t="s">
        <v>573</v>
      </c>
      <c r="D24" s="823"/>
      <c r="E24" s="821">
        <v>0.5</v>
      </c>
      <c r="F24" s="824"/>
      <c r="G24" s="825"/>
      <c r="H24" s="817"/>
      <c r="I24" s="817"/>
    </row>
    <row r="25" spans="1:9" s="826" customFormat="1" ht="19.5" customHeight="1">
      <c r="A25" s="3395"/>
      <c r="B25" s="3395"/>
      <c r="C25" s="822" t="s">
        <v>574</v>
      </c>
      <c r="D25" s="823"/>
      <c r="E25" s="821">
        <v>1.1000000000000001</v>
      </c>
      <c r="F25" s="824"/>
      <c r="G25" s="825"/>
      <c r="H25" s="817"/>
      <c r="I25" s="817"/>
    </row>
    <row r="26" spans="1:9" s="826" customFormat="1" ht="19.5" customHeight="1">
      <c r="A26" s="3395"/>
      <c r="B26" s="3395"/>
      <c r="C26" s="822" t="s">
        <v>575</v>
      </c>
      <c r="D26" s="823"/>
      <c r="E26" s="821">
        <v>1.1000000000000001</v>
      </c>
      <c r="F26" s="824"/>
      <c r="G26" s="825"/>
      <c r="H26" s="817"/>
      <c r="I26" s="817"/>
    </row>
    <row r="27" spans="1:9" s="826" customFormat="1" ht="19.5" customHeight="1">
      <c r="A27" s="3395"/>
      <c r="B27" s="3395"/>
      <c r="C27" s="822" t="s">
        <v>576</v>
      </c>
      <c r="D27" s="823"/>
      <c r="E27" s="821">
        <v>0.9</v>
      </c>
      <c r="F27" s="824" t="s">
        <v>577</v>
      </c>
      <c r="G27" s="825"/>
      <c r="H27" s="817"/>
      <c r="I27" s="817"/>
    </row>
    <row r="28" spans="1:9" s="826" customFormat="1" ht="19.5" customHeight="1">
      <c r="A28" s="3395"/>
      <c r="B28" s="3395"/>
      <c r="C28" s="822" t="s">
        <v>578</v>
      </c>
      <c r="D28" s="823"/>
      <c r="E28" s="821">
        <v>0.9</v>
      </c>
      <c r="F28" s="824" t="s">
        <v>579</v>
      </c>
      <c r="G28" s="825"/>
      <c r="H28" s="817"/>
      <c r="I28" s="817"/>
    </row>
    <row r="29" spans="1:9" s="826" customFormat="1" ht="19.5" customHeight="1">
      <c r="A29" s="3395"/>
      <c r="B29" s="3395"/>
      <c r="C29" s="822" t="s">
        <v>580</v>
      </c>
      <c r="D29" s="823"/>
      <c r="E29" s="821">
        <v>0.9</v>
      </c>
      <c r="F29" s="824" t="s">
        <v>581</v>
      </c>
      <c r="G29" s="825"/>
      <c r="H29" s="817"/>
      <c r="I29" s="817"/>
    </row>
    <row r="30" spans="1:9" s="826" customFormat="1" ht="19.5" customHeight="1">
      <c r="A30" s="3395"/>
      <c r="B30" s="3395"/>
      <c r="C30" s="822" t="s">
        <v>582</v>
      </c>
      <c r="D30" s="823"/>
      <c r="E30" s="821">
        <v>0.9</v>
      </c>
      <c r="F30" s="824" t="s">
        <v>583</v>
      </c>
      <c r="G30" s="825"/>
      <c r="H30" s="817"/>
      <c r="I30" s="817"/>
    </row>
    <row r="31" spans="1:9" s="826" customFormat="1" ht="19.5" customHeight="1">
      <c r="A31" s="3395"/>
      <c r="B31" s="3395"/>
      <c r="C31" s="822" t="s">
        <v>584</v>
      </c>
      <c r="D31" s="823"/>
      <c r="E31" s="821">
        <v>0.8</v>
      </c>
      <c r="F31" s="824" t="s">
        <v>585</v>
      </c>
      <c r="G31" s="825"/>
      <c r="H31" s="817"/>
      <c r="I31" s="817"/>
    </row>
    <row r="32" spans="1:9" s="826" customFormat="1" ht="19.5" customHeight="1">
      <c r="A32" s="3395"/>
      <c r="B32" s="3395"/>
      <c r="C32" s="822" t="s">
        <v>586</v>
      </c>
      <c r="D32" s="823"/>
      <c r="E32" s="821">
        <v>0.8</v>
      </c>
      <c r="F32" s="824" t="s">
        <v>587</v>
      </c>
      <c r="G32" s="825"/>
      <c r="H32" s="817"/>
      <c r="I32" s="817"/>
    </row>
    <row r="33" spans="1:9" s="826" customFormat="1" ht="19.5" customHeight="1">
      <c r="A33" s="3395" t="s">
        <v>185</v>
      </c>
      <c r="B33" s="821" t="s">
        <v>560</v>
      </c>
      <c r="C33" s="822" t="s">
        <v>588</v>
      </c>
      <c r="D33" s="823"/>
      <c r="E33" s="821">
        <v>1</v>
      </c>
      <c r="F33" s="824" t="s">
        <v>589</v>
      </c>
      <c r="G33" s="825"/>
      <c r="H33" s="817"/>
      <c r="I33" s="817"/>
    </row>
    <row r="34" spans="1:9" s="826" customFormat="1" ht="19.5" customHeight="1">
      <c r="A34" s="3395"/>
      <c r="B34" s="821" t="s">
        <v>563</v>
      </c>
      <c r="C34" s="822" t="s">
        <v>590</v>
      </c>
      <c r="D34" s="823"/>
      <c r="E34" s="821">
        <v>1.5</v>
      </c>
      <c r="F34" s="824" t="s">
        <v>591</v>
      </c>
      <c r="G34" s="825"/>
      <c r="H34" s="817"/>
      <c r="I34" s="817"/>
    </row>
    <row r="35" spans="1:9" s="826" customFormat="1" ht="19.5" customHeight="1">
      <c r="A35" s="3395" t="s">
        <v>186</v>
      </c>
      <c r="B35" s="821" t="s">
        <v>560</v>
      </c>
      <c r="C35" s="822" t="s">
        <v>592</v>
      </c>
      <c r="D35" s="823"/>
      <c r="E35" s="821">
        <v>1</v>
      </c>
      <c r="F35" s="824" t="s">
        <v>593</v>
      </c>
      <c r="G35" s="825"/>
      <c r="H35" s="817"/>
      <c r="I35" s="817"/>
    </row>
    <row r="36" spans="1:9" s="826" customFormat="1" ht="19.5" customHeight="1">
      <c r="A36" s="3395"/>
      <c r="B36" s="3395" t="s">
        <v>563</v>
      </c>
      <c r="C36" s="822" t="s">
        <v>594</v>
      </c>
      <c r="D36" s="823"/>
      <c r="E36" s="821">
        <v>1</v>
      </c>
      <c r="F36" s="824" t="s">
        <v>595</v>
      </c>
      <c r="G36" s="825"/>
      <c r="H36" s="817"/>
      <c r="I36" s="817"/>
    </row>
    <row r="37" spans="1:9" s="826" customFormat="1" ht="19.5" customHeight="1">
      <c r="A37" s="3395"/>
      <c r="B37" s="3395"/>
      <c r="C37" s="822" t="s">
        <v>596</v>
      </c>
      <c r="D37" s="823"/>
      <c r="E37" s="821">
        <v>1.5</v>
      </c>
      <c r="F37" s="824" t="s">
        <v>597</v>
      </c>
      <c r="G37" s="825"/>
      <c r="H37" s="817"/>
      <c r="I37" s="817"/>
    </row>
    <row r="38" spans="1:9" s="826" customFormat="1" ht="19.5" customHeight="1">
      <c r="A38" s="3395"/>
      <c r="B38" s="3395"/>
      <c r="C38" s="822" t="s">
        <v>598</v>
      </c>
      <c r="D38" s="823"/>
      <c r="E38" s="821">
        <v>1</v>
      </c>
      <c r="F38" s="824" t="s">
        <v>599</v>
      </c>
      <c r="G38" s="825"/>
      <c r="H38" s="817"/>
      <c r="I38" s="817"/>
    </row>
    <row r="39" spans="1:9" s="826" customFormat="1" ht="19.5" customHeight="1">
      <c r="A39" s="3395"/>
      <c r="B39" s="339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5" t="s">
        <v>614</v>
      </c>
      <c r="C61" s="757" t="s">
        <v>615</v>
      </c>
      <c r="D61" s="757" t="s">
        <v>616</v>
      </c>
      <c r="E61" s="834">
        <v>0.5</v>
      </c>
      <c r="F61" s="821">
        <v>80</v>
      </c>
    </row>
    <row r="62" spans="1:8" s="817" customFormat="1" ht="24">
      <c r="A62" s="821">
        <v>2</v>
      </c>
      <c r="B62" s="3395"/>
      <c r="C62" s="757" t="s">
        <v>617</v>
      </c>
      <c r="D62" s="757" t="s">
        <v>618</v>
      </c>
      <c r="E62" s="834">
        <v>0.5</v>
      </c>
      <c r="F62" s="821">
        <v>80</v>
      </c>
    </row>
    <row r="63" spans="1:8" s="817" customFormat="1" ht="36">
      <c r="A63" s="821">
        <v>3</v>
      </c>
      <c r="B63" s="3395"/>
      <c r="C63" s="757" t="s">
        <v>619</v>
      </c>
      <c r="D63" s="757" t="s">
        <v>620</v>
      </c>
      <c r="E63" s="834">
        <v>0.5</v>
      </c>
      <c r="F63" s="821">
        <v>80</v>
      </c>
    </row>
    <row r="64" spans="1:8" s="817" customFormat="1" ht="36">
      <c r="A64" s="821">
        <v>4</v>
      </c>
      <c r="B64" s="3395"/>
      <c r="C64" s="757" t="s">
        <v>621</v>
      </c>
      <c r="D64" s="757" t="s">
        <v>622</v>
      </c>
      <c r="E64" s="834">
        <v>0.4</v>
      </c>
      <c r="F64" s="821">
        <v>60</v>
      </c>
    </row>
    <row r="65" spans="1:6" s="817" customFormat="1" ht="36">
      <c r="A65" s="821">
        <v>5</v>
      </c>
      <c r="B65" s="3395"/>
      <c r="C65" s="757" t="s">
        <v>623</v>
      </c>
      <c r="D65" s="757" t="s">
        <v>624</v>
      </c>
      <c r="E65" s="834">
        <v>0.2</v>
      </c>
      <c r="F65" s="821">
        <v>30</v>
      </c>
    </row>
    <row r="66" spans="1:6" s="817" customFormat="1" ht="36">
      <c r="A66" s="821">
        <v>6</v>
      </c>
      <c r="B66" s="3395"/>
      <c r="C66" s="757" t="s">
        <v>625</v>
      </c>
      <c r="D66" s="757" t="s">
        <v>626</v>
      </c>
      <c r="E66" s="834">
        <v>0.3</v>
      </c>
      <c r="F66" s="821">
        <v>50</v>
      </c>
    </row>
    <row r="67" spans="1:6" s="817" customFormat="1" ht="36">
      <c r="A67" s="821">
        <v>7</v>
      </c>
      <c r="B67" s="3395"/>
      <c r="C67" s="757" t="s">
        <v>627</v>
      </c>
      <c r="D67" s="757" t="s">
        <v>628</v>
      </c>
      <c r="E67" s="834">
        <v>0.2</v>
      </c>
      <c r="F67" s="821">
        <v>30</v>
      </c>
    </row>
    <row r="68" spans="1:6" s="817" customFormat="1" ht="36">
      <c r="A68" s="821">
        <v>8</v>
      </c>
      <c r="B68" s="3395"/>
      <c r="C68" s="757" t="s">
        <v>629</v>
      </c>
      <c r="D68" s="757" t="s">
        <v>630</v>
      </c>
      <c r="E68" s="834">
        <v>0.2</v>
      </c>
      <c r="F68" s="821">
        <v>30</v>
      </c>
    </row>
    <row r="69" spans="1:6" s="817" customFormat="1" ht="36">
      <c r="A69" s="821">
        <v>9</v>
      </c>
      <c r="B69" s="3395"/>
      <c r="C69" s="757" t="s">
        <v>631</v>
      </c>
      <c r="D69" s="757" t="s">
        <v>632</v>
      </c>
      <c r="E69" s="834">
        <v>0.2</v>
      </c>
      <c r="F69" s="821">
        <v>30</v>
      </c>
    </row>
    <row r="70" spans="1:6" s="817" customFormat="1" ht="48">
      <c r="A70" s="821">
        <v>10</v>
      </c>
      <c r="B70" s="3395"/>
      <c r="C70" s="757" t="s">
        <v>633</v>
      </c>
      <c r="D70" s="757" t="s">
        <v>634</v>
      </c>
      <c r="E70" s="834">
        <v>0.2</v>
      </c>
      <c r="F70" s="821">
        <v>30</v>
      </c>
    </row>
    <row r="71" spans="1:6" s="817" customFormat="1" ht="48">
      <c r="A71" s="821">
        <v>11</v>
      </c>
      <c r="B71" s="3395"/>
      <c r="C71" s="757" t="s">
        <v>635</v>
      </c>
      <c r="D71" s="757" t="s">
        <v>636</v>
      </c>
      <c r="E71" s="834">
        <v>0.2</v>
      </c>
      <c r="F71" s="821">
        <v>30</v>
      </c>
    </row>
    <row r="72" spans="1:6" s="817" customFormat="1" ht="36">
      <c r="A72" s="821">
        <v>12</v>
      </c>
      <c r="B72" s="3395"/>
      <c r="C72" s="757" t="s">
        <v>637</v>
      </c>
      <c r="D72" s="757" t="s">
        <v>638</v>
      </c>
      <c r="E72" s="834">
        <v>0.5</v>
      </c>
      <c r="F72" s="821">
        <v>80</v>
      </c>
    </row>
    <row r="73" spans="1:6" s="817" customFormat="1" ht="24">
      <c r="A73" s="821">
        <v>13</v>
      </c>
      <c r="B73" s="3395"/>
      <c r="C73" s="757" t="s">
        <v>639</v>
      </c>
      <c r="D73" s="757" t="s">
        <v>640</v>
      </c>
      <c r="E73" s="834">
        <v>0.4</v>
      </c>
      <c r="F73" s="821">
        <v>60</v>
      </c>
    </row>
    <row r="74" spans="1:6" s="817" customFormat="1" ht="24">
      <c r="A74" s="821">
        <v>14</v>
      </c>
      <c r="B74" s="3395"/>
      <c r="C74" s="757" t="s">
        <v>641</v>
      </c>
      <c r="D74" s="757" t="s">
        <v>642</v>
      </c>
      <c r="E74" s="834">
        <v>0.2</v>
      </c>
      <c r="F74" s="821">
        <v>30</v>
      </c>
    </row>
    <row r="75" spans="1:6" s="817" customFormat="1" ht="24">
      <c r="A75" s="821">
        <v>15</v>
      </c>
      <c r="B75" s="3395"/>
      <c r="C75" s="757" t="s">
        <v>643</v>
      </c>
      <c r="D75" s="757" t="s">
        <v>644</v>
      </c>
      <c r="E75" s="834">
        <v>0.2</v>
      </c>
      <c r="F75" s="821">
        <v>30</v>
      </c>
    </row>
    <row r="76" spans="1:6" s="817" customFormat="1" ht="24">
      <c r="A76" s="821">
        <v>16</v>
      </c>
      <c r="B76" s="3395" t="s">
        <v>645</v>
      </c>
      <c r="C76" s="757" t="s">
        <v>646</v>
      </c>
      <c r="D76" s="757" t="s">
        <v>647</v>
      </c>
      <c r="E76" s="834">
        <v>0.5</v>
      </c>
      <c r="F76" s="821">
        <v>80</v>
      </c>
    </row>
    <row r="77" spans="1:6" s="817" customFormat="1" ht="24">
      <c r="A77" s="821">
        <v>17</v>
      </c>
      <c r="B77" s="3395"/>
      <c r="C77" s="757" t="s">
        <v>648</v>
      </c>
      <c r="D77" s="757" t="s">
        <v>649</v>
      </c>
      <c r="E77" s="834">
        <v>0.5</v>
      </c>
      <c r="F77" s="821">
        <v>80</v>
      </c>
    </row>
    <row r="78" spans="1:6" s="817" customFormat="1" ht="24">
      <c r="A78" s="821">
        <v>18</v>
      </c>
      <c r="B78" s="3395"/>
      <c r="C78" s="757" t="s">
        <v>650</v>
      </c>
      <c r="D78" s="757" t="s">
        <v>651</v>
      </c>
      <c r="E78" s="834">
        <v>0.2</v>
      </c>
      <c r="F78" s="821">
        <v>30</v>
      </c>
    </row>
    <row r="79" spans="1:6" s="817" customFormat="1" ht="24">
      <c r="A79" s="821">
        <v>19</v>
      </c>
      <c r="B79" s="3395"/>
      <c r="C79" s="757" t="s">
        <v>652</v>
      </c>
      <c r="D79" s="757" t="s">
        <v>653</v>
      </c>
      <c r="E79" s="834">
        <v>0.5</v>
      </c>
      <c r="F79" s="821">
        <v>80</v>
      </c>
    </row>
    <row r="80" spans="1:6" s="817" customFormat="1" ht="36">
      <c r="A80" s="821">
        <v>20</v>
      </c>
      <c r="B80" s="3395"/>
      <c r="C80" s="757" t="s">
        <v>654</v>
      </c>
      <c r="D80" s="757" t="s">
        <v>655</v>
      </c>
      <c r="E80" s="834">
        <v>0.2</v>
      </c>
      <c r="F80" s="821">
        <v>30</v>
      </c>
    </row>
    <row r="81" spans="1:6" s="817" customFormat="1" ht="36">
      <c r="A81" s="821">
        <v>21</v>
      </c>
      <c r="B81" s="3395"/>
      <c r="C81" s="757" t="s">
        <v>656</v>
      </c>
      <c r="D81" s="757" t="s">
        <v>657</v>
      </c>
      <c r="E81" s="834">
        <v>0.2</v>
      </c>
      <c r="F81" s="821">
        <v>30</v>
      </c>
    </row>
    <row r="82" spans="1:6" s="817" customFormat="1" ht="48">
      <c r="A82" s="821">
        <v>22</v>
      </c>
      <c r="B82" s="3395"/>
      <c r="C82" s="757" t="s">
        <v>658</v>
      </c>
      <c r="D82" s="757" t="s">
        <v>659</v>
      </c>
      <c r="E82" s="834">
        <v>0.2</v>
      </c>
      <c r="F82" s="821">
        <v>30</v>
      </c>
    </row>
    <row r="83" spans="1:6" s="817" customFormat="1" ht="48">
      <c r="A83" s="821">
        <v>23</v>
      </c>
      <c r="B83" s="3395"/>
      <c r="C83" s="757" t="s">
        <v>660</v>
      </c>
      <c r="D83" s="757" t="s">
        <v>661</v>
      </c>
      <c r="E83" s="834">
        <v>0.2</v>
      </c>
      <c r="F83" s="821">
        <v>30</v>
      </c>
    </row>
    <row r="84" spans="1:6" s="817" customFormat="1" ht="36">
      <c r="A84" s="821">
        <v>24</v>
      </c>
      <c r="B84" s="3395"/>
      <c r="C84" s="757" t="s">
        <v>662</v>
      </c>
      <c r="D84" s="757" t="s">
        <v>663</v>
      </c>
      <c r="E84" s="834">
        <v>0.2</v>
      </c>
      <c r="F84" s="821">
        <v>30</v>
      </c>
    </row>
    <row r="85" spans="1:6" s="817" customFormat="1" ht="36">
      <c r="A85" s="821">
        <v>25</v>
      </c>
      <c r="B85" s="3395"/>
      <c r="C85" s="757" t="s">
        <v>664</v>
      </c>
      <c r="D85" s="757" t="s">
        <v>665</v>
      </c>
      <c r="E85" s="834">
        <v>0.5</v>
      </c>
      <c r="F85" s="821">
        <v>80</v>
      </c>
    </row>
    <row r="86" spans="1:6" s="817" customFormat="1" ht="36">
      <c r="A86" s="821">
        <v>26</v>
      </c>
      <c r="B86" s="3395"/>
      <c r="C86" s="757" t="s">
        <v>666</v>
      </c>
      <c r="D86" s="757" t="s">
        <v>667</v>
      </c>
      <c r="E86" s="834">
        <v>0.2</v>
      </c>
      <c r="F86" s="821">
        <v>30</v>
      </c>
    </row>
    <row r="87" spans="1:6" s="817" customFormat="1" ht="36">
      <c r="A87" s="821">
        <v>27</v>
      </c>
      <c r="B87" s="3395"/>
      <c r="C87" s="757" t="s">
        <v>668</v>
      </c>
      <c r="D87" s="757" t="s">
        <v>669</v>
      </c>
      <c r="E87" s="834">
        <v>0.2</v>
      </c>
      <c r="F87" s="821">
        <v>30</v>
      </c>
    </row>
    <row r="88" spans="1:6" s="817" customFormat="1" ht="36">
      <c r="A88" s="821">
        <v>28</v>
      </c>
      <c r="B88" s="3395"/>
      <c r="C88" s="757" t="s">
        <v>670</v>
      </c>
      <c r="D88" s="757" t="s">
        <v>671</v>
      </c>
      <c r="E88" s="834">
        <v>0.2</v>
      </c>
      <c r="F88" s="821">
        <v>30</v>
      </c>
    </row>
    <row r="89" spans="1:6" s="817" customFormat="1" ht="24">
      <c r="A89" s="821">
        <v>29</v>
      </c>
      <c r="B89" s="3395"/>
      <c r="C89" s="757" t="s">
        <v>672</v>
      </c>
      <c r="D89" s="757" t="s">
        <v>673</v>
      </c>
      <c r="E89" s="834">
        <v>0.2</v>
      </c>
      <c r="F89" s="821">
        <v>30</v>
      </c>
    </row>
    <row r="90" spans="1:6" s="817" customFormat="1" ht="24">
      <c r="A90" s="821">
        <v>30</v>
      </c>
      <c r="B90" s="3395"/>
      <c r="C90" s="757" t="s">
        <v>674</v>
      </c>
      <c r="D90" s="757" t="s">
        <v>675</v>
      </c>
      <c r="E90" s="834">
        <v>0.2</v>
      </c>
      <c r="F90" s="821">
        <v>30</v>
      </c>
    </row>
    <row r="91" spans="1:6" s="817" customFormat="1" ht="36">
      <c r="A91" s="821">
        <v>31</v>
      </c>
      <c r="B91" s="3395"/>
      <c r="C91" s="757" t="s">
        <v>676</v>
      </c>
      <c r="D91" s="757" t="s">
        <v>677</v>
      </c>
      <c r="E91" s="834">
        <v>0.2</v>
      </c>
      <c r="F91" s="821">
        <v>30</v>
      </c>
    </row>
    <row r="92" spans="1:6" s="817" customFormat="1" ht="24">
      <c r="A92" s="821">
        <v>32</v>
      </c>
      <c r="B92" s="3395" t="s">
        <v>678</v>
      </c>
      <c r="C92" s="821" t="s">
        <v>679</v>
      </c>
      <c r="D92" s="757" t="s">
        <v>680</v>
      </c>
      <c r="E92" s="834">
        <v>0.2</v>
      </c>
      <c r="F92" s="821">
        <v>30</v>
      </c>
    </row>
    <row r="93" spans="1:6" s="817" customFormat="1" ht="36">
      <c r="A93" s="821">
        <v>33</v>
      </c>
      <c r="B93" s="3395"/>
      <c r="C93" s="821" t="s">
        <v>681</v>
      </c>
      <c r="D93" s="757" t="s">
        <v>682</v>
      </c>
      <c r="E93" s="834">
        <v>0.2</v>
      </c>
      <c r="F93" s="821">
        <v>30</v>
      </c>
    </row>
    <row r="94" spans="1:6" s="817" customFormat="1" ht="48">
      <c r="A94" s="821">
        <v>34</v>
      </c>
      <c r="B94" s="3395"/>
      <c r="C94" s="821" t="s">
        <v>683</v>
      </c>
      <c r="D94" s="757" t="s">
        <v>684</v>
      </c>
      <c r="E94" s="834">
        <v>0.2</v>
      </c>
      <c r="F94" s="821">
        <v>30</v>
      </c>
    </row>
    <row r="95" spans="1:6" s="817" customFormat="1" ht="36">
      <c r="A95" s="821">
        <v>35</v>
      </c>
      <c r="B95" s="3395"/>
      <c r="C95" s="821" t="s">
        <v>685</v>
      </c>
      <c r="D95" s="757" t="s">
        <v>686</v>
      </c>
      <c r="E95" s="834">
        <v>0.2</v>
      </c>
      <c r="F95" s="821">
        <v>30</v>
      </c>
    </row>
    <row r="96" spans="1:6" s="817" customFormat="1" ht="48">
      <c r="A96" s="821">
        <v>36</v>
      </c>
      <c r="B96" s="3395"/>
      <c r="C96" s="757" t="s">
        <v>687</v>
      </c>
      <c r="D96" s="757" t="s">
        <v>688</v>
      </c>
      <c r="E96" s="834">
        <v>0.2</v>
      </c>
      <c r="F96" s="821">
        <v>30</v>
      </c>
    </row>
    <row r="97" spans="1:6" s="817" customFormat="1" ht="36">
      <c r="A97" s="821">
        <v>37</v>
      </c>
      <c r="B97" s="3395"/>
      <c r="C97" s="821" t="s">
        <v>689</v>
      </c>
      <c r="D97" s="757" t="s">
        <v>690</v>
      </c>
      <c r="E97" s="834">
        <v>0.2</v>
      </c>
      <c r="F97" s="821">
        <v>30</v>
      </c>
    </row>
    <row r="98" spans="1:6" s="817" customFormat="1" ht="36">
      <c r="A98" s="821">
        <v>38</v>
      </c>
      <c r="B98" s="3395"/>
      <c r="C98" s="821" t="s">
        <v>691</v>
      </c>
      <c r="D98" s="757" t="s">
        <v>692</v>
      </c>
      <c r="E98" s="834">
        <v>0.2</v>
      </c>
      <c r="F98" s="821">
        <v>30</v>
      </c>
    </row>
    <row r="99" spans="1:6" s="817" customFormat="1" ht="36">
      <c r="A99" s="821">
        <v>39</v>
      </c>
      <c r="B99" s="3395" t="s">
        <v>693</v>
      </c>
      <c r="C99" s="821" t="s">
        <v>694</v>
      </c>
      <c r="D99" s="757" t="s">
        <v>695</v>
      </c>
      <c r="E99" s="834">
        <v>0.3</v>
      </c>
      <c r="F99" s="821">
        <v>50</v>
      </c>
    </row>
    <row r="100" spans="1:6" s="817" customFormat="1" ht="24">
      <c r="A100" s="821">
        <v>40</v>
      </c>
      <c r="B100" s="3395"/>
      <c r="C100" s="821" t="s">
        <v>696</v>
      </c>
      <c r="D100" s="757" t="s">
        <v>697</v>
      </c>
      <c r="E100" s="834">
        <v>0.2</v>
      </c>
      <c r="F100" s="821">
        <v>30</v>
      </c>
    </row>
    <row r="101" spans="1:6" s="817" customFormat="1" ht="36">
      <c r="A101" s="821">
        <v>41</v>
      </c>
      <c r="B101" s="339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5" t="s">
        <v>708</v>
      </c>
      <c r="C105" s="821" t="s">
        <v>709</v>
      </c>
      <c r="D105" s="757" t="s">
        <v>710</v>
      </c>
      <c r="E105" s="834">
        <v>0.2</v>
      </c>
      <c r="F105" s="821">
        <v>30</v>
      </c>
    </row>
    <row r="106" spans="1:6" s="817" customFormat="1" ht="36">
      <c r="A106" s="821">
        <v>46</v>
      </c>
      <c r="B106" s="3395"/>
      <c r="C106" s="821" t="s">
        <v>711</v>
      </c>
      <c r="D106" s="757" t="s">
        <v>712</v>
      </c>
      <c r="E106" s="834">
        <v>0.2</v>
      </c>
      <c r="F106" s="821">
        <v>30</v>
      </c>
    </row>
    <row r="107" spans="1:6" s="817" customFormat="1" ht="36">
      <c r="A107" s="821">
        <v>47</v>
      </c>
      <c r="B107" s="3395" t="s">
        <v>713</v>
      </c>
      <c r="C107" s="821" t="s">
        <v>714</v>
      </c>
      <c r="D107" s="757" t="s">
        <v>715</v>
      </c>
      <c r="E107" s="834">
        <v>0.3</v>
      </c>
      <c r="F107" s="821">
        <v>50</v>
      </c>
    </row>
    <row r="108" spans="1:6" s="817" customFormat="1" ht="36">
      <c r="A108" s="821">
        <v>48</v>
      </c>
      <c r="B108" s="339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5" t="s">
        <v>724</v>
      </c>
      <c r="C111" s="821" t="s">
        <v>725</v>
      </c>
      <c r="D111" s="757" t="s">
        <v>726</v>
      </c>
      <c r="E111" s="834">
        <v>0.2</v>
      </c>
      <c r="F111" s="821">
        <v>30</v>
      </c>
    </row>
    <row r="112" spans="1:6" s="817" customFormat="1" ht="24">
      <c r="A112" s="821">
        <v>52</v>
      </c>
      <c r="B112" s="3395"/>
      <c r="C112" s="821" t="s">
        <v>727</v>
      </c>
      <c r="D112" s="757" t="s">
        <v>728</v>
      </c>
      <c r="E112" s="834">
        <v>0.2</v>
      </c>
      <c r="F112" s="821">
        <v>30</v>
      </c>
    </row>
    <row r="113" spans="1:6" s="817" customFormat="1" ht="24">
      <c r="A113" s="821">
        <v>53</v>
      </c>
      <c r="B113" s="339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5" t="s">
        <v>737</v>
      </c>
      <c r="C116" s="821" t="s">
        <v>738</v>
      </c>
      <c r="D116" s="757" t="s">
        <v>739</v>
      </c>
      <c r="E116" s="834">
        <v>0.2</v>
      </c>
      <c r="F116" s="821">
        <v>30</v>
      </c>
    </row>
    <row r="117" spans="1:6" ht="36">
      <c r="A117" s="821">
        <v>57</v>
      </c>
      <c r="B117" s="339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1" t="s">
        <v>1117</v>
      </c>
      <c r="C1" s="3401"/>
      <c r="D1" s="3401"/>
      <c r="E1" s="3401"/>
      <c r="F1" s="3401"/>
      <c r="G1" s="3400" t="s">
        <v>1118</v>
      </c>
      <c r="H1" s="3400"/>
      <c r="I1" s="3400"/>
      <c r="J1" s="3400"/>
      <c r="K1" s="3400"/>
      <c r="L1" s="3400"/>
      <c r="N1" s="3400" t="s">
        <v>1119</v>
      </c>
      <c r="O1" s="3400"/>
      <c r="P1" s="3400"/>
      <c r="Q1" s="3400"/>
      <c r="S1" s="3400" t="s">
        <v>1120</v>
      </c>
      <c r="T1" s="3400"/>
      <c r="U1" s="3400"/>
      <c r="V1" s="3400"/>
      <c r="X1" s="3399" t="s">
        <v>1121</v>
      </c>
      <c r="Y1" s="3400"/>
      <c r="Z1" s="3400"/>
      <c r="AA1" s="3400"/>
      <c r="AB1" s="3400"/>
      <c r="AD1" s="3399" t="s">
        <v>1122</v>
      </c>
      <c r="AE1" s="3400"/>
      <c r="AF1" s="3400"/>
      <c r="AG1" s="3400"/>
      <c r="AH1" s="340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397">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397"/>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397"/>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06"/>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402">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397"/>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397"/>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06"/>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02">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397"/>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397"/>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398"/>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396">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397"/>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397"/>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398"/>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396">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397"/>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397"/>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398"/>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03">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04"/>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04"/>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05"/>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396">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397"/>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397"/>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398"/>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396">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397">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397">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398">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396">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397">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397">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398">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396">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397">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397">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398">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396">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397">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397">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398">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396">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397">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397">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398">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396">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397">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397">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398">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396">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397">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397">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398">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396">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397">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397">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398">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396">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397">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397">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398">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396">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397">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397">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398">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v>
      </c>
      <c r="B3" s="3081"/>
      <c r="C3" s="3081"/>
      <c r="D3" s="3081"/>
      <c r="E3" s="3081"/>
    </row>
    <row r="4" spans="1:5" ht="19.5" thickBot="1">
      <c r="A4" s="1678"/>
      <c r="B4" s="3079" t="s">
        <v>1595</v>
      </c>
      <c r="C4" s="3079"/>
      <c r="D4" s="3079"/>
      <c r="E4" s="1678"/>
    </row>
    <row r="5" spans="1:5" ht="16.5" thickTop="1">
      <c r="A5" s="1676"/>
      <c r="B5" s="3077" t="s">
        <v>1587</v>
      </c>
      <c r="C5" s="1679" t="s">
        <v>1588</v>
      </c>
      <c r="D5" s="959" t="e">
        <f ca="1">结果表!H101</f>
        <v>#REF!</v>
      </c>
      <c r="E5" s="1676"/>
    </row>
    <row r="6" spans="1:5" ht="15.75">
      <c r="A6" s="1676"/>
      <c r="B6" s="3077"/>
      <c r="C6" s="1679" t="s">
        <v>1589</v>
      </c>
      <c r="D6" s="959" t="e">
        <f ca="1">NUMBERSTRING(INT(D5*10000),2)&amp;"元整"</f>
        <v>#REF!</v>
      </c>
      <c r="E6" s="1676"/>
    </row>
    <row r="7" spans="1:5" ht="15.75">
      <c r="A7" s="1676"/>
      <c r="B7" s="3082"/>
      <c r="C7" s="1680" t="s">
        <v>1590</v>
      </c>
      <c r="D7" s="960" t="e">
        <f ca="1">结果表!H102</f>
        <v>#REF!</v>
      </c>
      <c r="E7" s="1676"/>
    </row>
    <row r="8" spans="1:5" ht="15.75">
      <c r="A8" s="1676"/>
      <c r="B8" s="3083" t="str">
        <f>结果表!E103</f>
        <v>2.估价师知悉的法定优先受偿款</v>
      </c>
      <c r="C8" s="1681" t="s">
        <v>1591</v>
      </c>
      <c r="D8" s="960">
        <f>结果表!H103</f>
        <v>0</v>
      </c>
      <c r="E8" s="1676"/>
    </row>
    <row r="9" spans="1:5" ht="15.75">
      <c r="A9" s="1676"/>
      <c r="B9" s="3085"/>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6" t="str">
        <f>结果表!E107</f>
        <v>3.房地产抵押价值</v>
      </c>
      <c r="C13" s="1684" t="s">
        <v>1588</v>
      </c>
      <c r="D13" s="962" t="e">
        <f ca="1">结果表!H107</f>
        <v>#REF!</v>
      </c>
      <c r="E13" s="1676"/>
    </row>
    <row r="14" spans="1:5" ht="15.75">
      <c r="A14" s="1676"/>
      <c r="B14" s="3077"/>
      <c r="C14" s="1679" t="s">
        <v>1589</v>
      </c>
      <c r="D14" s="959" t="e">
        <f ca="1">NUMBERSTRING(INT(D13*10000),2)&amp;"元整"</f>
        <v>#REF!</v>
      </c>
      <c r="E14" s="1676"/>
    </row>
    <row r="15" spans="1:5" ht="15">
      <c r="A15" s="1676"/>
      <c r="B15" s="3082"/>
      <c r="C15" s="1680" t="s">
        <v>1599</v>
      </c>
      <c r="D15" s="968" t="e">
        <f ca="1">结果表!H108</f>
        <v>#REF!</v>
      </c>
      <c r="E15" s="1676"/>
    </row>
    <row r="16" spans="1:5" ht="15">
      <c r="A16" s="1676"/>
      <c r="B16" s="3083" t="str">
        <f>结果表!E109</f>
        <v>——</v>
      </c>
      <c r="C16" s="1684" t="s">
        <v>1600</v>
      </c>
      <c r="D16" s="1685" t="str">
        <f>结果表!H109</f>
        <v>——</v>
      </c>
      <c r="E16" s="1676"/>
    </row>
    <row r="17" spans="1:5" ht="15.75">
      <c r="A17" s="1676"/>
      <c r="B17" s="3084"/>
      <c r="C17" s="1679" t="s">
        <v>1601</v>
      </c>
      <c r="D17" s="959" t="e">
        <f>NUMBERSTRING(INT(D16*10000),2)&amp;"元整"</f>
        <v>#VALUE!</v>
      </c>
      <c r="E17" s="1676"/>
    </row>
    <row r="18" spans="1:5" ht="15">
      <c r="A18" s="1676"/>
      <c r="B18" s="3085"/>
      <c r="C18" s="1680" t="s">
        <v>1590</v>
      </c>
      <c r="D18" s="968" t="str">
        <f>结果表!H110</f>
        <v>——</v>
      </c>
      <c r="E18" s="1676"/>
    </row>
    <row r="19" spans="1:5" ht="15.75">
      <c r="A19" s="1676"/>
      <c r="B19" s="3076" t="str">
        <f>结果表!E111</f>
        <v>——</v>
      </c>
      <c r="C19" s="1684" t="s">
        <v>1588</v>
      </c>
      <c r="D19" s="960" t="str">
        <f>结果表!H111</f>
        <v>——</v>
      </c>
      <c r="E19" s="1676"/>
    </row>
    <row r="20" spans="1:5" ht="15.75">
      <c r="A20" s="1676"/>
      <c r="B20" s="3077"/>
      <c r="C20" s="1679" t="s">
        <v>1601</v>
      </c>
      <c r="D20" s="959" t="e">
        <f>NUMBERSTRING(INT(D19*10000),2)&amp;"元整"</f>
        <v>#VALUE!</v>
      </c>
      <c r="E20" s="1676"/>
    </row>
    <row r="21" spans="1:5" ht="15.75" thickBot="1">
      <c r="A21" s="1676"/>
      <c r="B21" s="3078"/>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410" t="s">
        <v>2826</v>
      </c>
      <c r="D1" s="3411"/>
      <c r="E1" s="3411"/>
      <c r="F1" s="3411"/>
      <c r="G1" s="3411"/>
      <c r="H1" s="3411"/>
      <c r="I1" s="3411"/>
      <c r="J1" s="3411"/>
      <c r="K1" s="3411"/>
      <c r="L1" s="3411"/>
      <c r="M1" s="3411"/>
      <c r="N1" s="3411"/>
      <c r="O1" s="3411"/>
      <c r="P1" s="3411"/>
      <c r="Q1" s="3411"/>
      <c r="R1" s="3411"/>
      <c r="S1" s="3412"/>
      <c r="T1" s="1114" t="s">
        <v>2827</v>
      </c>
    </row>
    <row r="2" spans="1:45" s="663" customFormat="1">
      <c r="A2" s="1115"/>
      <c r="B2" s="659" t="s">
        <v>2828</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t="str">
        <f>A24</f>
        <v>1层</v>
      </c>
      <c r="D17" s="3074" t="str">
        <f>A25</f>
        <v>-1层</v>
      </c>
      <c r="E17" s="3074" t="str">
        <f>A26</f>
        <v>-2层</v>
      </c>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60</v>
      </c>
      <c r="E18" s="1154">
        <v>50</v>
      </c>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f ca="1">IF(D20="——",S22,S22-F20)</f>
        <v>162865</v>
      </c>
      <c r="C20" s="164"/>
      <c r="D20" s="2367" t="s">
        <v>70</v>
      </c>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f ca="1">ROUND(B20*10000/B22,0)</f>
        <v>72140</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22576.38</v>
      </c>
      <c r="C22" s="3407" t="s">
        <v>33</v>
      </c>
      <c r="D22" s="3408"/>
      <c r="E22" s="3408"/>
      <c r="F22" s="3408"/>
      <c r="G22" s="3408"/>
      <c r="H22" s="3408"/>
      <c r="I22" s="3408"/>
      <c r="J22" s="3408"/>
      <c r="K22" s="3408"/>
      <c r="L22" s="3408"/>
      <c r="M22" s="3408"/>
      <c r="N22" s="3408"/>
      <c r="O22" s="3408"/>
      <c r="P22" s="3408"/>
      <c r="Q22" s="3409"/>
      <c r="R22" s="672">
        <f ca="1">ROUND(S22*10000/B22,0)</f>
        <v>72140</v>
      </c>
      <c r="S22" s="24">
        <f ca="1">SUM(S24:S10000)</f>
        <v>162865</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072" t="str">
        <f>清单!K4</f>
        <v>1层</v>
      </c>
      <c r="B24" s="674">
        <f>清单!L4</f>
        <v>348.8</v>
      </c>
      <c r="C24" s="3041">
        <v>1</v>
      </c>
      <c r="D24" s="3042"/>
      <c r="E24" s="3041">
        <v>1</v>
      </c>
      <c r="F24" s="3042"/>
      <c r="G24" s="3041">
        <v>1</v>
      </c>
      <c r="H24" s="3042"/>
      <c r="I24" s="3041">
        <v>1</v>
      </c>
      <c r="J24" s="3042"/>
      <c r="K24" s="3041">
        <v>1</v>
      </c>
      <c r="L24" s="3042"/>
      <c r="M24" s="3041">
        <v>1</v>
      </c>
      <c r="N24" s="3042"/>
      <c r="O24" s="3041">
        <v>1</v>
      </c>
      <c r="P24" s="3042" t="s">
        <v>3227</v>
      </c>
      <c r="Q24" s="3041">
        <v>1</v>
      </c>
      <c r="R24" s="677">
        <f ca="1">结果表!G20</f>
        <v>133468</v>
      </c>
      <c r="S24" s="675">
        <f t="shared" ref="S24:S54" ca="1" si="11">ROUND(R24*B24/10000,0)</f>
        <v>4655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073" t="str">
        <f>清单!K5</f>
        <v>-1层</v>
      </c>
      <c r="B25" s="57">
        <f>清单!L5</f>
        <v>7399.5000000000018</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3230</v>
      </c>
      <c r="Q25" s="24">
        <f>(SUMIF($17:$17,P25,$18:$18)-SUMIF($17:$17,$P$24,$18:$18)+100)/100</f>
        <v>0.6</v>
      </c>
      <c r="R25" s="672">
        <f ca="1">IF(B25="",0,ROUND($R$24*C25*E25*G25*I25*K25*M25*O25*Q25,0))</f>
        <v>80081</v>
      </c>
      <c r="S25" s="322">
        <f t="shared" ca="1" si="11"/>
        <v>59256</v>
      </c>
    </row>
    <row r="26" spans="1:45">
      <c r="A26" s="3073" t="str">
        <f>清单!K6</f>
        <v>-2层</v>
      </c>
      <c r="B26" s="57">
        <f>清单!L6</f>
        <v>14828.08</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3232</v>
      </c>
      <c r="Q26" s="24">
        <f t="shared" ref="Q26:Q89" si="19">(SUMIF($17:$17,P26,$18:$18)-SUMIF($17:$17,$P$24,$18:$18)+100)/100</f>
        <v>0.5</v>
      </c>
      <c r="R26" s="672">
        <f t="shared" ref="R26:R89" ca="1" si="20">IF(B26="",0,ROUND($R$24*C26*E26*G26*I26*K26*M26*O26*Q26,0))</f>
        <v>66734</v>
      </c>
      <c r="S26" s="322">
        <f t="shared" ca="1" si="11"/>
        <v>98954</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31965</v>
      </c>
      <c r="C2" s="2" t="s">
        <v>133</v>
      </c>
      <c r="D2" s="205"/>
      <c r="E2" s="205"/>
      <c r="F2" s="205"/>
      <c r="G2" s="205"/>
    </row>
    <row r="3" spans="1:7" s="206" customFormat="1" ht="18" customHeight="1" thickBot="1">
      <c r="A3" s="209" t="s">
        <v>85</v>
      </c>
      <c r="B3" s="210">
        <f ca="1">ROUND(B2*10000/'数据-汇总表'!E3,0)</f>
        <v>14159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452</v>
      </c>
      <c r="D10" s="954">
        <f>'数据-汇总表'!E6</f>
        <v>22576.38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452</v>
      </c>
      <c r="D19" s="958">
        <f>'数据-汇总表'!E3</f>
        <v>22576.38</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1890</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40</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5371</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5371</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31217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636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174</v>
      </c>
      <c r="D34" s="223"/>
      <c r="E34" s="226"/>
      <c r="F34" s="263">
        <f>IF('数据-取费表'!B24=0,1,'数据-取费表'!N16)</f>
        <v>1</v>
      </c>
      <c r="G34" s="225" t="s">
        <v>116</v>
      </c>
    </row>
    <row r="35" spans="1:7" ht="13.5" customHeight="1">
      <c r="A35" s="888" t="s">
        <v>796</v>
      </c>
      <c r="B35" s="221" t="s">
        <v>60</v>
      </c>
      <c r="C35" s="226">
        <f>ROUND(C34*F35,0)</f>
        <v>7</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452</v>
      </c>
      <c r="D37" s="223">
        <f>'数据-汇总表'!E3</f>
        <v>22576.38</v>
      </c>
      <c r="E37" s="255">
        <f>'数据-取费表'!B35</f>
        <v>200</v>
      </c>
      <c r="F37" s="265"/>
      <c r="G37" s="267" t="s">
        <v>119</v>
      </c>
    </row>
    <row r="38" spans="1:7" ht="13.5" customHeight="1">
      <c r="A38" s="888" t="s">
        <v>799</v>
      </c>
      <c r="B38" s="221" t="s">
        <v>63</v>
      </c>
      <c r="C38" s="226">
        <f>ROUND(C34*F38,0)</f>
        <v>3</v>
      </c>
      <c r="D38" s="226"/>
      <c r="E38" s="226"/>
      <c r="F38" s="265">
        <f>'数据-取费表'!B36</f>
        <v>1.4999999999999999E-2</v>
      </c>
      <c r="G38" s="225" t="s">
        <v>117</v>
      </c>
    </row>
    <row r="39" spans="1:7" s="220" customFormat="1" ht="13.5" customHeight="1">
      <c r="A39" s="885" t="s">
        <v>783</v>
      </c>
      <c r="B39" s="216" t="s">
        <v>104</v>
      </c>
      <c r="C39" s="238">
        <f>ROUND(C33*F20,0)</f>
        <v>13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28</v>
      </c>
      <c r="D42" s="244"/>
      <c r="E42" s="244"/>
      <c r="F42" s="245"/>
      <c r="G42" s="3267" t="s">
        <v>121</v>
      </c>
    </row>
    <row r="43" spans="1:7" ht="13.5" customHeight="1">
      <c r="A43" s="888" t="s">
        <v>792</v>
      </c>
      <c r="B43" s="221" t="s">
        <v>1032</v>
      </c>
      <c r="C43" s="244">
        <f ca="1">ROUND(IF('数据-取费表'!B22&lt;=1,C39*F22*'数据-取费表'!B21/2,C39*(POWER((1+F22),'数据-取费表'!B21/2)-1)),0)</f>
        <v>1</v>
      </c>
      <c r="D43" s="244"/>
      <c r="E43" s="244"/>
      <c r="F43" s="245"/>
      <c r="G43" s="3268"/>
    </row>
    <row r="44" spans="1:7" ht="13.5" customHeight="1">
      <c r="A44" s="888" t="s">
        <v>793</v>
      </c>
      <c r="B44" s="221" t="s">
        <v>1034</v>
      </c>
      <c r="C44" s="244">
        <f ca="1">ROUND(IF('数据-取费表'!B22&lt;=1,C40*F22*'数据-取费表'!B21/2,C40*(POWER((1+F22),'数据-取费表'!B21/2)-1)),4)</f>
        <v>8.9999999999999998E-4</v>
      </c>
      <c r="D44" s="244"/>
      <c r="E44" s="244"/>
      <c r="F44" s="245"/>
      <c r="G44" s="3269"/>
    </row>
    <row r="45" spans="1:7" s="220" customFormat="1" ht="13.5" customHeight="1">
      <c r="A45" s="885" t="s">
        <v>786</v>
      </c>
      <c r="B45" s="250" t="s">
        <v>112</v>
      </c>
      <c r="C45" s="251">
        <f>C46</f>
        <v>162</v>
      </c>
      <c r="D45" s="241">
        <f>C47</f>
        <v>5.0000000000000001E-3</v>
      </c>
      <c r="E45" s="242" t="s">
        <v>129</v>
      </c>
      <c r="F45" s="252"/>
      <c r="G45" s="253" t="s">
        <v>1040</v>
      </c>
    </row>
    <row r="46" spans="1:7" s="220" customFormat="1" ht="13.5" customHeight="1">
      <c r="A46" s="888" t="s">
        <v>794</v>
      </c>
      <c r="B46" s="254" t="s">
        <v>1033</v>
      </c>
      <c r="C46" s="255">
        <f>ROUND((C33+C39)*F27,0)</f>
        <v>162</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912</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748</v>
      </c>
      <c r="D51" s="238"/>
      <c r="E51" s="238"/>
      <c r="F51" s="270"/>
      <c r="G51" s="240" t="s">
        <v>64</v>
      </c>
    </row>
    <row r="52" spans="1:7" s="214" customFormat="1" ht="16.5" thickBot="1">
      <c r="A52" s="271" t="s">
        <v>65</v>
      </c>
      <c r="B52" s="272"/>
      <c r="C52" s="273">
        <f ca="1">C31+C51</f>
        <v>31965</v>
      </c>
      <c r="D52" s="272"/>
      <c r="E52" s="272"/>
      <c r="F52" s="272"/>
      <c r="G52" s="274"/>
    </row>
    <row r="55" spans="1:7" ht="15">
      <c r="B55" s="276" t="s">
        <v>66</v>
      </c>
      <c r="C55" s="277"/>
    </row>
    <row r="56" spans="1:7">
      <c r="B56" s="279" t="s">
        <v>67</v>
      </c>
      <c r="C56" s="280">
        <f ca="1">ROUND(C51/C52,3)</f>
        <v>2.3E-2</v>
      </c>
    </row>
    <row r="57" spans="1:7">
      <c r="B57" s="279" t="s">
        <v>68</v>
      </c>
      <c r="C57" s="281">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3" t="s">
        <v>156</v>
      </c>
      <c r="B1" s="3413"/>
      <c r="C1" s="3413"/>
      <c r="D1" s="3413"/>
      <c r="E1" s="3413"/>
      <c r="F1" s="341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4" t="s">
        <v>169</v>
      </c>
      <c r="B2" s="3414"/>
      <c r="C2" s="3414"/>
      <c r="D2" s="3414"/>
      <c r="E2" s="3414"/>
      <c r="F2" s="341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3" t="s">
        <v>839</v>
      </c>
      <c r="B1" s="341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L7" sqref="L7"/>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44487</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1606</v>
      </c>
      <c r="B2" s="3096" t="s">
        <v>1607</v>
      </c>
      <c r="C2" s="3096" t="s">
        <v>1608</v>
      </c>
      <c r="D2" s="3096" t="str">
        <f>结果表!D116</f>
        <v>出让国有建设用地使用权价值</v>
      </c>
      <c r="E2" s="3096"/>
      <c r="F2" s="3096" t="str">
        <f>结果表!F116</f>
        <v>在建建筑物价值</v>
      </c>
      <c r="G2" s="3096"/>
      <c r="H2" s="3096" t="str">
        <f>IF(项目基本情况!B9="房地产市场价值","房地产市场价值","房地产价值")</f>
        <v>房地产价值</v>
      </c>
      <c r="I2" s="3096"/>
    </row>
    <row r="3" spans="1:9" ht="15">
      <c r="A3" s="3090"/>
      <c r="B3" s="3090"/>
      <c r="C3" s="3090"/>
      <c r="D3" s="963" t="s">
        <v>1603</v>
      </c>
      <c r="E3" s="963" t="s">
        <v>1609</v>
      </c>
      <c r="F3" s="963" t="s">
        <v>1603</v>
      </c>
      <c r="G3" s="963" t="s">
        <v>1604</v>
      </c>
      <c r="H3" s="963" t="s">
        <v>1603</v>
      </c>
      <c r="I3" s="963" t="s">
        <v>1604</v>
      </c>
    </row>
    <row r="4" spans="1:9" ht="15">
      <c r="A4" s="1690" t="str">
        <f>项目基本情况!S2</f>
        <v>房地产</v>
      </c>
      <c r="B4" s="963">
        <f>项目基本情况!C17</f>
        <v>22576.38</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90" t="s">
        <v>1605</v>
      </c>
      <c r="B5" s="3090"/>
      <c r="C5" s="3090"/>
      <c r="D5" s="3091" t="e">
        <f ca="1">结果表!D119</f>
        <v>#REF!</v>
      </c>
      <c r="E5" s="3091"/>
      <c r="F5" s="3091" t="e">
        <f ca="1">结果表!F119</f>
        <v>#REF!</v>
      </c>
      <c r="G5" s="3091"/>
      <c r="H5" s="3091" t="e">
        <f ca="1">结果表!H119</f>
        <v>#REF!</v>
      </c>
      <c r="I5" s="3091"/>
    </row>
    <row r="6" spans="1:9" ht="15.75">
      <c r="A6" s="3089" t="str">
        <f>结果表!A120</f>
        <v>估价师知悉的法定优先受偿款</v>
      </c>
      <c r="B6" s="3089"/>
      <c r="C6" s="3089"/>
      <c r="D6" s="3089">
        <f>结果表!D120</f>
        <v>0</v>
      </c>
      <c r="E6" s="3089"/>
      <c r="F6" s="3089"/>
      <c r="G6" s="3089"/>
      <c r="H6" s="3089"/>
      <c r="I6" s="3089"/>
    </row>
    <row r="7" spans="1:9" ht="15">
      <c r="A7" s="3090" t="s">
        <v>1605</v>
      </c>
      <c r="B7" s="3090"/>
      <c r="C7" s="3090"/>
      <c r="D7" s="3092" t="str">
        <f>结果表!D121</f>
        <v>零元整</v>
      </c>
      <c r="E7" s="3093"/>
      <c r="F7" s="3093"/>
      <c r="G7" s="3093"/>
      <c r="H7" s="3093"/>
      <c r="I7" s="3094"/>
    </row>
    <row r="8" spans="1:9" ht="15.75">
      <c r="A8" s="3089" t="str">
        <f>结果表!A122</f>
        <v>房地产抵押价值</v>
      </c>
      <c r="B8" s="3089"/>
      <c r="C8" s="3089"/>
      <c r="D8" s="3089" t="e">
        <f ca="1">结果表!D122</f>
        <v>#REF!</v>
      </c>
      <c r="E8" s="3089"/>
      <c r="F8" s="3089"/>
      <c r="G8" s="3089"/>
      <c r="H8" s="3089"/>
      <c r="I8" s="3089"/>
    </row>
    <row r="9" spans="1:9" ht="15">
      <c r="A9" s="3090" t="s">
        <v>1605</v>
      </c>
      <c r="B9" s="3090"/>
      <c r="C9" s="3090"/>
      <c r="D9" s="3091" t="e">
        <f ca="1">结果表!D123</f>
        <v>#REF!</v>
      </c>
      <c r="E9" s="3091"/>
      <c r="F9" s="3091"/>
      <c r="G9" s="3091"/>
      <c r="H9" s="3091"/>
      <c r="I9" s="3091"/>
    </row>
    <row r="10" spans="1:9" ht="15.75">
      <c r="A10" s="3089" t="str">
        <f>结果表!A124</f>
        <v/>
      </c>
      <c r="B10" s="3089"/>
      <c r="C10" s="3089"/>
      <c r="D10" s="3089" t="str">
        <f>结果表!D124</f>
        <v>——</v>
      </c>
      <c r="E10" s="3089"/>
      <c r="F10" s="3089"/>
      <c r="G10" s="3089"/>
      <c r="H10" s="3089"/>
      <c r="I10" s="3089"/>
    </row>
    <row r="11" spans="1:9" ht="15">
      <c r="A11" s="3090" t="s">
        <v>1605</v>
      </c>
      <c r="B11" s="3090"/>
      <c r="C11" s="3090"/>
      <c r="D11" s="3091" t="e">
        <f>结果表!D125</f>
        <v>#VALUE!</v>
      </c>
      <c r="E11" s="3091"/>
      <c r="F11" s="3091"/>
      <c r="G11" s="3091"/>
      <c r="H11" s="3091"/>
      <c r="I11" s="3091"/>
    </row>
    <row r="12" spans="1:9" ht="15.75">
      <c r="A12" s="3089" t="str">
        <f>结果表!A126</f>
        <v/>
      </c>
      <c r="B12" s="3089"/>
      <c r="C12" s="3089"/>
      <c r="D12" s="3089" t="str">
        <f>结果表!D126</f>
        <v>——</v>
      </c>
      <c r="E12" s="3089"/>
      <c r="F12" s="3089"/>
      <c r="G12" s="3089"/>
      <c r="H12" s="3089"/>
      <c r="I12" s="3089"/>
    </row>
    <row r="13" spans="1:9" ht="15.75" thickBot="1">
      <c r="A13" s="3086" t="s">
        <v>1605</v>
      </c>
      <c r="B13" s="3086"/>
      <c r="C13" s="3086"/>
      <c r="D13" s="3087" t="e">
        <f>结果表!D127</f>
        <v>#VALUE!</v>
      </c>
      <c r="E13" s="3087"/>
      <c r="F13" s="3087"/>
      <c r="G13" s="3087"/>
      <c r="H13" s="3087"/>
      <c r="I13" s="3087"/>
    </row>
    <row r="14" spans="1:9" ht="15" thickTop="1">
      <c r="A14" s="3088" t="s">
        <v>1610</v>
      </c>
      <c r="B14" s="3088"/>
      <c r="C14" s="3088"/>
      <c r="D14" s="3088"/>
      <c r="E14" s="3088"/>
      <c r="F14" s="3088"/>
      <c r="G14" s="3088"/>
      <c r="H14" s="3088"/>
      <c r="I14" s="308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3" t="s">
        <v>1627</v>
      </c>
      <c r="B1" s="3103"/>
      <c r="C1" s="3103"/>
      <c r="D1" s="3103"/>
    </row>
    <row r="2" spans="1:4" ht="18">
      <c r="A2" s="3104" t="s">
        <v>1611</v>
      </c>
      <c r="B2" s="3104"/>
      <c r="C2" s="3104"/>
      <c r="D2" s="3104"/>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04" t="s">
        <v>1617</v>
      </c>
      <c r="B6" s="3104"/>
      <c r="C6" s="3104"/>
      <c r="D6" s="310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5"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097" t="str">
        <f>IF(项目基本情况!B8="抵押","4.本次评估估价师所知悉的法定优先受偿款情况说明如下：","——")</f>
        <v>4.本次评估估价师所知悉的法定优先受偿款情况说明如下：</v>
      </c>
      <c r="B14" s="3102"/>
      <c r="C14" s="3102"/>
      <c r="D14" s="3102"/>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7"/>
      <c r="C15" s="3097"/>
      <c r="D15" s="3097"/>
    </row>
    <row r="16" spans="1:4" ht="30" customHeight="1">
      <c r="A16" s="3099" t="s">
        <v>1621</v>
      </c>
      <c r="B16" s="3099"/>
      <c r="C16" s="3099"/>
      <c r="D16" s="3099"/>
    </row>
    <row r="17" spans="1:4" ht="144" customHeight="1">
      <c r="A17" s="3099" t="s">
        <v>1622</v>
      </c>
      <c r="B17" s="3099"/>
      <c r="C17" s="3099"/>
      <c r="D17" s="3099"/>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0"/>
      <c r="C21" s="3100"/>
      <c r="D21" s="3100"/>
    </row>
    <row r="22" spans="1:4" ht="18.75" customHeight="1">
      <c r="A22" s="3101" t="s">
        <v>1623</v>
      </c>
      <c r="B22" s="3101"/>
      <c r="C22" s="3101"/>
      <c r="D22" s="310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8">
        <v>42551</v>
      </c>
      <c r="D31" s="30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1" t="s">
        <v>1634</v>
      </c>
      <c r="B15" s="3106" t="s">
        <v>136</v>
      </c>
      <c r="C15" s="3107"/>
    </row>
    <row r="16" spans="1:7" ht="13.5">
      <c r="A16" s="3112"/>
      <c r="B16" s="3106" t="s">
        <v>69</v>
      </c>
      <c r="C16" s="3107"/>
    </row>
    <row r="17" spans="1:3" ht="13.5">
      <c r="A17" s="3112"/>
      <c r="B17" s="3109" t="s">
        <v>1635</v>
      </c>
      <c r="C17" s="1717" t="s">
        <v>1634</v>
      </c>
    </row>
    <row r="18" spans="1:3" ht="13.5">
      <c r="A18" s="3112"/>
      <c r="B18" s="3109"/>
      <c r="C18" s="1717" t="s">
        <v>1636</v>
      </c>
    </row>
    <row r="19" spans="1:3" ht="13.5">
      <c r="A19" s="3112"/>
      <c r="B19" s="3109"/>
      <c r="C19" s="1717" t="s">
        <v>1637</v>
      </c>
    </row>
    <row r="20" spans="1:3" ht="13.5">
      <c r="A20" s="3113"/>
      <c r="B20" s="3108" t="s">
        <v>1638</v>
      </c>
      <c r="C20" s="3107"/>
    </row>
    <row r="21" spans="1:3" ht="13.5">
      <c r="A21" s="1718" t="s">
        <v>1639</v>
      </c>
      <c r="B21" s="1719"/>
      <c r="C21" s="1720"/>
    </row>
    <row r="22" spans="1:3" ht="13.5">
      <c r="A22" s="3110" t="s">
        <v>1640</v>
      </c>
      <c r="B22" s="3108" t="s">
        <v>1641</v>
      </c>
      <c r="C22" s="3107"/>
    </row>
    <row r="23" spans="1:3" ht="13.5">
      <c r="A23" s="3110"/>
      <c r="B23" s="3108" t="s">
        <v>1642</v>
      </c>
      <c r="C23" s="3107"/>
    </row>
    <row r="24" spans="1:3" ht="13.5">
      <c r="A24" s="3110"/>
      <c r="B24" s="3108" t="s">
        <v>1643</v>
      </c>
      <c r="C24" s="3107"/>
    </row>
    <row r="25" spans="1:3" ht="13.5">
      <c r="A25" s="3110"/>
      <c r="B25" s="3109" t="s">
        <v>1644</v>
      </c>
      <c r="C25" s="1717" t="s">
        <v>1645</v>
      </c>
    </row>
    <row r="26" spans="1:3" ht="13.5">
      <c r="A26" s="3110"/>
      <c r="B26" s="3109"/>
      <c r="C26" s="1717" t="s">
        <v>1646</v>
      </c>
    </row>
    <row r="27" spans="1:3" ht="13.5">
      <c r="A27" s="3110"/>
      <c r="B27" s="3109"/>
      <c r="C27" s="1717" t="s">
        <v>1647</v>
      </c>
    </row>
    <row r="28" spans="1:3" ht="13.5">
      <c r="A28" s="3110"/>
      <c r="B28" s="3109"/>
      <c r="C28" s="1717" t="s">
        <v>1648</v>
      </c>
    </row>
    <row r="29" spans="1:3" ht="13.5">
      <c r="A29" s="3110"/>
      <c r="B29" s="3109"/>
      <c r="C29" s="1717" t="s">
        <v>1649</v>
      </c>
    </row>
    <row r="30" spans="1:3" ht="13.5">
      <c r="A30" s="3110"/>
      <c r="B30" s="3109"/>
      <c r="C30" s="1717" t="s">
        <v>1650</v>
      </c>
    </row>
    <row r="31" spans="1:3" ht="13.5">
      <c r="A31" s="3110"/>
      <c r="B31" s="3109"/>
      <c r="C31" s="1717" t="s">
        <v>1651</v>
      </c>
    </row>
    <row r="32" spans="1:3" ht="13.5">
      <c r="A32" s="3110"/>
      <c r="B32" s="3109"/>
      <c r="C32" s="1717" t="s">
        <v>1652</v>
      </c>
    </row>
    <row r="33" spans="1:3" ht="13.5">
      <c r="A33" s="3110"/>
      <c r="B33" s="310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44488</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4" t="s">
        <v>2902</v>
      </c>
      <c r="B17" s="3114"/>
      <c r="C17" s="3114"/>
      <c r="D17" s="3114"/>
      <c r="E17" s="3114"/>
      <c r="F17" s="3114"/>
      <c r="G17" s="3114"/>
      <c r="H17" s="3114"/>
    </row>
    <row r="18" spans="1:8" ht="24" customHeight="1">
      <c r="A18" s="3115" t="s">
        <v>2903</v>
      </c>
      <c r="B18" s="3115"/>
      <c r="C18" s="3115"/>
      <c r="D18" s="2566"/>
      <c r="E18" s="3116" t="s">
        <v>2904</v>
      </c>
      <c r="F18" s="3115"/>
      <c r="G18" s="3115"/>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2021-10-19T03:35:16Z</dcterms:modified>
</cp:coreProperties>
</file>