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9" firstSheet="10" activeTab="4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 name="Sheet3" sheetId="79"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F103" i="79"/>
  <c r="E103"/>
  <c r="A25" i="31"/>
  <c r="B25"/>
  <c r="A26"/>
  <c r="B26"/>
  <c r="A27"/>
  <c r="B27"/>
  <c r="A28"/>
  <c r="B28"/>
  <c r="A29"/>
  <c r="B29"/>
  <c r="A30"/>
  <c r="B30"/>
  <c r="A31"/>
  <c r="B31"/>
  <c r="A32"/>
  <c r="B32"/>
  <c r="A33"/>
  <c r="B33"/>
  <c r="A34"/>
  <c r="B34"/>
  <c r="A35"/>
  <c r="B35"/>
  <c r="A36"/>
  <c r="B36"/>
  <c r="A37"/>
  <c r="B37"/>
  <c r="A38"/>
  <c r="B38"/>
  <c r="A39"/>
  <c r="B39"/>
  <c r="A40"/>
  <c r="B40"/>
  <c r="A41"/>
  <c r="B41"/>
  <c r="A42"/>
  <c r="B42"/>
  <c r="A43"/>
  <c r="B43"/>
  <c r="A44"/>
  <c r="B44"/>
  <c r="A45"/>
  <c r="B45"/>
  <c r="A46"/>
  <c r="B46"/>
  <c r="A47"/>
  <c r="B47"/>
  <c r="A48"/>
  <c r="B48"/>
  <c r="A49"/>
  <c r="B49"/>
  <c r="A50"/>
  <c r="B50"/>
  <c r="A51"/>
  <c r="B51"/>
  <c r="A52"/>
  <c r="B52"/>
  <c r="A53"/>
  <c r="B53"/>
  <c r="A54"/>
  <c r="B54"/>
  <c r="A55"/>
  <c r="B55"/>
  <c r="A56"/>
  <c r="B56"/>
  <c r="A57"/>
  <c r="B57"/>
  <c r="A58"/>
  <c r="B58"/>
  <c r="A59"/>
  <c r="B59"/>
  <c r="A60"/>
  <c r="B60"/>
  <c r="A61"/>
  <c r="B61"/>
  <c r="A62"/>
  <c r="B62"/>
  <c r="A63"/>
  <c r="B63"/>
  <c r="A64"/>
  <c r="B64"/>
  <c r="A65"/>
  <c r="B65"/>
  <c r="A66"/>
  <c r="B66"/>
  <c r="A67"/>
  <c r="B67"/>
  <c r="A68"/>
  <c r="B68"/>
  <c r="A69"/>
  <c r="B69"/>
  <c r="A70"/>
  <c r="B70"/>
  <c r="A71"/>
  <c r="B71"/>
  <c r="A72"/>
  <c r="B72"/>
  <c r="A73"/>
  <c r="B73"/>
  <c r="A74"/>
  <c r="B74"/>
  <c r="A75"/>
  <c r="B75"/>
  <c r="A76"/>
  <c r="B76"/>
  <c r="A77"/>
  <c r="B77"/>
  <c r="A78"/>
  <c r="B78"/>
  <c r="A79"/>
  <c r="B79"/>
  <c r="A80"/>
  <c r="B80"/>
  <c r="A81"/>
  <c r="B81"/>
  <c r="A82"/>
  <c r="B82"/>
  <c r="A83"/>
  <c r="B83"/>
  <c r="A84"/>
  <c r="B84"/>
  <c r="A85"/>
  <c r="B85"/>
  <c r="A86"/>
  <c r="B86"/>
  <c r="A87"/>
  <c r="B87"/>
  <c r="A88"/>
  <c r="B88"/>
  <c r="A89"/>
  <c r="B89"/>
  <c r="A90"/>
  <c r="B90"/>
  <c r="A91"/>
  <c r="B91"/>
  <c r="A92"/>
  <c r="B92"/>
  <c r="A93"/>
  <c r="B93"/>
  <c r="A94"/>
  <c r="B94"/>
  <c r="A95"/>
  <c r="B95"/>
  <c r="A96"/>
  <c r="B96"/>
  <c r="A97"/>
  <c r="B97"/>
  <c r="A98"/>
  <c r="B98"/>
  <c r="A99"/>
  <c r="B99"/>
  <c r="A100"/>
  <c r="B100"/>
  <c r="A101"/>
  <c r="B101"/>
  <c r="A102"/>
  <c r="B102"/>
  <c r="A103"/>
  <c r="B103"/>
  <c r="A104"/>
  <c r="B104"/>
  <c r="A105"/>
  <c r="B105"/>
  <c r="A106"/>
  <c r="B106"/>
  <c r="A107"/>
  <c r="B107"/>
  <c r="A108"/>
  <c r="B108"/>
  <c r="A109"/>
  <c r="B109"/>
  <c r="A110"/>
  <c r="B110"/>
  <c r="A111"/>
  <c r="B111"/>
  <c r="A112"/>
  <c r="B112"/>
  <c r="A113"/>
  <c r="B113"/>
  <c r="A114"/>
  <c r="B114"/>
  <c r="A115"/>
  <c r="B115"/>
  <c r="A116"/>
  <c r="B116"/>
  <c r="A117"/>
  <c r="B117"/>
  <c r="A118"/>
  <c r="B118"/>
  <c r="A119"/>
  <c r="B119"/>
  <c r="A120"/>
  <c r="B120"/>
  <c r="A121"/>
  <c r="B121"/>
  <c r="A122"/>
  <c r="B122"/>
  <c r="A123"/>
  <c r="B123"/>
  <c r="B24"/>
  <c r="A24"/>
  <c r="F19" i="6"/>
  <c r="E103" i="77"/>
  <c r="A3" i="3"/>
  <c r="C40" i="33"/>
  <c r="F103" i="77"/>
  <c r="F88" i="78" l="1"/>
  <c r="I65"/>
  <c r="I66"/>
  <c r="I67"/>
  <c r="I68"/>
  <c r="I69"/>
  <c r="I70"/>
  <c r="I71"/>
  <c r="I72"/>
  <c r="I73"/>
  <c r="I74"/>
  <c r="I75"/>
  <c r="I76"/>
  <c r="I77"/>
  <c r="I78"/>
  <c r="I79"/>
  <c r="I80"/>
  <c r="I81"/>
  <c r="I82"/>
  <c r="I83"/>
  <c r="I84"/>
  <c r="I85"/>
  <c r="I86"/>
  <c r="I87"/>
  <c r="I64"/>
  <c r="G65"/>
  <c r="G66"/>
  <c r="G67"/>
  <c r="G68"/>
  <c r="G69"/>
  <c r="G70"/>
  <c r="G71"/>
  <c r="G72"/>
  <c r="G73"/>
  <c r="G74"/>
  <c r="G75"/>
  <c r="G76"/>
  <c r="G77"/>
  <c r="G78"/>
  <c r="G79"/>
  <c r="G80"/>
  <c r="G81"/>
  <c r="G82"/>
  <c r="G83"/>
  <c r="G84"/>
  <c r="G85"/>
  <c r="G86"/>
  <c r="G87"/>
  <c r="G64"/>
  <c r="E65"/>
  <c r="E66"/>
  <c r="E67"/>
  <c r="E68"/>
  <c r="E69"/>
  <c r="E70"/>
  <c r="E71"/>
  <c r="E72"/>
  <c r="E73"/>
  <c r="E74"/>
  <c r="E75"/>
  <c r="E76"/>
  <c r="E77"/>
  <c r="E78"/>
  <c r="E79"/>
  <c r="E80"/>
  <c r="E81"/>
  <c r="E82"/>
  <c r="E83"/>
  <c r="E84"/>
  <c r="E85"/>
  <c r="E86"/>
  <c r="E87"/>
  <c r="E64"/>
  <c r="C67"/>
  <c r="C66"/>
  <c r="G26"/>
  <c r="F26"/>
  <c r="E26"/>
  <c r="C10"/>
  <c r="N7" i="1"/>
  <c r="N6"/>
  <c r="C118" i="33"/>
  <c r="D26" i="78"/>
  <c r="I47" i="33"/>
  <c r="H88" i="78" s="1"/>
  <c r="E47" i="33"/>
  <c r="D88" i="78" s="1"/>
  <c r="I13" i="3" l="1"/>
  <c r="A379" i="31"/>
  <c r="B379"/>
  <c r="A380"/>
  <c r="B380"/>
  <c r="A381"/>
  <c r="B381"/>
  <c r="A382"/>
  <c r="B382"/>
  <c r="A383"/>
  <c r="B383"/>
  <c r="A244"/>
  <c r="B244"/>
  <c r="A245"/>
  <c r="B245"/>
  <c r="A246"/>
  <c r="B246"/>
  <c r="A247"/>
  <c r="B247"/>
  <c r="A248"/>
  <c r="B248"/>
  <c r="A249"/>
  <c r="B249"/>
  <c r="A250"/>
  <c r="B250"/>
  <c r="A251"/>
  <c r="B251"/>
  <c r="A252"/>
  <c r="B252"/>
  <c r="A253"/>
  <c r="B253"/>
  <c r="A254"/>
  <c r="B254"/>
  <c r="A255"/>
  <c r="B255"/>
  <c r="A256"/>
  <c r="B256"/>
  <c r="A257"/>
  <c r="B257"/>
  <c r="A258"/>
  <c r="B258"/>
  <c r="A259"/>
  <c r="B259"/>
  <c r="A260"/>
  <c r="B260"/>
  <c r="A261"/>
  <c r="B261"/>
  <c r="A262"/>
  <c r="B262"/>
  <c r="A263"/>
  <c r="B263"/>
  <c r="A264"/>
  <c r="B264"/>
  <c r="A265"/>
  <c r="B265"/>
  <c r="A266"/>
  <c r="B266"/>
  <c r="A267"/>
  <c r="B267"/>
  <c r="A268"/>
  <c r="B268"/>
  <c r="A269"/>
  <c r="B269"/>
  <c r="A270"/>
  <c r="B270"/>
  <c r="A271"/>
  <c r="B271"/>
  <c r="A272"/>
  <c r="B272"/>
  <c r="A273"/>
  <c r="B273"/>
  <c r="A274"/>
  <c r="B274"/>
  <c r="A275"/>
  <c r="B275"/>
  <c r="A276"/>
  <c r="B276"/>
  <c r="A277"/>
  <c r="B277"/>
  <c r="A278"/>
  <c r="B278"/>
  <c r="A279"/>
  <c r="B279"/>
  <c r="A280"/>
  <c r="B280"/>
  <c r="A281"/>
  <c r="B281"/>
  <c r="A282"/>
  <c r="B282"/>
  <c r="A283"/>
  <c r="B283"/>
  <c r="A284"/>
  <c r="B284"/>
  <c r="A285"/>
  <c r="B285"/>
  <c r="A286"/>
  <c r="B286"/>
  <c r="A287"/>
  <c r="B287"/>
  <c r="A288"/>
  <c r="B288"/>
  <c r="A289"/>
  <c r="B289"/>
  <c r="A290"/>
  <c r="B290"/>
  <c r="A291"/>
  <c r="B291"/>
  <c r="A292"/>
  <c r="B292"/>
  <c r="A293"/>
  <c r="B293"/>
  <c r="A294"/>
  <c r="B294"/>
  <c r="A295"/>
  <c r="B295"/>
  <c r="A296"/>
  <c r="B296"/>
  <c r="A297"/>
  <c r="B297"/>
  <c r="A298"/>
  <c r="B298"/>
  <c r="A299"/>
  <c r="B299"/>
  <c r="A300"/>
  <c r="B300"/>
  <c r="A301"/>
  <c r="B301"/>
  <c r="A302"/>
  <c r="B302"/>
  <c r="A303"/>
  <c r="B303"/>
  <c r="A304"/>
  <c r="B304"/>
  <c r="A305"/>
  <c r="B305"/>
  <c r="A306"/>
  <c r="B306"/>
  <c r="A307"/>
  <c r="B307"/>
  <c r="A308"/>
  <c r="B308"/>
  <c r="A309"/>
  <c r="B309"/>
  <c r="A310"/>
  <c r="B310"/>
  <c r="A311"/>
  <c r="B311"/>
  <c r="A312"/>
  <c r="B312"/>
  <c r="A313"/>
  <c r="B313"/>
  <c r="A314"/>
  <c r="B314"/>
  <c r="A315"/>
  <c r="B315"/>
  <c r="A316"/>
  <c r="B316"/>
  <c r="A317"/>
  <c r="B317"/>
  <c r="A318"/>
  <c r="B318"/>
  <c r="A319"/>
  <c r="B319"/>
  <c r="A320"/>
  <c r="B320"/>
  <c r="A321"/>
  <c r="B321"/>
  <c r="A322"/>
  <c r="B322"/>
  <c r="A323"/>
  <c r="B323"/>
  <c r="A324"/>
  <c r="B324"/>
  <c r="A325"/>
  <c r="B325"/>
  <c r="A326"/>
  <c r="B326"/>
  <c r="A327"/>
  <c r="B327"/>
  <c r="A328"/>
  <c r="B328"/>
  <c r="A329"/>
  <c r="B329"/>
  <c r="A330"/>
  <c r="B330"/>
  <c r="A331"/>
  <c r="B331"/>
  <c r="A332"/>
  <c r="B332"/>
  <c r="A333"/>
  <c r="B333"/>
  <c r="A334"/>
  <c r="B334"/>
  <c r="A335"/>
  <c r="B335"/>
  <c r="A336"/>
  <c r="B336"/>
  <c r="A337"/>
  <c r="B337"/>
  <c r="A338"/>
  <c r="B338"/>
  <c r="A339"/>
  <c r="B339"/>
  <c r="A340"/>
  <c r="B340"/>
  <c r="A341"/>
  <c r="B341"/>
  <c r="A342"/>
  <c r="B342"/>
  <c r="A343"/>
  <c r="B343"/>
  <c r="A344"/>
  <c r="B344"/>
  <c r="A345"/>
  <c r="B345"/>
  <c r="A346"/>
  <c r="B346"/>
  <c r="A347"/>
  <c r="B347"/>
  <c r="A348"/>
  <c r="B348"/>
  <c r="A349"/>
  <c r="B349"/>
  <c r="A350"/>
  <c r="B350"/>
  <c r="A351"/>
  <c r="B351"/>
  <c r="A352"/>
  <c r="B352"/>
  <c r="A353"/>
  <c r="B353"/>
  <c r="A354"/>
  <c r="B354"/>
  <c r="A355"/>
  <c r="B355"/>
  <c r="A356"/>
  <c r="B356"/>
  <c r="A357"/>
  <c r="B357"/>
  <c r="A358"/>
  <c r="B358"/>
  <c r="A359"/>
  <c r="B359"/>
  <c r="A360"/>
  <c r="B360"/>
  <c r="A361"/>
  <c r="B361"/>
  <c r="A362"/>
  <c r="B362"/>
  <c r="A363"/>
  <c r="B363"/>
  <c r="A364"/>
  <c r="B364"/>
  <c r="A365"/>
  <c r="B365"/>
  <c r="A366"/>
  <c r="B366"/>
  <c r="A367"/>
  <c r="B367"/>
  <c r="A368"/>
  <c r="B368"/>
  <c r="A369"/>
  <c r="B369"/>
  <c r="A370"/>
  <c r="B370"/>
  <c r="A371"/>
  <c r="B371"/>
  <c r="A372"/>
  <c r="B372"/>
  <c r="A373"/>
  <c r="B373"/>
  <c r="A374"/>
  <c r="B374"/>
  <c r="A375"/>
  <c r="B375"/>
  <c r="A376"/>
  <c r="B376"/>
  <c r="A377"/>
  <c r="B377"/>
  <c r="A378"/>
  <c r="B378"/>
  <c r="C58" i="78"/>
  <c r="C87" s="1"/>
  <c r="C49"/>
  <c r="C78" s="1"/>
  <c r="C50"/>
  <c r="C79" s="1"/>
  <c r="C51"/>
  <c r="C80" s="1"/>
  <c r="C52"/>
  <c r="C81" s="1"/>
  <c r="C53"/>
  <c r="C82" s="1"/>
  <c r="C54"/>
  <c r="C83" s="1"/>
  <c r="C55"/>
  <c r="C84" s="1"/>
  <c r="C56"/>
  <c r="C85" s="1"/>
  <c r="C57"/>
  <c r="C86" s="1"/>
  <c r="C48"/>
  <c r="C77" s="1"/>
  <c r="C47"/>
  <c r="C76" s="1"/>
  <c r="C40"/>
  <c r="C69" s="1"/>
  <c r="C41"/>
  <c r="C70" s="1"/>
  <c r="C42"/>
  <c r="C71" s="1"/>
  <c r="C43"/>
  <c r="C72" s="1"/>
  <c r="C44"/>
  <c r="C73" s="1"/>
  <c r="C45"/>
  <c r="C74" s="1"/>
  <c r="C46"/>
  <c r="C75" s="1"/>
  <c r="C39"/>
  <c r="C68" s="1"/>
  <c r="C36" i="33" l="1"/>
  <c r="F20" i="6"/>
  <c r="B15" i="74" s="1"/>
  <c r="Y6" i="1" l="1"/>
  <c r="D3" i="4"/>
  <c r="AH5" i="71" l="1"/>
  <c r="AG5"/>
  <c r="AE5"/>
  <c r="AF5" s="1"/>
  <c r="AD5"/>
  <c r="Q5"/>
  <c r="P5"/>
  <c r="O5"/>
  <c r="N5"/>
  <c r="L3" l="1"/>
  <c r="K3"/>
  <c r="I3"/>
  <c r="J3" l="1"/>
  <c r="AD6" l="1"/>
  <c r="AG6"/>
  <c r="AH6"/>
  <c r="AE6"/>
  <c r="AF6" s="1"/>
  <c r="N6"/>
  <c r="Q6"/>
  <c r="P6"/>
  <c r="O6"/>
  <c r="Q7" l="1"/>
  <c r="P7"/>
  <c r="O7"/>
  <c r="N7"/>
  <c r="A2" i="53" l="1"/>
  <c r="K59" i="67" l="1"/>
  <c r="P61" s="1"/>
  <c r="K59" i="15"/>
  <c r="P74" s="1"/>
  <c r="P61" l="1"/>
  <c r="P74" i="67"/>
  <c r="D116" i="39"/>
  <c r="E116"/>
  <c r="F116"/>
  <c r="G116"/>
  <c r="H116"/>
  <c r="I116"/>
  <c r="J116"/>
  <c r="K116"/>
  <c r="L116"/>
  <c r="M116"/>
  <c r="C116"/>
  <c r="A21" i="62" l="1"/>
  <c r="A20"/>
  <c r="A22" i="51"/>
  <c r="A21"/>
  <c r="A20"/>
  <c r="A14" i="62" l="1"/>
  <c r="A13"/>
  <c r="A19" l="1"/>
  <c r="A12"/>
  <c r="A120" i="9"/>
  <c r="H2" i="52"/>
  <c r="A1"/>
  <c r="A3" i="53"/>
  <c r="Q8" i="71" l="1"/>
  <c r="P8"/>
  <c r="O8"/>
  <c r="N8"/>
  <c r="D5" i="43" l="1"/>
  <c r="A15" i="51" l="1"/>
  <c r="B11" i="76"/>
  <c r="E12"/>
  <c r="B9"/>
  <c r="B10"/>
  <c r="E9"/>
  <c r="E13"/>
  <c r="E11"/>
  <c r="E7"/>
  <c r="B12"/>
  <c r="B7"/>
  <c r="B13"/>
  <c r="B8"/>
  <c r="E8"/>
  <c r="E10"/>
  <c r="C76" i="9" l="1"/>
  <c r="I107" i="40" l="1"/>
  <c r="K6" i="4" l="1"/>
  <c r="B22" i="31" l="1"/>
  <c r="N56" i="9" l="1"/>
  <c r="M56"/>
  <c r="K56"/>
  <c r="E16" i="74" l="1"/>
  <c r="F16"/>
  <c r="E17"/>
  <c r="F17"/>
  <c r="E18"/>
  <c r="F18"/>
  <c r="E19"/>
  <c r="F19"/>
  <c r="E20"/>
  <c r="F20"/>
  <c r="E21"/>
  <c r="F21"/>
  <c r="E22"/>
  <c r="F22"/>
  <c r="E23"/>
  <c r="F23"/>
  <c r="B3" l="1"/>
  <c r="C91" i="9" l="1"/>
  <c r="B8" i="72" l="1"/>
  <c r="M19" i="43" l="1"/>
  <c r="O9" i="71" l="1"/>
  <c r="P9"/>
  <c r="Q9"/>
  <c r="N9"/>
  <c r="AE3" l="1"/>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D19"/>
  <c r="AE19"/>
  <c r="AF19" s="1"/>
  <c r="AG19"/>
  <c r="AH19"/>
  <c r="AD20"/>
  <c r="AE20"/>
  <c r="AF20" s="1"/>
  <c r="AG20"/>
  <c r="AH20"/>
  <c r="AH21"/>
  <c r="AG21"/>
  <c r="AE21"/>
  <c r="AF21" s="1"/>
  <c r="AD21"/>
  <c r="AD22"/>
  <c r="AE22"/>
  <c r="AF22" s="1"/>
  <c r="AG22"/>
  <c r="AH22"/>
  <c r="S2" i="31" l="1"/>
  <c r="M2"/>
  <c r="N2"/>
  <c r="O2"/>
  <c r="P2"/>
  <c r="Q2"/>
  <c r="R2"/>
  <c r="C1" i="73" l="1"/>
  <c r="L1" s="1"/>
  <c r="F7"/>
  <c r="J1" l="1"/>
  <c r="B74" i="72"/>
  <c r="F5" i="73"/>
  <c r="F4"/>
  <c r="F6"/>
  <c r="D5"/>
  <c r="F3"/>
  <c r="I1" l="1"/>
  <c r="B39" i="1" s="1"/>
  <c r="D3" i="73"/>
  <c r="D4"/>
  <c r="D6"/>
  <c r="D7"/>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71" i="71"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P50" s="1"/>
  <c r="C50"/>
  <c r="B50"/>
  <c r="S50" s="1"/>
  <c r="F49"/>
  <c r="F48" s="1"/>
  <c r="Q48" s="1"/>
  <c r="B49"/>
  <c r="D47"/>
  <c r="Q46"/>
  <c r="P46"/>
  <c r="O46"/>
  <c r="N46"/>
  <c r="Q45"/>
  <c r="P45"/>
  <c r="O45"/>
  <c r="N45"/>
  <c r="Q44"/>
  <c r="P44"/>
  <c r="O44"/>
  <c r="N44"/>
  <c r="Q43"/>
  <c r="F44" s="1"/>
  <c r="F45" s="1"/>
  <c r="F46" s="1"/>
  <c r="V46" s="1"/>
  <c r="P43"/>
  <c r="E44" s="1"/>
  <c r="O43"/>
  <c r="C44" s="1"/>
  <c r="N43"/>
  <c r="B44" s="1"/>
  <c r="B45" s="1"/>
  <c r="B46" s="1"/>
  <c r="S46" s="1"/>
  <c r="D43"/>
  <c r="Q42"/>
  <c r="P42"/>
  <c r="O42"/>
  <c r="N42"/>
  <c r="Q41"/>
  <c r="P41"/>
  <c r="O41"/>
  <c r="N41"/>
  <c r="Q40"/>
  <c r="P40"/>
  <c r="O40"/>
  <c r="N40"/>
  <c r="Q39"/>
  <c r="F40" s="1"/>
  <c r="F41" s="1"/>
  <c r="F42" s="1"/>
  <c r="V42" s="1"/>
  <c r="P39"/>
  <c r="E40" s="1"/>
  <c r="O39"/>
  <c r="C40" s="1"/>
  <c r="N39"/>
  <c r="B40" s="1"/>
  <c r="B41" s="1"/>
  <c r="B42" s="1"/>
  <c r="S42" s="1"/>
  <c r="D39"/>
  <c r="Q38"/>
  <c r="P38"/>
  <c r="O38"/>
  <c r="N38"/>
  <c r="Q37"/>
  <c r="P37"/>
  <c r="O37"/>
  <c r="N37"/>
  <c r="Q36"/>
  <c r="P36"/>
  <c r="O36"/>
  <c r="N36"/>
  <c r="Q35"/>
  <c r="F36" s="1"/>
  <c r="F37" s="1"/>
  <c r="F38" s="1"/>
  <c r="V38" s="1"/>
  <c r="P35"/>
  <c r="E36" s="1"/>
  <c r="O35"/>
  <c r="C36" s="1"/>
  <c r="N35"/>
  <c r="B36"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Q27"/>
  <c r="F28" s="1"/>
  <c r="F29" s="1"/>
  <c r="F30" s="1"/>
  <c r="V30" s="1"/>
  <c r="P27"/>
  <c r="E28" s="1"/>
  <c r="O27"/>
  <c r="C28" s="1"/>
  <c r="N27"/>
  <c r="B28" s="1"/>
  <c r="D27"/>
  <c r="Q26"/>
  <c r="P26"/>
  <c r="O26"/>
  <c r="N26"/>
  <c r="Q25"/>
  <c r="P25"/>
  <c r="O25"/>
  <c r="N25"/>
  <c r="Q24"/>
  <c r="P24"/>
  <c r="O24"/>
  <c r="N24"/>
  <c r="Q23"/>
  <c r="F24" s="1"/>
  <c r="F25" s="1"/>
  <c r="F26" s="1"/>
  <c r="V26" s="1"/>
  <c r="P23"/>
  <c r="E24" s="1"/>
  <c r="O23"/>
  <c r="C24" s="1"/>
  <c r="N23"/>
  <c r="B24" s="1"/>
  <c r="D23"/>
  <c r="Q22"/>
  <c r="P22"/>
  <c r="O22"/>
  <c r="N22"/>
  <c r="Q21"/>
  <c r="AB21" s="1"/>
  <c r="P21"/>
  <c r="AA21" s="1"/>
  <c r="O21"/>
  <c r="Y21" s="1"/>
  <c r="Z21" s="1"/>
  <c r="N21"/>
  <c r="Q20"/>
  <c r="AB20" s="1"/>
  <c r="P20"/>
  <c r="O20"/>
  <c r="Y20" s="1"/>
  <c r="Z20" s="1"/>
  <c r="N20"/>
  <c r="Q19"/>
  <c r="F20" s="1"/>
  <c r="F21" s="1"/>
  <c r="F22" s="1"/>
  <c r="V22" s="1"/>
  <c r="P19"/>
  <c r="O19"/>
  <c r="N19"/>
  <c r="D19"/>
  <c r="Q18"/>
  <c r="P18"/>
  <c r="O18"/>
  <c r="N18"/>
  <c r="Q17"/>
  <c r="P17"/>
  <c r="O17"/>
  <c r="N17"/>
  <c r="Q16"/>
  <c r="P16"/>
  <c r="O16"/>
  <c r="N16"/>
  <c r="Q15"/>
  <c r="F16" s="1"/>
  <c r="F17" s="1"/>
  <c r="F18" s="1"/>
  <c r="V18" s="1"/>
  <c r="P15"/>
  <c r="O15"/>
  <c r="N15"/>
  <c r="D15"/>
  <c r="Q14"/>
  <c r="P14"/>
  <c r="O14"/>
  <c r="N14"/>
  <c r="Q13"/>
  <c r="P13"/>
  <c r="O13"/>
  <c r="N13"/>
  <c r="Q12"/>
  <c r="P12"/>
  <c r="O12"/>
  <c r="N12"/>
  <c r="Q11"/>
  <c r="F12" s="1"/>
  <c r="F13" s="1"/>
  <c r="F14" s="1"/>
  <c r="V14" s="1"/>
  <c r="P11"/>
  <c r="O11"/>
  <c r="N11"/>
  <c r="D11"/>
  <c r="O10"/>
  <c r="N10"/>
  <c r="X6" s="1"/>
  <c r="B25" l="1"/>
  <c r="B26" s="1"/>
  <c r="S26" s="1"/>
  <c r="E25"/>
  <c r="E26" s="1"/>
  <c r="U26" s="1"/>
  <c r="B29"/>
  <c r="B30" s="1"/>
  <c r="S30" s="1"/>
  <c r="E29"/>
  <c r="E30" s="1"/>
  <c r="U30" s="1"/>
  <c r="X21"/>
  <c r="X5"/>
  <c r="Y5"/>
  <c r="Z5" s="1"/>
  <c r="Y6"/>
  <c r="Z6" s="1"/>
  <c r="Y12"/>
  <c r="Z12" s="1"/>
  <c r="AB12"/>
  <c r="Y13"/>
  <c r="Z13" s="1"/>
  <c r="AB13"/>
  <c r="Y14"/>
  <c r="Z14" s="1"/>
  <c r="AB14"/>
  <c r="Y16"/>
  <c r="Z16" s="1"/>
  <c r="AB16"/>
  <c r="Y17"/>
  <c r="Z17" s="1"/>
  <c r="AB17"/>
  <c r="Y18"/>
  <c r="Z18" s="1"/>
  <c r="AB18"/>
  <c r="B37"/>
  <c r="B38" s="1"/>
  <c r="S38" s="1"/>
  <c r="B12"/>
  <c r="B13" s="1"/>
  <c r="B14" s="1"/>
  <c r="S14" s="1"/>
  <c r="X11"/>
  <c r="E12"/>
  <c r="E13" s="1"/>
  <c r="E14" s="1"/>
  <c r="U14" s="1"/>
  <c r="AA11"/>
  <c r="B16"/>
  <c r="B17" s="1"/>
  <c r="B18" s="1"/>
  <c r="S18" s="1"/>
  <c r="X15"/>
  <c r="B20"/>
  <c r="B21" s="1"/>
  <c r="B22" s="1"/>
  <c r="S22" s="1"/>
  <c r="X19"/>
  <c r="E20"/>
  <c r="E21" s="1"/>
  <c r="E22" s="1"/>
  <c r="U22" s="1"/>
  <c r="AA19"/>
  <c r="N50"/>
  <c r="E16"/>
  <c r="E17" s="1"/>
  <c r="E18" s="1"/>
  <c r="U18" s="1"/>
  <c r="AA15"/>
  <c r="C12"/>
  <c r="D12" s="1"/>
  <c r="Y11"/>
  <c r="Z11" s="1"/>
  <c r="AB11"/>
  <c r="X12"/>
  <c r="AA12"/>
  <c r="X13"/>
  <c r="AA13"/>
  <c r="X14"/>
  <c r="AA14"/>
  <c r="C16"/>
  <c r="C17" s="1"/>
  <c r="Y15"/>
  <c r="Z15" s="1"/>
  <c r="AB15"/>
  <c r="X16"/>
  <c r="AA16"/>
  <c r="X17"/>
  <c r="AA17"/>
  <c r="X18"/>
  <c r="AA18"/>
  <c r="C20"/>
  <c r="C21" s="1"/>
  <c r="Y19"/>
  <c r="Z19" s="1"/>
  <c r="AB19"/>
  <c r="X20"/>
  <c r="AA20"/>
  <c r="F33"/>
  <c r="F34" s="1"/>
  <c r="V34" s="1"/>
  <c r="C10"/>
  <c r="Y3"/>
  <c r="Z3" s="1"/>
  <c r="Y7"/>
  <c r="Z7" s="1"/>
  <c r="Y8"/>
  <c r="Z8" s="1"/>
  <c r="Y9"/>
  <c r="Z9" s="1"/>
  <c r="Y10"/>
  <c r="Z10" s="1"/>
  <c r="B10"/>
  <c r="B9" s="1"/>
  <c r="B8" s="1"/>
  <c r="B7" s="1"/>
  <c r="B6" s="1"/>
  <c r="X7"/>
  <c r="X8"/>
  <c r="X9"/>
  <c r="X3"/>
  <c r="X10"/>
  <c r="C13"/>
  <c r="D16"/>
  <c r="D20"/>
  <c r="C25"/>
  <c r="D24"/>
  <c r="C29"/>
  <c r="D29" s="1"/>
  <c r="D28"/>
  <c r="C33"/>
  <c r="D32"/>
  <c r="P10"/>
  <c r="E37"/>
  <c r="E38" s="1"/>
  <c r="U38" s="1"/>
  <c r="E41"/>
  <c r="E42" s="1"/>
  <c r="U42" s="1"/>
  <c r="E45"/>
  <c r="E46" s="1"/>
  <c r="U46" s="1"/>
  <c r="Q47"/>
  <c r="U50"/>
  <c r="E49"/>
  <c r="Q10"/>
  <c r="C37"/>
  <c r="D36"/>
  <c r="C41"/>
  <c r="D40"/>
  <c r="C45"/>
  <c r="D44"/>
  <c r="N49"/>
  <c r="B48"/>
  <c r="Q49"/>
  <c r="T50"/>
  <c r="O50"/>
  <c r="D50"/>
  <c r="C49"/>
  <c r="Q50"/>
  <c r="C53"/>
  <c r="E53"/>
  <c r="E52" s="1"/>
  <c r="D54"/>
  <c r="C57"/>
  <c r="E57"/>
  <c r="E56" s="1"/>
  <c r="D58"/>
  <c r="C61"/>
  <c r="E61"/>
  <c r="E60" s="1"/>
  <c r="D62"/>
  <c r="C65"/>
  <c r="C69"/>
  <c r="AB6" l="1"/>
  <c r="AB5"/>
  <c r="S6"/>
  <c r="B5"/>
  <c r="AA6"/>
  <c r="AA5"/>
  <c r="T10"/>
  <c r="C9"/>
  <c r="S10"/>
  <c r="F10"/>
  <c r="F9" s="1"/>
  <c r="F8" s="1"/>
  <c r="F7" s="1"/>
  <c r="F6" s="1"/>
  <c r="F5" s="1"/>
  <c r="AB3"/>
  <c r="AB7"/>
  <c r="AB8"/>
  <c r="AB9"/>
  <c r="AB10"/>
  <c r="E10"/>
  <c r="E9" s="1"/>
  <c r="E8" s="1"/>
  <c r="E7" s="1"/>
  <c r="E6" s="1"/>
  <c r="AA3"/>
  <c r="AA7"/>
  <c r="AA8"/>
  <c r="AA9"/>
  <c r="AA10"/>
  <c r="D10"/>
  <c r="U10" s="1"/>
  <c r="C48"/>
  <c r="O49"/>
  <c r="D49"/>
  <c r="C46"/>
  <c r="D45"/>
  <c r="D65"/>
  <c r="C64"/>
  <c r="D64" s="1"/>
  <c r="D57"/>
  <c r="C56"/>
  <c r="D56" s="1"/>
  <c r="N47"/>
  <c r="N48"/>
  <c r="D69"/>
  <c r="C68"/>
  <c r="D68" s="1"/>
  <c r="D61"/>
  <c r="C60"/>
  <c r="D60" s="1"/>
  <c r="D53"/>
  <c r="C52"/>
  <c r="D52" s="1"/>
  <c r="C42"/>
  <c r="D41"/>
  <c r="C38"/>
  <c r="D37"/>
  <c r="P49"/>
  <c r="E48"/>
  <c r="C34"/>
  <c r="D33"/>
  <c r="C26"/>
  <c r="D25"/>
  <c r="C22"/>
  <c r="D21"/>
  <c r="C18"/>
  <c r="D17"/>
  <c r="C14"/>
  <c r="D13"/>
  <c r="E5" l="1"/>
  <c r="V6"/>
  <c r="C8"/>
  <c r="D9"/>
  <c r="V10"/>
  <c r="P47"/>
  <c r="P48"/>
  <c r="O48"/>
  <c r="D48"/>
  <c r="O47"/>
  <c r="T14"/>
  <c r="D14"/>
  <c r="T18"/>
  <c r="D18"/>
  <c r="T22"/>
  <c r="D22"/>
  <c r="T26"/>
  <c r="D26"/>
  <c r="T34"/>
  <c r="D34"/>
  <c r="T38"/>
  <c r="D38"/>
  <c r="T42"/>
  <c r="D42"/>
  <c r="T46"/>
  <c r="D46"/>
  <c r="D8" l="1"/>
  <c r="C7"/>
  <c r="O27" i="6"/>
  <c r="N27"/>
  <c r="P20"/>
  <c r="P21"/>
  <c r="P22"/>
  <c r="P23"/>
  <c r="P24"/>
  <c r="P25"/>
  <c r="P26"/>
  <c r="P19"/>
  <c r="AP8" i="1"/>
  <c r="AP9"/>
  <c r="AP10"/>
  <c r="AP11"/>
  <c r="AP12"/>
  <c r="AP13"/>
  <c r="L21" i="6"/>
  <c r="L22"/>
  <c r="L23"/>
  <c r="L24"/>
  <c r="L25"/>
  <c r="L26"/>
  <c r="D7" i="71" l="1"/>
  <c r="C6"/>
  <c r="P27" i="6"/>
  <c r="A7" i="70"/>
  <c r="A8"/>
  <c r="E8" s="1"/>
  <c r="A9"/>
  <c r="E9" s="1"/>
  <c r="A10"/>
  <c r="E10" s="1"/>
  <c r="A11"/>
  <c r="E11" s="1"/>
  <c r="A12"/>
  <c r="E12" s="1"/>
  <c r="A13"/>
  <c r="E13" s="1"/>
  <c r="A6"/>
  <c r="T6" i="71" l="1"/>
  <c r="C5"/>
  <c r="D5" s="1"/>
  <c r="D6"/>
  <c r="U6" s="1"/>
  <c r="Q25" i="40"/>
  <c r="Z25" s="1"/>
  <c r="D94"/>
  <c r="E94" s="1"/>
  <c r="F25"/>
  <c r="AA25" s="1"/>
  <c r="Q29" i="39"/>
  <c r="Z29" s="1"/>
  <c r="D103"/>
  <c r="E103" s="1"/>
  <c r="F29"/>
  <c r="AA29" s="1"/>
  <c r="Q18" i="36"/>
  <c r="Z18" s="1"/>
  <c r="D66"/>
  <c r="E66" s="1"/>
  <c r="F66" s="1"/>
  <c r="H18"/>
  <c r="AB18" s="1"/>
  <c r="F18"/>
  <c r="AA18" s="1"/>
  <c r="C18"/>
  <c r="Q18" i="35"/>
  <c r="Z18" s="1"/>
  <c r="D68"/>
  <c r="E68" s="1"/>
  <c r="F18"/>
  <c r="AA18" s="1"/>
  <c r="C18"/>
  <c r="Q21" i="37"/>
  <c r="Z21" s="1"/>
  <c r="D77"/>
  <c r="E77" s="1"/>
  <c r="C21"/>
  <c r="Q21" i="34"/>
  <c r="Z21" s="1"/>
  <c r="D84"/>
  <c r="E84" s="1"/>
  <c r="F21"/>
  <c r="AA21" s="1"/>
  <c r="C21"/>
  <c r="Q21" i="33"/>
  <c r="Z21" s="1"/>
  <c r="D83"/>
  <c r="E83" s="1"/>
  <c r="C21"/>
  <c r="C21" i="21"/>
  <c r="Q21"/>
  <c r="Z21" s="1"/>
  <c r="H19"/>
  <c r="D83"/>
  <c r="F21" s="1"/>
  <c r="AA21" s="1"/>
  <c r="D81"/>
  <c r="G20" i="20"/>
  <c r="B86" i="43" s="1"/>
  <c r="C22" i="20"/>
  <c r="AO9" i="1"/>
  <c r="AO11"/>
  <c r="AO12"/>
  <c r="AO10"/>
  <c r="AO13"/>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C51" i="10" s="1"/>
  <c r="A13" i="51" s="1"/>
  <c r="B11" i="72" s="1"/>
  <c r="S1" i="4"/>
  <c r="B1"/>
  <c r="B37" i="48" s="1"/>
  <c r="B2" i="72" s="1"/>
  <c r="C31" i="66"/>
  <c r="C27"/>
  <c r="C32" s="1"/>
  <c r="I23"/>
  <c r="D20"/>
  <c r="I19"/>
  <c r="I18"/>
  <c r="I17"/>
  <c r="E15"/>
  <c r="I14"/>
  <c r="I13"/>
  <c r="I12"/>
  <c r="I15"/>
  <c r="I9"/>
  <c r="I8"/>
  <c r="I7"/>
  <c r="I6"/>
  <c r="I5"/>
  <c r="I4"/>
  <c r="I3"/>
  <c r="I10"/>
  <c r="I21" s="1"/>
  <c r="M11" i="15"/>
  <c r="D1" i="43"/>
  <c r="F113"/>
  <c r="N99"/>
  <c r="N108" s="1"/>
  <c r="D99"/>
  <c r="D108" s="1"/>
  <c r="E99"/>
  <c r="F99"/>
  <c r="F108" s="1"/>
  <c r="G99"/>
  <c r="G108" s="1"/>
  <c r="H99"/>
  <c r="H108" s="1"/>
  <c r="I99"/>
  <c r="J99"/>
  <c r="J108" s="1"/>
  <c r="K99"/>
  <c r="K108" s="1"/>
  <c r="L99"/>
  <c r="L108" s="1"/>
  <c r="M99"/>
  <c r="C99"/>
  <c r="C108" s="1"/>
  <c r="N100"/>
  <c r="D100"/>
  <c r="L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B13" s="1"/>
  <c r="E13" s="1"/>
  <c r="A6"/>
  <c r="B11"/>
  <c r="E11" s="1"/>
  <c r="K10"/>
  <c r="K13"/>
  <c r="M13" s="1"/>
  <c r="O13" s="1"/>
  <c r="P13" s="1"/>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BA111" s="1"/>
  <c r="AX111"/>
  <c r="AW111"/>
  <c r="AV111"/>
  <c r="AC111"/>
  <c r="H111"/>
  <c r="BT110"/>
  <c r="BS110"/>
  <c r="BR110"/>
  <c r="BQ110"/>
  <c r="BP110"/>
  <c r="BO110"/>
  <c r="BN110"/>
  <c r="BM110"/>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G108" s="1"/>
  <c r="BT107"/>
  <c r="BS107"/>
  <c r="BR107"/>
  <c r="BQ107"/>
  <c r="BP107"/>
  <c r="BO107"/>
  <c r="BN107"/>
  <c r="BM107"/>
  <c r="BK107"/>
  <c r="BJ107"/>
  <c r="BI107"/>
  <c r="BH107"/>
  <c r="BG107"/>
  <c r="BF107"/>
  <c r="BE107"/>
  <c r="BD107"/>
  <c r="BC107"/>
  <c r="BB107"/>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BT101"/>
  <c r="BS101"/>
  <c r="BR101"/>
  <c r="BQ101"/>
  <c r="BP101"/>
  <c r="BO101"/>
  <c r="BN101"/>
  <c r="BM10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s="1"/>
  <c r="AZ100" s="1"/>
  <c r="AX100"/>
  <c r="AW100"/>
  <c r="AV100"/>
  <c r="AC100"/>
  <c r="H100"/>
  <c r="BT99"/>
  <c r="BS99"/>
  <c r="BR99"/>
  <c r="BQ99"/>
  <c r="BP99"/>
  <c r="BO99"/>
  <c r="BN99"/>
  <c r="BM99"/>
  <c r="BK99"/>
  <c r="BJ99"/>
  <c r="BI99"/>
  <c r="BH99"/>
  <c r="BG99"/>
  <c r="BF99"/>
  <c r="BE99"/>
  <c r="BD99"/>
  <c r="BC99"/>
  <c r="BB99"/>
  <c r="AX99"/>
  <c r="AW99"/>
  <c r="AV99"/>
  <c r="AC99"/>
  <c r="H99"/>
  <c r="G99" s="1"/>
  <c r="BT98"/>
  <c r="BS98"/>
  <c r="BR98"/>
  <c r="BQ98"/>
  <c r="BP98"/>
  <c r="BO98"/>
  <c r="BN98"/>
  <c r="BM98"/>
  <c r="BK98"/>
  <c r="BJ98"/>
  <c r="BI98"/>
  <c r="BH98"/>
  <c r="BG98"/>
  <c r="BF98"/>
  <c r="BE98"/>
  <c r="BD98"/>
  <c r="BC98"/>
  <c r="BB98"/>
  <c r="BA98" s="1"/>
  <c r="AX98"/>
  <c r="AW98"/>
  <c r="AV98"/>
  <c r="AC98"/>
  <c r="H98"/>
  <c r="BT97"/>
  <c r="BS97"/>
  <c r="BR97"/>
  <c r="BQ97"/>
  <c r="BP97"/>
  <c r="BO97"/>
  <c r="BN97"/>
  <c r="BM97"/>
  <c r="BL97" s="1"/>
  <c r="BK97"/>
  <c r="BJ97"/>
  <c r="BI97"/>
  <c r="BH97"/>
  <c r="BG97"/>
  <c r="BF97"/>
  <c r="BE97"/>
  <c r="BD97"/>
  <c r="BC97"/>
  <c r="BB97"/>
  <c r="AX97"/>
  <c r="AW97"/>
  <c r="AV97"/>
  <c r="AC97"/>
  <c r="H97"/>
  <c r="BT96"/>
  <c r="BS96"/>
  <c r="BR96"/>
  <c r="BQ96"/>
  <c r="BP96"/>
  <c r="BO96"/>
  <c r="BN96"/>
  <c r="BM96"/>
  <c r="BL96" s="1"/>
  <c r="BK96"/>
  <c r="BJ96"/>
  <c r="BI96"/>
  <c r="BH96"/>
  <c r="BG96"/>
  <c r="BF96"/>
  <c r="BE96"/>
  <c r="BD96"/>
  <c r="BC96"/>
  <c r="BB96"/>
  <c r="AX96"/>
  <c r="AW96"/>
  <c r="AV96"/>
  <c r="AC96"/>
  <c r="H96"/>
  <c r="G96" s="1"/>
  <c r="BT95"/>
  <c r="BS95"/>
  <c r="BR95"/>
  <c r="BQ95"/>
  <c r="BP95"/>
  <c r="BO95"/>
  <c r="BN95"/>
  <c r="BM95"/>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BT93"/>
  <c r="BS93"/>
  <c r="BR93"/>
  <c r="BQ93"/>
  <c r="BP93"/>
  <c r="BO93"/>
  <c r="BN93"/>
  <c r="BM93"/>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BT91"/>
  <c r="BS91"/>
  <c r="BR91"/>
  <c r="BQ91"/>
  <c r="BP91"/>
  <c r="BO91"/>
  <c r="BN91"/>
  <c r="BM91"/>
  <c r="BK91"/>
  <c r="BJ91"/>
  <c r="BI91"/>
  <c r="BH91"/>
  <c r="BG91"/>
  <c r="BF91"/>
  <c r="BE91"/>
  <c r="BD91"/>
  <c r="BC91"/>
  <c r="BB91"/>
  <c r="BA91"/>
  <c r="AX91"/>
  <c r="AW91"/>
  <c r="AV91"/>
  <c r="AC91"/>
  <c r="H9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s="1"/>
  <c r="AX89"/>
  <c r="AW89"/>
  <c r="AV89"/>
  <c r="AC89"/>
  <c r="H89"/>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BT86"/>
  <c r="BS86"/>
  <c r="BR86"/>
  <c r="BQ86"/>
  <c r="BP86"/>
  <c r="BO86"/>
  <c r="BN86"/>
  <c r="BM86"/>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L83"/>
  <c r="BK83"/>
  <c r="BJ83"/>
  <c r="BI83"/>
  <c r="BH83"/>
  <c r="BG83"/>
  <c r="BF83"/>
  <c r="BE83"/>
  <c r="BD83"/>
  <c r="BC83"/>
  <c r="BB83"/>
  <c r="BA83" s="1"/>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BT80"/>
  <c r="BS80"/>
  <c r="BR80"/>
  <c r="BQ80"/>
  <c r="BP80"/>
  <c r="BO80"/>
  <c r="BN80"/>
  <c r="BM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Z78" s="1"/>
  <c r="AX78"/>
  <c r="AW78"/>
  <c r="AV78"/>
  <c r="AC78"/>
  <c r="H78"/>
  <c r="BT77"/>
  <c r="BS77"/>
  <c r="BR77"/>
  <c r="BQ77"/>
  <c r="BP77"/>
  <c r="BO77"/>
  <c r="BN77"/>
  <c r="BM77"/>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s="1"/>
  <c r="AZ76" s="1"/>
  <c r="AX76"/>
  <c r="AW76"/>
  <c r="AV76"/>
  <c r="AC76"/>
  <c r="H76"/>
  <c r="BT75"/>
  <c r="BS75"/>
  <c r="BR75"/>
  <c r="BQ75"/>
  <c r="BP75"/>
  <c r="BO75"/>
  <c r="BN75"/>
  <c r="BM75"/>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BT73"/>
  <c r="BS73"/>
  <c r="BR73"/>
  <c r="BQ73"/>
  <c r="BP73"/>
  <c r="BO73"/>
  <c r="BN73"/>
  <c r="BM73"/>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s="1"/>
  <c r="AX72"/>
  <c r="AW72"/>
  <c r="AV72"/>
  <c r="AC72"/>
  <c r="H72"/>
  <c r="G72" s="1"/>
  <c r="BT71"/>
  <c r="BS71"/>
  <c r="BR71"/>
  <c r="BQ71"/>
  <c r="BP71"/>
  <c r="BO71"/>
  <c r="BN71"/>
  <c r="BM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BT69"/>
  <c r="BS69"/>
  <c r="BR69"/>
  <c r="BQ69"/>
  <c r="BP69"/>
  <c r="BO69"/>
  <c r="BN69"/>
  <c r="BM69"/>
  <c r="BL69" s="1"/>
  <c r="BK69"/>
  <c r="BJ69"/>
  <c r="BI69"/>
  <c r="BH69"/>
  <c r="BG69"/>
  <c r="BF69"/>
  <c r="BE69"/>
  <c r="BD69"/>
  <c r="BC69"/>
  <c r="BB69"/>
  <c r="AX69"/>
  <c r="AW69"/>
  <c r="AV69"/>
  <c r="AC69"/>
  <c r="H69"/>
  <c r="BT68"/>
  <c r="BS68"/>
  <c r="BR68"/>
  <c r="BQ68"/>
  <c r="BP68"/>
  <c r="BO68"/>
  <c r="BN68"/>
  <c r="BM68"/>
  <c r="BL68" s="1"/>
  <c r="BK68"/>
  <c r="BJ68"/>
  <c r="BI68"/>
  <c r="BH68"/>
  <c r="BG68"/>
  <c r="BF68"/>
  <c r="BE68"/>
  <c r="BD68"/>
  <c r="BC68"/>
  <c r="BB68"/>
  <c r="AX68"/>
  <c r="AW68"/>
  <c r="AV68"/>
  <c r="AC68"/>
  <c r="H68"/>
  <c r="G68" s="1"/>
  <c r="BT67"/>
  <c r="BS67"/>
  <c r="BR67"/>
  <c r="BQ67"/>
  <c r="BP67"/>
  <c r="BO67"/>
  <c r="BN67"/>
  <c r="BM67"/>
  <c r="BK67"/>
  <c r="BJ67"/>
  <c r="BI67"/>
  <c r="BH67"/>
  <c r="BG67"/>
  <c r="BF67"/>
  <c r="BE67"/>
  <c r="BD67"/>
  <c r="BC67"/>
  <c r="BB67"/>
  <c r="AX67"/>
  <c r="AW67"/>
  <c r="AV67"/>
  <c r="AC67"/>
  <c r="H67"/>
  <c r="G67" s="1"/>
  <c r="BT66"/>
  <c r="BS66"/>
  <c r="BR66"/>
  <c r="BQ66"/>
  <c r="BP66"/>
  <c r="BO66"/>
  <c r="BN66"/>
  <c r="BM66"/>
  <c r="BK66"/>
  <c r="BJ66"/>
  <c r="BI66"/>
  <c r="BH66"/>
  <c r="BG66"/>
  <c r="BF66"/>
  <c r="BE66"/>
  <c r="BD66"/>
  <c r="BC66"/>
  <c r="BB66"/>
  <c r="BA66" s="1"/>
  <c r="AX66"/>
  <c r="AW66"/>
  <c r="AV66"/>
  <c r="AC66"/>
  <c r="H66"/>
  <c r="G66" s="1"/>
  <c r="BT65"/>
  <c r="BS65"/>
  <c r="BR65"/>
  <c r="BQ65"/>
  <c r="BP65"/>
  <c r="BO65"/>
  <c r="BN65"/>
  <c r="BM65"/>
  <c r="BK65"/>
  <c r="BJ65"/>
  <c r="BI65"/>
  <c r="BH65"/>
  <c r="BG65"/>
  <c r="BF65"/>
  <c r="BE65"/>
  <c r="BD65"/>
  <c r="BC65"/>
  <c r="BB65"/>
  <c r="AX65"/>
  <c r="AW65"/>
  <c r="AV65"/>
  <c r="AC65"/>
  <c r="H65"/>
  <c r="G65" s="1"/>
  <c r="BT64"/>
  <c r="BS64"/>
  <c r="BR64"/>
  <c r="BQ64"/>
  <c r="BP64"/>
  <c r="BO64"/>
  <c r="BN64"/>
  <c r="BM64"/>
  <c r="BL64" s="1"/>
  <c r="BK64"/>
  <c r="BJ64"/>
  <c r="BI64"/>
  <c r="BH64"/>
  <c r="BG64"/>
  <c r="BF64"/>
  <c r="BE64"/>
  <c r="BD64"/>
  <c r="BC64"/>
  <c r="BB64"/>
  <c r="AX64"/>
  <c r="AW64"/>
  <c r="AV64"/>
  <c r="AC64"/>
  <c r="H64"/>
  <c r="BT63"/>
  <c r="BS63"/>
  <c r="BR63"/>
  <c r="BQ63"/>
  <c r="BP63"/>
  <c r="BO63"/>
  <c r="BN63"/>
  <c r="BM63"/>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s="1"/>
  <c r="AZ62" s="1"/>
  <c r="AX62"/>
  <c r="AW62"/>
  <c r="AV62"/>
  <c r="AC62"/>
  <c r="H62"/>
  <c r="BT61"/>
  <c r="BS61"/>
  <c r="BR61"/>
  <c r="BQ61"/>
  <c r="BP61"/>
  <c r="BO61"/>
  <c r="BN61"/>
  <c r="BM61"/>
  <c r="BK61"/>
  <c r="BJ61"/>
  <c r="BI61"/>
  <c r="BH61"/>
  <c r="BG61"/>
  <c r="BF61"/>
  <c r="BE61"/>
  <c r="BD61"/>
  <c r="BC61"/>
  <c r="BB61"/>
  <c r="AX61"/>
  <c r="AW61"/>
  <c r="AV61"/>
  <c r="AC61"/>
  <c r="H61"/>
  <c r="G61" s="1"/>
  <c r="BT60"/>
  <c r="BS60"/>
  <c r="BR60"/>
  <c r="BQ60"/>
  <c r="BP60"/>
  <c r="BO60"/>
  <c r="BN60"/>
  <c r="BM60"/>
  <c r="BL60" s="1"/>
  <c r="BK60"/>
  <c r="BJ60"/>
  <c r="BI60"/>
  <c r="BH60"/>
  <c r="BG60"/>
  <c r="BF60"/>
  <c r="BE60"/>
  <c r="BD60"/>
  <c r="BC60"/>
  <c r="BB60"/>
  <c r="AX60"/>
  <c r="AW60"/>
  <c r="AV60"/>
  <c r="AC60"/>
  <c r="H60"/>
  <c r="BT59"/>
  <c r="BS59"/>
  <c r="BR59"/>
  <c r="BQ59"/>
  <c r="BP59"/>
  <c r="BO59"/>
  <c r="BN59"/>
  <c r="BM59"/>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s="1"/>
  <c r="AX58"/>
  <c r="AW58"/>
  <c r="AV58"/>
  <c r="AC58"/>
  <c r="H58"/>
  <c r="BT57"/>
  <c r="BS57"/>
  <c r="BR57"/>
  <c r="BQ57"/>
  <c r="BP57"/>
  <c r="BO57"/>
  <c r="BN57"/>
  <c r="BM57"/>
  <c r="BK57"/>
  <c r="BJ57"/>
  <c r="BI57"/>
  <c r="BH57"/>
  <c r="BG57"/>
  <c r="BF57"/>
  <c r="BE57"/>
  <c r="BD57"/>
  <c r="BC57"/>
  <c r="BB57"/>
  <c r="BA57"/>
  <c r="AX57"/>
  <c r="AW57"/>
  <c r="AV57"/>
  <c r="AC57"/>
  <c r="H57"/>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s="1"/>
  <c r="AX55"/>
  <c r="AW55"/>
  <c r="AV55"/>
  <c r="AC55"/>
  <c r="H55"/>
  <c r="BT54"/>
  <c r="BS54"/>
  <c r="BR54"/>
  <c r="BQ54"/>
  <c r="BP54"/>
  <c r="BO54"/>
  <c r="BN54"/>
  <c r="BM54"/>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BA53" s="1"/>
  <c r="AX53"/>
  <c r="AW53"/>
  <c r="AV53"/>
  <c r="AC53"/>
  <c r="H53"/>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s="1"/>
  <c r="AX51"/>
  <c r="AW51"/>
  <c r="AV51"/>
  <c r="AC51"/>
  <c r="H51"/>
  <c r="BT50"/>
  <c r="BS50"/>
  <c r="BR50"/>
  <c r="BQ50"/>
  <c r="BP50"/>
  <c r="BO50"/>
  <c r="BN50"/>
  <c r="BM50"/>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s="1"/>
  <c r="AZ49" s="1"/>
  <c r="AX49"/>
  <c r="AW49"/>
  <c r="AV49"/>
  <c r="AC49"/>
  <c r="H49"/>
  <c r="BT48"/>
  <c r="BS48"/>
  <c r="BR48"/>
  <c r="BQ48"/>
  <c r="BP48"/>
  <c r="BO48"/>
  <c r="BN48"/>
  <c r="BM48"/>
  <c r="BK48"/>
  <c r="BJ48"/>
  <c r="BI48"/>
  <c r="BH48"/>
  <c r="BG48"/>
  <c r="BF48"/>
  <c r="BE48"/>
  <c r="BD48"/>
  <c r="BC48"/>
  <c r="BB48"/>
  <c r="AX48"/>
  <c r="AW48"/>
  <c r="AV48"/>
  <c r="AC48"/>
  <c r="H48"/>
  <c r="G48" s="1"/>
  <c r="BT47"/>
  <c r="BS47"/>
  <c r="BR47"/>
  <c r="BQ47"/>
  <c r="BP47"/>
  <c r="BO47"/>
  <c r="BN47"/>
  <c r="BM47"/>
  <c r="BK47"/>
  <c r="BJ47"/>
  <c r="BI47"/>
  <c r="BH47"/>
  <c r="BG47"/>
  <c r="BF47"/>
  <c r="BE47"/>
  <c r="BD47"/>
  <c r="BC47"/>
  <c r="BB47"/>
  <c r="BA47" s="1"/>
  <c r="AX47"/>
  <c r="AW47"/>
  <c r="AV47"/>
  <c r="AC47"/>
  <c r="H47"/>
  <c r="G47" s="1"/>
  <c r="BT46"/>
  <c r="BS46"/>
  <c r="BR46"/>
  <c r="BQ46"/>
  <c r="BP46"/>
  <c r="BO46"/>
  <c r="BN46"/>
  <c r="BM46"/>
  <c r="BK46"/>
  <c r="BJ46"/>
  <c r="BI46"/>
  <c r="BH46"/>
  <c r="BG46"/>
  <c r="BF46"/>
  <c r="BE46"/>
  <c r="BD46"/>
  <c r="BC46"/>
  <c r="BB46"/>
  <c r="AX46"/>
  <c r="AW46"/>
  <c r="AV46"/>
  <c r="AC46"/>
  <c r="H46"/>
  <c r="G46" s="1"/>
  <c r="BT45"/>
  <c r="BS45"/>
  <c r="BR45"/>
  <c r="BQ45"/>
  <c r="BP45"/>
  <c r="BO45"/>
  <c r="BN45"/>
  <c r="BM45"/>
  <c r="BL45" s="1"/>
  <c r="BK45"/>
  <c r="BJ45"/>
  <c r="BI45"/>
  <c r="BH45"/>
  <c r="BG45"/>
  <c r="BF45"/>
  <c r="BE45"/>
  <c r="BD45"/>
  <c r="BC45"/>
  <c r="BB45"/>
  <c r="AX45"/>
  <c r="AW45"/>
  <c r="AV45"/>
  <c r="AC45"/>
  <c r="H45"/>
  <c r="BT44"/>
  <c r="BS44"/>
  <c r="BR44"/>
  <c r="BQ44"/>
  <c r="BP44"/>
  <c r="BO44"/>
  <c r="BN44"/>
  <c r="BM44"/>
  <c r="BK44"/>
  <c r="BJ44"/>
  <c r="BI44"/>
  <c r="BH44"/>
  <c r="BG44"/>
  <c r="BF44"/>
  <c r="BE44"/>
  <c r="BD44"/>
  <c r="BC44"/>
  <c r="BB44"/>
  <c r="AX44"/>
  <c r="AW44"/>
  <c r="AV44"/>
  <c r="AC44"/>
  <c r="H44"/>
  <c r="G44" s="1"/>
  <c r="BT43"/>
  <c r="BS43"/>
  <c r="BR43"/>
  <c r="BQ43"/>
  <c r="BP43"/>
  <c r="BO43"/>
  <c r="BN43"/>
  <c r="BM43"/>
  <c r="BK43"/>
  <c r="BJ43"/>
  <c r="BI43"/>
  <c r="BH43"/>
  <c r="BG43"/>
  <c r="BF43"/>
  <c r="BE43"/>
  <c r="BD43"/>
  <c r="BC43"/>
  <c r="BB43"/>
  <c r="BA43" s="1"/>
  <c r="AX43"/>
  <c r="AW43"/>
  <c r="AV43"/>
  <c r="AC43"/>
  <c r="H43"/>
  <c r="G43" s="1"/>
  <c r="BT42"/>
  <c r="BS42"/>
  <c r="BR42"/>
  <c r="BQ42"/>
  <c r="BP42"/>
  <c r="BO42"/>
  <c r="BN42"/>
  <c r="BM42"/>
  <c r="BK42"/>
  <c r="BJ42"/>
  <c r="BI42"/>
  <c r="BH42"/>
  <c r="BG42"/>
  <c r="BF42"/>
  <c r="BE42"/>
  <c r="BD42"/>
  <c r="BC42"/>
  <c r="BB42"/>
  <c r="AX42"/>
  <c r="AW42"/>
  <c r="AV42"/>
  <c r="AC42"/>
  <c r="H42"/>
  <c r="G42" s="1"/>
  <c r="BT41"/>
  <c r="BS41"/>
  <c r="BR41"/>
  <c r="BQ41"/>
  <c r="BP41"/>
  <c r="BO41"/>
  <c r="BN41"/>
  <c r="BM41"/>
  <c r="BK41"/>
  <c r="BJ41"/>
  <c r="BI41"/>
  <c r="BH41"/>
  <c r="BG41"/>
  <c r="BF41"/>
  <c r="BE41"/>
  <c r="BD41"/>
  <c r="BC41"/>
  <c r="BB41"/>
  <c r="BA41" s="1"/>
  <c r="AX41"/>
  <c r="AW41"/>
  <c r="AV41"/>
  <c r="AC41"/>
  <c r="H41"/>
  <c r="BT40"/>
  <c r="BS40"/>
  <c r="BR40"/>
  <c r="BQ40"/>
  <c r="BP40"/>
  <c r="BO40"/>
  <c r="BN40"/>
  <c r="BM40"/>
  <c r="BL40" s="1"/>
  <c r="BK40"/>
  <c r="BJ40"/>
  <c r="BI40"/>
  <c r="BH40"/>
  <c r="BG40"/>
  <c r="BF40"/>
  <c r="BE40"/>
  <c r="BD40"/>
  <c r="BC40"/>
  <c r="BB40"/>
  <c r="AX40"/>
  <c r="AW40"/>
  <c r="AV40"/>
  <c r="AC40"/>
  <c r="H40"/>
  <c r="G40" s="1"/>
  <c r="BT39"/>
  <c r="BS39"/>
  <c r="BR39"/>
  <c r="BQ39"/>
  <c r="BP39"/>
  <c r="BO39"/>
  <c r="BN39"/>
  <c r="BM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BT37"/>
  <c r="BS37"/>
  <c r="BR37"/>
  <c r="BQ37"/>
  <c r="BP37"/>
  <c r="BO37"/>
  <c r="BN37"/>
  <c r="BM37"/>
  <c r="BL37" s="1"/>
  <c r="BK37"/>
  <c r="BJ37"/>
  <c r="BI37"/>
  <c r="BH37"/>
  <c r="BG37"/>
  <c r="BF37"/>
  <c r="BE37"/>
  <c r="BD37"/>
  <c r="BC37"/>
  <c r="BB37"/>
  <c r="AX37"/>
  <c r="AW37"/>
  <c r="AV37"/>
  <c r="AC37"/>
  <c r="H37"/>
  <c r="BT36"/>
  <c r="BS36"/>
  <c r="BR36"/>
  <c r="BQ36"/>
  <c r="BP36"/>
  <c r="BO36"/>
  <c r="BN36"/>
  <c r="BM36"/>
  <c r="BL36" s="1"/>
  <c r="BK36"/>
  <c r="BJ36"/>
  <c r="BI36"/>
  <c r="BH36"/>
  <c r="BG36"/>
  <c r="BF36"/>
  <c r="BE36"/>
  <c r="BD36"/>
  <c r="BC36"/>
  <c r="BB36"/>
  <c r="AX36"/>
  <c r="AW36"/>
  <c r="AV36"/>
  <c r="AC36"/>
  <c r="H36"/>
  <c r="G36" s="1"/>
  <c r="BT35"/>
  <c r="BS35"/>
  <c r="BR35"/>
  <c r="BQ35"/>
  <c r="BP35"/>
  <c r="BO35"/>
  <c r="BN35"/>
  <c r="BM35"/>
  <c r="BK35"/>
  <c r="BJ35"/>
  <c r="BI35"/>
  <c r="BH35"/>
  <c r="BG35"/>
  <c r="BF35"/>
  <c r="BE35"/>
  <c r="BD35"/>
  <c r="BC35"/>
  <c r="BB35"/>
  <c r="BA35" s="1"/>
  <c r="AX35"/>
  <c r="AW35"/>
  <c r="AV35"/>
  <c r="AC35"/>
  <c r="H35"/>
  <c r="BT34"/>
  <c r="BS34"/>
  <c r="BR34"/>
  <c r="BQ34"/>
  <c r="BP34"/>
  <c r="BO34"/>
  <c r="BN34"/>
  <c r="BM34"/>
  <c r="BL34" s="1"/>
  <c r="BK34"/>
  <c r="BJ34"/>
  <c r="BI34"/>
  <c r="BH34"/>
  <c r="BG34"/>
  <c r="BF34"/>
  <c r="BE34"/>
  <c r="BD34"/>
  <c r="BC34"/>
  <c r="BB34"/>
  <c r="AX34"/>
  <c r="AW34"/>
  <c r="AV34"/>
  <c r="AC34"/>
  <c r="H34"/>
  <c r="G34" s="1"/>
  <c r="BT33"/>
  <c r="BS33"/>
  <c r="BR33"/>
  <c r="BQ33"/>
  <c r="BP33"/>
  <c r="BO33"/>
  <c r="BN33"/>
  <c r="BM33"/>
  <c r="BK33"/>
  <c r="BJ33"/>
  <c r="BI33"/>
  <c r="BH33"/>
  <c r="BG33"/>
  <c r="BF33"/>
  <c r="BE33"/>
  <c r="BD33"/>
  <c r="BC33"/>
  <c r="BB33"/>
  <c r="BA33" s="1"/>
  <c r="AX33"/>
  <c r="AW33"/>
  <c r="AV33"/>
  <c r="AC33"/>
  <c r="H33"/>
  <c r="G33" s="1"/>
  <c r="BT32"/>
  <c r="BS32"/>
  <c r="BR32"/>
  <c r="BQ32"/>
  <c r="BP32"/>
  <c r="BO32"/>
  <c r="BN32"/>
  <c r="BM32"/>
  <c r="BK32"/>
  <c r="BJ32"/>
  <c r="BI32"/>
  <c r="BH32"/>
  <c r="BG32"/>
  <c r="BF32"/>
  <c r="BE32"/>
  <c r="BD32"/>
  <c r="BC32"/>
  <c r="BB32"/>
  <c r="AX32"/>
  <c r="AW32"/>
  <c r="AV32"/>
  <c r="AC32"/>
  <c r="H32"/>
  <c r="BT31"/>
  <c r="BS31"/>
  <c r="BR31"/>
  <c r="BQ31"/>
  <c r="BP31"/>
  <c r="BO31"/>
  <c r="BN31"/>
  <c r="BM3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s="1"/>
  <c r="AZ30" s="1"/>
  <c r="AX30"/>
  <c r="AW30"/>
  <c r="AV30"/>
  <c r="AC30"/>
  <c r="H30"/>
  <c r="BT29"/>
  <c r="BS29"/>
  <c r="BR29"/>
  <c r="BQ29"/>
  <c r="BP29"/>
  <c r="BO29"/>
  <c r="BN29"/>
  <c r="BM29"/>
  <c r="BK29"/>
  <c r="BJ29"/>
  <c r="BI29"/>
  <c r="BH29"/>
  <c r="BG29"/>
  <c r="BF29"/>
  <c r="BE29"/>
  <c r="BD29"/>
  <c r="BC29"/>
  <c r="BB29"/>
  <c r="AX29"/>
  <c r="AW29"/>
  <c r="AV29"/>
  <c r="AC29"/>
  <c r="H29"/>
  <c r="G29" s="1"/>
  <c r="BT28"/>
  <c r="BS28"/>
  <c r="BR28"/>
  <c r="BQ28"/>
  <c r="BP28"/>
  <c r="BO28"/>
  <c r="BN28"/>
  <c r="BM28"/>
  <c r="BL28" s="1"/>
  <c r="BK28"/>
  <c r="BJ28"/>
  <c r="BI28"/>
  <c r="BH28"/>
  <c r="BG28"/>
  <c r="BF28"/>
  <c r="BE28"/>
  <c r="BD28"/>
  <c r="BC28"/>
  <c r="BB28"/>
  <c r="AX28"/>
  <c r="AW28"/>
  <c r="AV28"/>
  <c r="AC28"/>
  <c r="H28"/>
  <c r="BT27"/>
  <c r="BS27"/>
  <c r="BR27"/>
  <c r="BQ27"/>
  <c r="BP27"/>
  <c r="BO27"/>
  <c r="BN27"/>
  <c r="BM27"/>
  <c r="BK27"/>
  <c r="BJ27"/>
  <c r="BI27"/>
  <c r="BH27"/>
  <c r="BG27"/>
  <c r="BF27"/>
  <c r="BE27"/>
  <c r="BD27"/>
  <c r="BC27"/>
  <c r="BB27"/>
  <c r="AX27"/>
  <c r="AW27"/>
  <c r="AV27"/>
  <c r="AC27"/>
  <c r="H27"/>
  <c r="G27" s="1"/>
  <c r="BT26"/>
  <c r="BS26"/>
  <c r="BR26"/>
  <c r="BQ26"/>
  <c r="BP26"/>
  <c r="BO26"/>
  <c r="BN26"/>
  <c r="BM26"/>
  <c r="BK26"/>
  <c r="BJ26"/>
  <c r="BI26"/>
  <c r="BH26"/>
  <c r="BG26"/>
  <c r="BF26"/>
  <c r="BE26"/>
  <c r="BD26"/>
  <c r="BC26"/>
  <c r="BB26"/>
  <c r="BA26" s="1"/>
  <c r="AX26"/>
  <c r="AW26"/>
  <c r="AV26"/>
  <c r="AC26"/>
  <c r="H26"/>
  <c r="BT25"/>
  <c r="BS25"/>
  <c r="BR25"/>
  <c r="BQ25"/>
  <c r="BP25"/>
  <c r="BO25"/>
  <c r="BN25"/>
  <c r="BM25"/>
  <c r="BL25" s="1"/>
  <c r="BK25"/>
  <c r="BJ25"/>
  <c r="BI25"/>
  <c r="BH25"/>
  <c r="BG25"/>
  <c r="BF25"/>
  <c r="BE25"/>
  <c r="BD25"/>
  <c r="BC25"/>
  <c r="BB25"/>
  <c r="AX25"/>
  <c r="AW25"/>
  <c r="AV25"/>
  <c r="AC25"/>
  <c r="H25"/>
  <c r="G25" s="1"/>
  <c r="BT24"/>
  <c r="BS24"/>
  <c r="BR24"/>
  <c r="BQ24"/>
  <c r="BP24"/>
  <c r="BO24"/>
  <c r="BN24"/>
  <c r="BM24"/>
  <c r="BK24"/>
  <c r="BJ24"/>
  <c r="BI24"/>
  <c r="BH24"/>
  <c r="BG24"/>
  <c r="BF24"/>
  <c r="BE24"/>
  <c r="BD24"/>
  <c r="BC24"/>
  <c r="BB24"/>
  <c r="AX24"/>
  <c r="AW24"/>
  <c r="AV24"/>
  <c r="AC24"/>
  <c r="H24"/>
  <c r="G24" s="1"/>
  <c r="BT23"/>
  <c r="BS23"/>
  <c r="BR23"/>
  <c r="BQ23"/>
  <c r="BP23"/>
  <c r="BO23"/>
  <c r="BN23"/>
  <c r="BM23"/>
  <c r="BK23"/>
  <c r="BJ23"/>
  <c r="BI23"/>
  <c r="BH23"/>
  <c r="BG23"/>
  <c r="BF23"/>
  <c r="BE23"/>
  <c r="BD23"/>
  <c r="BC23"/>
  <c r="BB23"/>
  <c r="BA23" s="1"/>
  <c r="AX23"/>
  <c r="AW23"/>
  <c r="AV23"/>
  <c r="AC23"/>
  <c r="H23"/>
  <c r="BT22"/>
  <c r="BS22"/>
  <c r="BR22"/>
  <c r="BQ22"/>
  <c r="BP22"/>
  <c r="BO22"/>
  <c r="BN22"/>
  <c r="BM22"/>
  <c r="BL22" s="1"/>
  <c r="BK22"/>
  <c r="BJ22"/>
  <c r="BI22"/>
  <c r="BH22"/>
  <c r="BG22"/>
  <c r="BF22"/>
  <c r="BE22"/>
  <c r="BD22"/>
  <c r="BC22"/>
  <c r="BB22"/>
  <c r="AX22"/>
  <c r="AW22"/>
  <c r="AV22"/>
  <c r="AC22"/>
  <c r="H22"/>
  <c r="G22" s="1"/>
  <c r="BT21"/>
  <c r="BS21"/>
  <c r="BR21"/>
  <c r="BQ21"/>
  <c r="BP21"/>
  <c r="BO21"/>
  <c r="BN21"/>
  <c r="BM21"/>
  <c r="BK21"/>
  <c r="BJ21"/>
  <c r="BI21"/>
  <c r="BH21"/>
  <c r="BG21"/>
  <c r="BF21"/>
  <c r="BE21"/>
  <c r="BD21"/>
  <c r="BC21"/>
  <c r="BB21"/>
  <c r="AX21"/>
  <c r="AW21"/>
  <c r="AV21"/>
  <c r="AC21"/>
  <c r="H21"/>
  <c r="G21" s="1"/>
  <c r="BT20"/>
  <c r="BS20"/>
  <c r="BR20"/>
  <c r="BQ20"/>
  <c r="BP20"/>
  <c r="BO20"/>
  <c r="BN20"/>
  <c r="BM20"/>
  <c r="BK20"/>
  <c r="BJ20"/>
  <c r="BI20"/>
  <c r="BH20"/>
  <c r="BG20"/>
  <c r="BF20"/>
  <c r="BE20"/>
  <c r="BD20"/>
  <c r="BC20"/>
  <c r="BB20"/>
  <c r="BA20" s="1"/>
  <c r="AX20"/>
  <c r="AW20"/>
  <c r="AV20"/>
  <c r="AC20"/>
  <c r="H20"/>
  <c r="G20" s="1"/>
  <c r="BT19"/>
  <c r="BS19"/>
  <c r="BR19"/>
  <c r="BQ19"/>
  <c r="BP19"/>
  <c r="BO19"/>
  <c r="BN19"/>
  <c r="BM19"/>
  <c r="BK19"/>
  <c r="BJ19"/>
  <c r="BI19"/>
  <c r="BH19"/>
  <c r="BG19"/>
  <c r="BF19"/>
  <c r="BE19"/>
  <c r="BD19"/>
  <c r="BC19"/>
  <c r="BB19"/>
  <c r="AX19"/>
  <c r="AW19"/>
  <c r="AV19"/>
  <c r="AC19"/>
  <c r="H19"/>
  <c r="G19" s="1"/>
  <c r="BT18"/>
  <c r="BS18"/>
  <c r="BR18"/>
  <c r="BQ18"/>
  <c r="BP18"/>
  <c r="BO18"/>
  <c r="BN18"/>
  <c r="BM18"/>
  <c r="BL18" s="1"/>
  <c r="BK18"/>
  <c r="BJ18"/>
  <c r="BI18"/>
  <c r="BH18"/>
  <c r="BG18"/>
  <c r="BF18"/>
  <c r="BE18"/>
  <c r="BD18"/>
  <c r="BC18"/>
  <c r="BB18"/>
  <c r="AX18"/>
  <c r="AW18"/>
  <c r="AV18"/>
  <c r="AC18"/>
  <c r="H18"/>
  <c r="BT207"/>
  <c r="BS207"/>
  <c r="BR207"/>
  <c r="BQ207"/>
  <c r="BP207"/>
  <c r="BO207"/>
  <c r="BN207"/>
  <c r="BM207"/>
  <c r="BK207"/>
  <c r="BJ207"/>
  <c r="BI207"/>
  <c r="BH207"/>
  <c r="BG207"/>
  <c r="BF207"/>
  <c r="BE207"/>
  <c r="BD207"/>
  <c r="BC207"/>
  <c r="BB207"/>
  <c r="BA207"/>
  <c r="AX207"/>
  <c r="AW207"/>
  <c r="AV207"/>
  <c r="AC207"/>
  <c r="H207"/>
  <c r="BT206"/>
  <c r="BS206"/>
  <c r="BR206"/>
  <c r="BQ206"/>
  <c r="BP206"/>
  <c r="BO206"/>
  <c r="BN206"/>
  <c r="BM206"/>
  <c r="BL206"/>
  <c r="BK206"/>
  <c r="BJ206"/>
  <c r="BI206"/>
  <c r="BH206"/>
  <c r="BG206"/>
  <c r="BF206"/>
  <c r="BE206"/>
  <c r="BD206"/>
  <c r="BC206"/>
  <c r="BB206"/>
  <c r="BA206" s="1"/>
  <c r="AX206"/>
  <c r="AW206"/>
  <c r="AV206"/>
  <c r="AC206"/>
  <c r="H206"/>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s="1"/>
  <c r="AX202"/>
  <c r="AW202"/>
  <c r="AV202"/>
  <c r="AC202"/>
  <c r="H202"/>
  <c r="BT201"/>
  <c r="BS201"/>
  <c r="BR201"/>
  <c r="BQ201"/>
  <c r="BP201"/>
  <c r="BO20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BA200" s="1"/>
  <c r="AX200"/>
  <c r="AW200"/>
  <c r="AV200"/>
  <c r="AC200"/>
  <c r="H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s="1"/>
  <c r="AX198"/>
  <c r="AW198"/>
  <c r="AV198"/>
  <c r="AC198"/>
  <c r="H198"/>
  <c r="BT197"/>
  <c r="BS197"/>
  <c r="BR197"/>
  <c r="BQ197"/>
  <c r="BP197"/>
  <c r="BO197"/>
  <c r="BN197"/>
  <c r="BM197"/>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AX196"/>
  <c r="AW196"/>
  <c r="AV196"/>
  <c r="AC196"/>
  <c r="H196"/>
  <c r="G196" s="1"/>
  <c r="BT195"/>
  <c r="BS195"/>
  <c r="BR195"/>
  <c r="BQ195"/>
  <c r="BP195"/>
  <c r="BO195"/>
  <c r="BN195"/>
  <c r="BM195"/>
  <c r="BL195" s="1"/>
  <c r="BK195"/>
  <c r="BJ195"/>
  <c r="BI195"/>
  <c r="BH195"/>
  <c r="BG195"/>
  <c r="BF195"/>
  <c r="BE195"/>
  <c r="BD195"/>
  <c r="BC195"/>
  <c r="BB195"/>
  <c r="AX195"/>
  <c r="AW195"/>
  <c r="AV195"/>
  <c r="AC195"/>
  <c r="H195"/>
  <c r="BT194"/>
  <c r="BS194"/>
  <c r="BR194"/>
  <c r="BQ194"/>
  <c r="BP194"/>
  <c r="BO194"/>
  <c r="BN194"/>
  <c r="BM194"/>
  <c r="BK194"/>
  <c r="BJ194"/>
  <c r="BI194"/>
  <c r="BH194"/>
  <c r="BG194"/>
  <c r="BF194"/>
  <c r="BE194"/>
  <c r="BD194"/>
  <c r="BC194"/>
  <c r="BB194"/>
  <c r="BA194"/>
  <c r="AX194"/>
  <c r="AW194"/>
  <c r="AV194"/>
  <c r="AC194"/>
  <c r="H194"/>
  <c r="G194"/>
  <c r="BT193"/>
  <c r="BS193"/>
  <c r="BR193"/>
  <c r="BQ193"/>
  <c r="BP193"/>
  <c r="BO193"/>
  <c r="BN193"/>
  <c r="BM193"/>
  <c r="BL193" s="1"/>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AX192"/>
  <c r="AW192"/>
  <c r="AV192"/>
  <c r="AC192"/>
  <c r="H192"/>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K190"/>
  <c r="BJ190"/>
  <c r="BI190"/>
  <c r="BH190"/>
  <c r="BG190"/>
  <c r="BF190"/>
  <c r="BE190"/>
  <c r="BD190"/>
  <c r="BC190"/>
  <c r="BB190"/>
  <c r="AX190"/>
  <c r="AW190"/>
  <c r="AV190"/>
  <c r="AC190"/>
  <c r="H190"/>
  <c r="G190" s="1"/>
  <c r="BT189"/>
  <c r="BS189"/>
  <c r="BR189"/>
  <c r="BQ189"/>
  <c r="BP189"/>
  <c r="BO189"/>
  <c r="BN189"/>
  <c r="BM189"/>
  <c r="BK189"/>
  <c r="BJ189"/>
  <c r="BI189"/>
  <c r="BH189"/>
  <c r="BG189"/>
  <c r="BF189"/>
  <c r="BE189"/>
  <c r="BD189"/>
  <c r="BC189"/>
  <c r="BB189"/>
  <c r="BA189" s="1"/>
  <c r="AX189"/>
  <c r="AW189"/>
  <c r="AV189"/>
  <c r="AC189"/>
  <c r="H189"/>
  <c r="BT188"/>
  <c r="BS188"/>
  <c r="BR188"/>
  <c r="BQ188"/>
  <c r="BP188"/>
  <c r="BO188"/>
  <c r="BN188"/>
  <c r="BM188"/>
  <c r="BK188"/>
  <c r="BJ188"/>
  <c r="BI188"/>
  <c r="BH188"/>
  <c r="BG188"/>
  <c r="BF188"/>
  <c r="BE188"/>
  <c r="BD188"/>
  <c r="BC188"/>
  <c r="BB188"/>
  <c r="AX188"/>
  <c r="AW188"/>
  <c r="AV188"/>
  <c r="AC188"/>
  <c r="H188"/>
  <c r="BT187"/>
  <c r="BS187"/>
  <c r="BR187"/>
  <c r="BQ187"/>
  <c r="BP187"/>
  <c r="BO187"/>
  <c r="BN187"/>
  <c r="BM187"/>
  <c r="BK187"/>
  <c r="BJ187"/>
  <c r="BI187"/>
  <c r="BH187"/>
  <c r="BG187"/>
  <c r="BF187"/>
  <c r="BE187"/>
  <c r="BD187"/>
  <c r="BC187"/>
  <c r="BB187"/>
  <c r="AX187"/>
  <c r="AW187"/>
  <c r="AV187"/>
  <c r="AC187"/>
  <c r="H187"/>
  <c r="G187" s="1"/>
  <c r="BT186"/>
  <c r="BS186"/>
  <c r="BR186"/>
  <c r="BQ186"/>
  <c r="BP186"/>
  <c r="BO186"/>
  <c r="BN186"/>
  <c r="BM186"/>
  <c r="BK186"/>
  <c r="BJ186"/>
  <c r="BI186"/>
  <c r="BH186"/>
  <c r="BG186"/>
  <c r="BF186"/>
  <c r="BE186"/>
  <c r="BD186"/>
  <c r="BC186"/>
  <c r="BB186"/>
  <c r="BA186" s="1"/>
  <c r="AX186"/>
  <c r="AW186"/>
  <c r="AV186"/>
  <c r="AC186"/>
  <c r="H186"/>
  <c r="G186" s="1"/>
  <c r="BT185"/>
  <c r="BS185"/>
  <c r="BR185"/>
  <c r="BQ185"/>
  <c r="BP185"/>
  <c r="BO185"/>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BA184" s="1"/>
  <c r="AX184"/>
  <c r="AW184"/>
  <c r="AV184"/>
  <c r="AC184"/>
  <c r="H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s="1"/>
  <c r="AX182"/>
  <c r="AW182"/>
  <c r="AV182"/>
  <c r="AC182"/>
  <c r="H182"/>
  <c r="BT181"/>
  <c r="BS181"/>
  <c r="BR181"/>
  <c r="BQ181"/>
  <c r="BP181"/>
  <c r="BO181"/>
  <c r="BN181"/>
  <c r="BM18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AX180"/>
  <c r="AW180"/>
  <c r="AV180"/>
  <c r="AC180"/>
  <c r="H180"/>
  <c r="G180" s="1"/>
  <c r="BT179"/>
  <c r="BS179"/>
  <c r="BR179"/>
  <c r="BQ179"/>
  <c r="BP179"/>
  <c r="BO179"/>
  <c r="BN179"/>
  <c r="BM179"/>
  <c r="BL179" s="1"/>
  <c r="BK179"/>
  <c r="BJ179"/>
  <c r="BI179"/>
  <c r="BH179"/>
  <c r="BG179"/>
  <c r="BF179"/>
  <c r="BE179"/>
  <c r="BD179"/>
  <c r="BC179"/>
  <c r="BB179"/>
  <c r="AX179"/>
  <c r="AW179"/>
  <c r="AV179"/>
  <c r="AC179"/>
  <c r="H179"/>
  <c r="BT178"/>
  <c r="BS178"/>
  <c r="BR178"/>
  <c r="BQ178"/>
  <c r="BP178"/>
  <c r="BO178"/>
  <c r="BN178"/>
  <c r="BM178"/>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s="1"/>
  <c r="AZ177" s="1"/>
  <c r="AX177"/>
  <c r="AW177"/>
  <c r="AV177"/>
  <c r="AC177"/>
  <c r="H177"/>
  <c r="BT176"/>
  <c r="BS176"/>
  <c r="BR176"/>
  <c r="BQ176"/>
  <c r="BP176"/>
  <c r="BO176"/>
  <c r="BN176"/>
  <c r="BM176"/>
  <c r="BK176"/>
  <c r="BJ176"/>
  <c r="BI176"/>
  <c r="BH176"/>
  <c r="BG176"/>
  <c r="BF176"/>
  <c r="BE176"/>
  <c r="BD176"/>
  <c r="BC176"/>
  <c r="BB176"/>
  <c r="AX176"/>
  <c r="AW176"/>
  <c r="AV176"/>
  <c r="AC176"/>
  <c r="H176"/>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K174"/>
  <c r="BJ174"/>
  <c r="BI174"/>
  <c r="BH174"/>
  <c r="BG174"/>
  <c r="BF174"/>
  <c r="BE174"/>
  <c r="BD174"/>
  <c r="BC174"/>
  <c r="BB174"/>
  <c r="AX174"/>
  <c r="AW174"/>
  <c r="AV174"/>
  <c r="AC174"/>
  <c r="H174"/>
  <c r="G174" s="1"/>
  <c r="BT173"/>
  <c r="BS173"/>
  <c r="BR173"/>
  <c r="BQ173"/>
  <c r="BP173"/>
  <c r="BO173"/>
  <c r="BN173"/>
  <c r="BM173"/>
  <c r="BK173"/>
  <c r="BJ173"/>
  <c r="BI173"/>
  <c r="BH173"/>
  <c r="BG173"/>
  <c r="BF173"/>
  <c r="BE173"/>
  <c r="BD173"/>
  <c r="BC173"/>
  <c r="BB173"/>
  <c r="BA173" s="1"/>
  <c r="AX173"/>
  <c r="AW173"/>
  <c r="AV173"/>
  <c r="AC173"/>
  <c r="H173"/>
  <c r="BT172"/>
  <c r="BS172"/>
  <c r="BR172"/>
  <c r="BQ172"/>
  <c r="BP172"/>
  <c r="BO172"/>
  <c r="BN172"/>
  <c r="BM172"/>
  <c r="BK172"/>
  <c r="BJ172"/>
  <c r="BI172"/>
  <c r="BH172"/>
  <c r="BG172"/>
  <c r="BF172"/>
  <c r="BE172"/>
  <c r="BD172"/>
  <c r="BC172"/>
  <c r="BB172"/>
  <c r="AX172"/>
  <c r="AW172"/>
  <c r="AV172"/>
  <c r="AC172"/>
  <c r="H172"/>
  <c r="BT171"/>
  <c r="BS171"/>
  <c r="BR171"/>
  <c r="BQ171"/>
  <c r="BP171"/>
  <c r="BO171"/>
  <c r="BN171"/>
  <c r="BM171"/>
  <c r="BK171"/>
  <c r="BJ171"/>
  <c r="BI171"/>
  <c r="BH171"/>
  <c r="BG171"/>
  <c r="BF171"/>
  <c r="BE171"/>
  <c r="BD171"/>
  <c r="BC171"/>
  <c r="BB171"/>
  <c r="AX171"/>
  <c r="AW171"/>
  <c r="AV171"/>
  <c r="AC171"/>
  <c r="H171"/>
  <c r="G171" s="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BA168" s="1"/>
  <c r="AX168"/>
  <c r="AW168"/>
  <c r="AV168"/>
  <c r="AC168"/>
  <c r="H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s="1"/>
  <c r="AX166"/>
  <c r="AW166"/>
  <c r="AV166"/>
  <c r="AC166"/>
  <c r="H166"/>
  <c r="BT165"/>
  <c r="BS165"/>
  <c r="BR165"/>
  <c r="BQ165"/>
  <c r="BP165"/>
  <c r="BO165"/>
  <c r="BN165"/>
  <c r="BM165"/>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AX164"/>
  <c r="AW164"/>
  <c r="AV164"/>
  <c r="AC164"/>
  <c r="H164"/>
  <c r="G164" s="1"/>
  <c r="BT163"/>
  <c r="BS163"/>
  <c r="BR163"/>
  <c r="BQ163"/>
  <c r="BP163"/>
  <c r="BO163"/>
  <c r="BN163"/>
  <c r="BM163"/>
  <c r="BL163" s="1"/>
  <c r="BK163"/>
  <c r="BJ163"/>
  <c r="BI163"/>
  <c r="BH163"/>
  <c r="BG163"/>
  <c r="BF163"/>
  <c r="BE163"/>
  <c r="BD163"/>
  <c r="BC163"/>
  <c r="BB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AX160"/>
  <c r="AW160"/>
  <c r="AV160"/>
  <c r="AC160"/>
  <c r="H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K158"/>
  <c r="BJ158"/>
  <c r="BI158"/>
  <c r="BH158"/>
  <c r="BG158"/>
  <c r="BF158"/>
  <c r="BE158"/>
  <c r="BD158"/>
  <c r="BC158"/>
  <c r="BB158"/>
  <c r="AX158"/>
  <c r="AW158"/>
  <c r="AV158"/>
  <c r="AC158"/>
  <c r="H158"/>
  <c r="G158" s="1"/>
  <c r="BT157"/>
  <c r="BS157"/>
  <c r="BR157"/>
  <c r="BQ157"/>
  <c r="BP157"/>
  <c r="BO157"/>
  <c r="BN157"/>
  <c r="BM157"/>
  <c r="BK157"/>
  <c r="BJ157"/>
  <c r="BI157"/>
  <c r="BH157"/>
  <c r="BG157"/>
  <c r="BF157"/>
  <c r="BE157"/>
  <c r="BD157"/>
  <c r="BC157"/>
  <c r="BB157"/>
  <c r="BA157" s="1"/>
  <c r="AX157"/>
  <c r="AW157"/>
  <c r="AV157"/>
  <c r="AC157"/>
  <c r="H157"/>
  <c r="BT156"/>
  <c r="BS156"/>
  <c r="BR156"/>
  <c r="BQ156"/>
  <c r="BP156"/>
  <c r="BO156"/>
  <c r="BN156"/>
  <c r="BM156"/>
  <c r="BK156"/>
  <c r="BJ156"/>
  <c r="BI156"/>
  <c r="BH156"/>
  <c r="BG156"/>
  <c r="BF156"/>
  <c r="BE156"/>
  <c r="BD156"/>
  <c r="BC156"/>
  <c r="BB156"/>
  <c r="AX156"/>
  <c r="AW156"/>
  <c r="AV156"/>
  <c r="AC156"/>
  <c r="H156"/>
  <c r="BT155"/>
  <c r="BS155"/>
  <c r="BR155"/>
  <c r="BQ155"/>
  <c r="BP155"/>
  <c r="BO155"/>
  <c r="BN155"/>
  <c r="BM155"/>
  <c r="BK155"/>
  <c r="BJ155"/>
  <c r="BI155"/>
  <c r="BH155"/>
  <c r="BG155"/>
  <c r="BF155"/>
  <c r="BE155"/>
  <c r="BD155"/>
  <c r="BC155"/>
  <c r="BB155"/>
  <c r="AX155"/>
  <c r="AW155"/>
  <c r="AV155"/>
  <c r="AC155"/>
  <c r="H155"/>
  <c r="G155" s="1"/>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s="1"/>
  <c r="AX150"/>
  <c r="AW150"/>
  <c r="AV150"/>
  <c r="AC150"/>
  <c r="H150"/>
  <c r="BT149"/>
  <c r="BS149"/>
  <c r="BR149"/>
  <c r="BQ149"/>
  <c r="BP149"/>
  <c r="BO149"/>
  <c r="BN149"/>
  <c r="BM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AX148"/>
  <c r="AW148"/>
  <c r="AV148"/>
  <c r="AC148"/>
  <c r="H148"/>
  <c r="G148" s="1"/>
  <c r="BT147"/>
  <c r="BS147"/>
  <c r="BR147"/>
  <c r="BQ147"/>
  <c r="BP147"/>
  <c r="BO147"/>
  <c r="BN147"/>
  <c r="BM147"/>
  <c r="BL147" s="1"/>
  <c r="BK147"/>
  <c r="BJ147"/>
  <c r="BI147"/>
  <c r="BH147"/>
  <c r="BG147"/>
  <c r="BF147"/>
  <c r="BE147"/>
  <c r="BD147"/>
  <c r="BC147"/>
  <c r="BB147"/>
  <c r="AX147"/>
  <c r="AW147"/>
  <c r="AV147"/>
  <c r="AC147"/>
  <c r="H147"/>
  <c r="BT146"/>
  <c r="BS146"/>
  <c r="BR146"/>
  <c r="BQ146"/>
  <c r="BP146"/>
  <c r="BO146"/>
  <c r="BN146"/>
  <c r="BM146"/>
  <c r="BK146"/>
  <c r="BJ146"/>
  <c r="BI146"/>
  <c r="BH146"/>
  <c r="BG146"/>
  <c r="BF146"/>
  <c r="BE146"/>
  <c r="BD146"/>
  <c r="BC146"/>
  <c r="BB146"/>
  <c r="AX146"/>
  <c r="AW146"/>
  <c r="AV146"/>
  <c r="AC146"/>
  <c r="H146"/>
  <c r="G146" s="1"/>
  <c r="BT145"/>
  <c r="BS145"/>
  <c r="BR145"/>
  <c r="BQ145"/>
  <c r="BP145"/>
  <c r="BO145"/>
  <c r="BN145"/>
  <c r="BM145"/>
  <c r="BL145" s="1"/>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AX144"/>
  <c r="AW144"/>
  <c r="AV144"/>
  <c r="AC144"/>
  <c r="H144"/>
  <c r="G144" s="1"/>
  <c r="BT143"/>
  <c r="BS143"/>
  <c r="BR143"/>
  <c r="BQ143"/>
  <c r="BP143"/>
  <c r="BO143"/>
  <c r="BN143"/>
  <c r="BM143"/>
  <c r="BK143"/>
  <c r="BJ143"/>
  <c r="BI143"/>
  <c r="BH143"/>
  <c r="BG143"/>
  <c r="BF143"/>
  <c r="BE143"/>
  <c r="BD143"/>
  <c r="BC143"/>
  <c r="BB143"/>
  <c r="AX143"/>
  <c r="AW143"/>
  <c r="AV143"/>
  <c r="AC143"/>
  <c r="H143"/>
  <c r="BT142"/>
  <c r="BS142"/>
  <c r="BR142"/>
  <c r="BQ142"/>
  <c r="BP142"/>
  <c r="BO142"/>
  <c r="BN142"/>
  <c r="BM142"/>
  <c r="BK142"/>
  <c r="BJ142"/>
  <c r="BI142"/>
  <c r="BH142"/>
  <c r="BG142"/>
  <c r="BF142"/>
  <c r="BE142"/>
  <c r="BD142"/>
  <c r="BC142"/>
  <c r="BB142"/>
  <c r="AX142"/>
  <c r="AW142"/>
  <c r="AV142"/>
  <c r="AC142"/>
  <c r="H142"/>
  <c r="G142" s="1"/>
  <c r="BT141"/>
  <c r="BS141"/>
  <c r="BR141"/>
  <c r="BQ141"/>
  <c r="BP141"/>
  <c r="BO141"/>
  <c r="BN141"/>
  <c r="BM141"/>
  <c r="BL141" s="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AX140"/>
  <c r="AW140"/>
  <c r="AV140"/>
  <c r="AC140"/>
  <c r="H140"/>
  <c r="G140" s="1"/>
  <c r="BT139"/>
  <c r="BS139"/>
  <c r="BR139"/>
  <c r="BQ139"/>
  <c r="BP139"/>
  <c r="BO139"/>
  <c r="BN139"/>
  <c r="BM139"/>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C138"/>
  <c r="BB138"/>
  <c r="AX138"/>
  <c r="AW138"/>
  <c r="AV138"/>
  <c r="AC138"/>
  <c r="H138"/>
  <c r="G138" s="1"/>
  <c r="BT137"/>
  <c r="BS137"/>
  <c r="BR137"/>
  <c r="BQ137"/>
  <c r="BP137"/>
  <c r="BO137"/>
  <c r="BN137"/>
  <c r="BM137"/>
  <c r="BL137" s="1"/>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AX136"/>
  <c r="AW136"/>
  <c r="AV136"/>
  <c r="AC136"/>
  <c r="H136"/>
  <c r="G136" s="1"/>
  <c r="BT135"/>
  <c r="BS135"/>
  <c r="BR135"/>
  <c r="BQ135"/>
  <c r="BP135"/>
  <c r="BO135"/>
  <c r="BN135"/>
  <c r="BM135"/>
  <c r="BK135"/>
  <c r="BJ135"/>
  <c r="BI135"/>
  <c r="BH135"/>
  <c r="BG135"/>
  <c r="BF135"/>
  <c r="BE135"/>
  <c r="BD135"/>
  <c r="BC135"/>
  <c r="BB135"/>
  <c r="AX135"/>
  <c r="AW135"/>
  <c r="AV135"/>
  <c r="AC135"/>
  <c r="H135"/>
  <c r="BT134"/>
  <c r="BS134"/>
  <c r="BR134"/>
  <c r="BQ134"/>
  <c r="BP134"/>
  <c r="BO134"/>
  <c r="BN134"/>
  <c r="BM134"/>
  <c r="BK134"/>
  <c r="BJ134"/>
  <c r="BI134"/>
  <c r="BH134"/>
  <c r="BG134"/>
  <c r="BF134"/>
  <c r="BE134"/>
  <c r="BD134"/>
  <c r="BC134"/>
  <c r="BB134"/>
  <c r="AX134"/>
  <c r="AW134"/>
  <c r="AV134"/>
  <c r="AC134"/>
  <c r="H134"/>
  <c r="G134" s="1"/>
  <c r="BT133"/>
  <c r="BS133"/>
  <c r="BR133"/>
  <c r="BQ133"/>
  <c r="BP133"/>
  <c r="BO133"/>
  <c r="BN133"/>
  <c r="BM133"/>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BA132" s="1"/>
  <c r="AX132"/>
  <c r="AW132"/>
  <c r="AV132"/>
  <c r="AC132"/>
  <c r="H132"/>
  <c r="G132" s="1"/>
  <c r="BT131"/>
  <c r="BS131"/>
  <c r="BR131"/>
  <c r="BQ131"/>
  <c r="BP131"/>
  <c r="BO131"/>
  <c r="BN131"/>
  <c r="BM131"/>
  <c r="BK131"/>
  <c r="BJ131"/>
  <c r="BI131"/>
  <c r="BH131"/>
  <c r="BG131"/>
  <c r="BF131"/>
  <c r="BE131"/>
  <c r="BD131"/>
  <c r="BC131"/>
  <c r="BB131"/>
  <c r="AX131"/>
  <c r="AW131"/>
  <c r="AV131"/>
  <c r="AC131"/>
  <c r="H131"/>
  <c r="BT130"/>
  <c r="BS130"/>
  <c r="BR130"/>
  <c r="BQ130"/>
  <c r="BP130"/>
  <c r="BO130"/>
  <c r="BN130"/>
  <c r="BM130"/>
  <c r="BL130" s="1"/>
  <c r="BK130"/>
  <c r="BJ130"/>
  <c r="BI130"/>
  <c r="BH130"/>
  <c r="BG130"/>
  <c r="BF130"/>
  <c r="BE130"/>
  <c r="BD130"/>
  <c r="BC130"/>
  <c r="BB130"/>
  <c r="AX130"/>
  <c r="AW130"/>
  <c r="AV130"/>
  <c r="AC130"/>
  <c r="H130"/>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L123" s="1"/>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AX122"/>
  <c r="AW122"/>
  <c r="AV122"/>
  <c r="AC122"/>
  <c r="H122"/>
  <c r="G122" s="1"/>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AX120"/>
  <c r="AW120"/>
  <c r="AV120"/>
  <c r="AC120"/>
  <c r="H120"/>
  <c r="G120" s="1"/>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BA116" s="1"/>
  <c r="AX116"/>
  <c r="AW116"/>
  <c r="AV116"/>
  <c r="AC116"/>
  <c r="H116"/>
  <c r="G116" s="1"/>
  <c r="BT115"/>
  <c r="BS115"/>
  <c r="BR115"/>
  <c r="BQ115"/>
  <c r="BP115"/>
  <c r="BO115"/>
  <c r="BN115"/>
  <c r="BM115"/>
  <c r="BK115"/>
  <c r="BJ115"/>
  <c r="BI115"/>
  <c r="BH115"/>
  <c r="BG115"/>
  <c r="BF115"/>
  <c r="BE115"/>
  <c r="BD115"/>
  <c r="BC115"/>
  <c r="BB115"/>
  <c r="AX115"/>
  <c r="AW115"/>
  <c r="AV115"/>
  <c r="AC115"/>
  <c r="H115"/>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L113" s="1"/>
  <c r="BK113"/>
  <c r="BJ113"/>
  <c r="BI113"/>
  <c r="BH113"/>
  <c r="BG113"/>
  <c r="BF113"/>
  <c r="BE113"/>
  <c r="BD113"/>
  <c r="BC113"/>
  <c r="BB113"/>
  <c r="AX113"/>
  <c r="AW113"/>
  <c r="AV113"/>
  <c r="AC113"/>
  <c r="H11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L301" s="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AX300"/>
  <c r="AW300"/>
  <c r="AV300"/>
  <c r="AC300"/>
  <c r="H300"/>
  <c r="G300" s="1"/>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BA297" s="1"/>
  <c r="AX297"/>
  <c r="AW297"/>
  <c r="AV297"/>
  <c r="AC297"/>
  <c r="H297"/>
  <c r="BT296"/>
  <c r="BS296"/>
  <c r="BR296"/>
  <c r="BQ296"/>
  <c r="BP296"/>
  <c r="BO296"/>
  <c r="BN296"/>
  <c r="BM296"/>
  <c r="BL296" s="1"/>
  <c r="BK296"/>
  <c r="BJ296"/>
  <c r="BI296"/>
  <c r="BH296"/>
  <c r="BG296"/>
  <c r="BF296"/>
  <c r="BE296"/>
  <c r="BD296"/>
  <c r="BC296"/>
  <c r="BB296"/>
  <c r="AX296"/>
  <c r="AW296"/>
  <c r="AV296"/>
  <c r="AC296"/>
  <c r="H296"/>
  <c r="BT295"/>
  <c r="BS295"/>
  <c r="BR295"/>
  <c r="BQ295"/>
  <c r="BP295"/>
  <c r="BO295"/>
  <c r="BN295"/>
  <c r="BM295"/>
  <c r="BL295" s="1"/>
  <c r="BK295"/>
  <c r="BJ295"/>
  <c r="BI295"/>
  <c r="BH295"/>
  <c r="BG295"/>
  <c r="BF295"/>
  <c r="BE295"/>
  <c r="BD295"/>
  <c r="BC295"/>
  <c r="BB295"/>
  <c r="AX295"/>
  <c r="AW295"/>
  <c r="AV295"/>
  <c r="AC295"/>
  <c r="H295"/>
  <c r="BT294"/>
  <c r="BS294"/>
  <c r="BR294"/>
  <c r="BQ294"/>
  <c r="BP294"/>
  <c r="BO294"/>
  <c r="BN294"/>
  <c r="BM294"/>
  <c r="BL294" s="1"/>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AX293"/>
  <c r="AW293"/>
  <c r="AV293"/>
  <c r="AC293"/>
  <c r="H293"/>
  <c r="G293" s="1"/>
  <c r="BT292"/>
  <c r="BS292"/>
  <c r="BR292"/>
  <c r="BQ292"/>
  <c r="BP292"/>
  <c r="BO292"/>
  <c r="BN292"/>
  <c r="BM292"/>
  <c r="BL292" s="1"/>
  <c r="BK292"/>
  <c r="BJ292"/>
  <c r="BI292"/>
  <c r="BH292"/>
  <c r="BG292"/>
  <c r="BF292"/>
  <c r="BE292"/>
  <c r="BD292"/>
  <c r="BC292"/>
  <c r="BB292"/>
  <c r="AX292"/>
  <c r="AW292"/>
  <c r="AV292"/>
  <c r="AC292"/>
  <c r="H292"/>
  <c r="BT291"/>
  <c r="BS291"/>
  <c r="BR291"/>
  <c r="BQ291"/>
  <c r="BP291"/>
  <c r="BO291"/>
  <c r="BN291"/>
  <c r="BM29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s="1"/>
  <c r="AZ290" s="1"/>
  <c r="AX290"/>
  <c r="AW290"/>
  <c r="AV290"/>
  <c r="AC290"/>
  <c r="H290"/>
  <c r="BT289"/>
  <c r="BS289"/>
  <c r="BR289"/>
  <c r="BQ289"/>
  <c r="BP289"/>
  <c r="BO289"/>
  <c r="BN289"/>
  <c r="BM289"/>
  <c r="BK289"/>
  <c r="BJ289"/>
  <c r="BI289"/>
  <c r="BH289"/>
  <c r="BG289"/>
  <c r="BF289"/>
  <c r="BE289"/>
  <c r="BD289"/>
  <c r="BC289"/>
  <c r="BB289"/>
  <c r="AX289"/>
  <c r="AW289"/>
  <c r="AV289"/>
  <c r="AC289"/>
  <c r="H289"/>
  <c r="G289" s="1"/>
  <c r="BT288"/>
  <c r="BS288"/>
  <c r="BR288"/>
  <c r="BQ288"/>
  <c r="BP288"/>
  <c r="BO288"/>
  <c r="BN288"/>
  <c r="BM288"/>
  <c r="BK288"/>
  <c r="BJ288"/>
  <c r="BI288"/>
  <c r="BH288"/>
  <c r="BG288"/>
  <c r="BF288"/>
  <c r="BE288"/>
  <c r="BD288"/>
  <c r="BC288"/>
  <c r="BB288"/>
  <c r="BA288" s="1"/>
  <c r="AX288"/>
  <c r="AW288"/>
  <c r="AV288"/>
  <c r="AC288"/>
  <c r="H288"/>
  <c r="G288" s="1"/>
  <c r="BT287"/>
  <c r="BS287"/>
  <c r="BR287"/>
  <c r="BQ287"/>
  <c r="BP287"/>
  <c r="BO287"/>
  <c r="BN287"/>
  <c r="BM287"/>
  <c r="BK287"/>
  <c r="BJ287"/>
  <c r="BI287"/>
  <c r="BH287"/>
  <c r="BG287"/>
  <c r="BF287"/>
  <c r="BE287"/>
  <c r="BD287"/>
  <c r="BC287"/>
  <c r="BB287"/>
  <c r="AX287"/>
  <c r="AW287"/>
  <c r="AV287"/>
  <c r="AC287"/>
  <c r="H287"/>
  <c r="G287" s="1"/>
  <c r="BT286"/>
  <c r="BS286"/>
  <c r="BR286"/>
  <c r="BQ286"/>
  <c r="BP286"/>
  <c r="BO286"/>
  <c r="BN286"/>
  <c r="BM286"/>
  <c r="BK286"/>
  <c r="BJ286"/>
  <c r="BI286"/>
  <c r="BH286"/>
  <c r="BG286"/>
  <c r="BF286"/>
  <c r="BE286"/>
  <c r="BD286"/>
  <c r="BC286"/>
  <c r="BB286"/>
  <c r="BA286" s="1"/>
  <c r="AX286"/>
  <c r="AW286"/>
  <c r="AV286"/>
  <c r="AC286"/>
  <c r="H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AX282"/>
  <c r="AW282"/>
  <c r="AV282"/>
  <c r="AC282"/>
  <c r="H282"/>
  <c r="G282" s="1"/>
  <c r="BT281"/>
  <c r="BS281"/>
  <c r="BR281"/>
  <c r="BQ281"/>
  <c r="BP281"/>
  <c r="BO281"/>
  <c r="BN281"/>
  <c r="BM281"/>
  <c r="BK281"/>
  <c r="BJ281"/>
  <c r="BI281"/>
  <c r="BH281"/>
  <c r="BG281"/>
  <c r="BF281"/>
  <c r="BE281"/>
  <c r="BD281"/>
  <c r="BC281"/>
  <c r="BB281"/>
  <c r="BA281" s="1"/>
  <c r="AX281"/>
  <c r="AW281"/>
  <c r="AV281"/>
  <c r="AC281"/>
  <c r="H281"/>
  <c r="BT280"/>
  <c r="BS280"/>
  <c r="BR280"/>
  <c r="BQ280"/>
  <c r="BP280"/>
  <c r="BO280"/>
  <c r="BN280"/>
  <c r="BM280"/>
  <c r="BL280" s="1"/>
  <c r="BK280"/>
  <c r="BJ280"/>
  <c r="BI280"/>
  <c r="BH280"/>
  <c r="BG280"/>
  <c r="BF280"/>
  <c r="BE280"/>
  <c r="BD280"/>
  <c r="BC280"/>
  <c r="BB280"/>
  <c r="AX280"/>
  <c r="AW280"/>
  <c r="AV280"/>
  <c r="AC280"/>
  <c r="H280"/>
  <c r="BT279"/>
  <c r="BS279"/>
  <c r="BR279"/>
  <c r="BQ279"/>
  <c r="BP279"/>
  <c r="BO279"/>
  <c r="BN279"/>
  <c r="BM279"/>
  <c r="BL279" s="1"/>
  <c r="BK279"/>
  <c r="BJ279"/>
  <c r="BI279"/>
  <c r="BH279"/>
  <c r="BG279"/>
  <c r="BF279"/>
  <c r="BE279"/>
  <c r="BD279"/>
  <c r="BC279"/>
  <c r="BB279"/>
  <c r="AX279"/>
  <c r="AW279"/>
  <c r="AV279"/>
  <c r="AC279"/>
  <c r="H279"/>
  <c r="BT278"/>
  <c r="BS278"/>
  <c r="BR278"/>
  <c r="BQ278"/>
  <c r="BP278"/>
  <c r="BO278"/>
  <c r="BN278"/>
  <c r="BM278"/>
  <c r="BL278" s="1"/>
  <c r="BK278"/>
  <c r="BJ278"/>
  <c r="BI278"/>
  <c r="BH278"/>
  <c r="BG278"/>
  <c r="BF278"/>
  <c r="BE278"/>
  <c r="BD278"/>
  <c r="BC278"/>
  <c r="BB278"/>
  <c r="AX278"/>
  <c r="AW278"/>
  <c r="AV278"/>
  <c r="AC278"/>
  <c r="H278"/>
  <c r="G278" s="1"/>
  <c r="BT277"/>
  <c r="BS277"/>
  <c r="BR277"/>
  <c r="BQ277"/>
  <c r="BP277"/>
  <c r="BO277"/>
  <c r="BN277"/>
  <c r="BM277"/>
  <c r="BK277"/>
  <c r="BJ277"/>
  <c r="BI277"/>
  <c r="BH277"/>
  <c r="BG277"/>
  <c r="BF277"/>
  <c r="BE277"/>
  <c r="BD277"/>
  <c r="BC277"/>
  <c r="BB277"/>
  <c r="AX277"/>
  <c r="AW277"/>
  <c r="AV277"/>
  <c r="AC277"/>
  <c r="H277"/>
  <c r="G277" s="1"/>
  <c r="BT276"/>
  <c r="BS276"/>
  <c r="BR276"/>
  <c r="BQ276"/>
  <c r="BP276"/>
  <c r="BO276"/>
  <c r="BN276"/>
  <c r="BM276"/>
  <c r="BL276" s="1"/>
  <c r="BK276"/>
  <c r="BJ276"/>
  <c r="BI276"/>
  <c r="BH276"/>
  <c r="BG276"/>
  <c r="BF276"/>
  <c r="BE276"/>
  <c r="BD276"/>
  <c r="BC276"/>
  <c r="BB276"/>
  <c r="AX276"/>
  <c r="AW276"/>
  <c r="AV276"/>
  <c r="AC276"/>
  <c r="H276"/>
  <c r="BT275"/>
  <c r="BS275"/>
  <c r="BR275"/>
  <c r="BQ275"/>
  <c r="BP275"/>
  <c r="BO275"/>
  <c r="BN275"/>
  <c r="BM275"/>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s="1"/>
  <c r="AZ274" s="1"/>
  <c r="AX274"/>
  <c r="AW274"/>
  <c r="AV274"/>
  <c r="AC274"/>
  <c r="H274"/>
  <c r="BT273"/>
  <c r="BS273"/>
  <c r="BR273"/>
  <c r="BQ273"/>
  <c r="BP273"/>
  <c r="BO273"/>
  <c r="BN273"/>
  <c r="BM273"/>
  <c r="BK273"/>
  <c r="BJ273"/>
  <c r="BI273"/>
  <c r="BH273"/>
  <c r="BG273"/>
  <c r="BF273"/>
  <c r="BE273"/>
  <c r="BD273"/>
  <c r="BC273"/>
  <c r="BB273"/>
  <c r="AX273"/>
  <c r="AW273"/>
  <c r="AV273"/>
  <c r="AC273"/>
  <c r="H273"/>
  <c r="G273" s="1"/>
  <c r="BT272"/>
  <c r="BS272"/>
  <c r="BR272"/>
  <c r="BQ272"/>
  <c r="BP272"/>
  <c r="BO272"/>
  <c r="BN272"/>
  <c r="BM272"/>
  <c r="BL272" s="1"/>
  <c r="BK272"/>
  <c r="BJ272"/>
  <c r="BI272"/>
  <c r="BH272"/>
  <c r="BG272"/>
  <c r="BF272"/>
  <c r="BE272"/>
  <c r="BD272"/>
  <c r="BC272"/>
  <c r="BB272"/>
  <c r="AX272"/>
  <c r="AW272"/>
  <c r="AV272"/>
  <c r="AC272"/>
  <c r="H272"/>
  <c r="BT271"/>
  <c r="BS271"/>
  <c r="BR271"/>
  <c r="BQ271"/>
  <c r="BP271"/>
  <c r="BO271"/>
  <c r="BN271"/>
  <c r="BM27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s="1"/>
  <c r="AZ270" s="1"/>
  <c r="AX270"/>
  <c r="AW270"/>
  <c r="AV270"/>
  <c r="AC270"/>
  <c r="H270"/>
  <c r="BT269"/>
  <c r="BS269"/>
  <c r="BR269"/>
  <c r="BQ269"/>
  <c r="BP269"/>
  <c r="BO269"/>
  <c r="BN269"/>
  <c r="BM269"/>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C268"/>
  <c r="BB268"/>
  <c r="AX268"/>
  <c r="AW268"/>
  <c r="AV268"/>
  <c r="AC268"/>
  <c r="H268"/>
  <c r="BT267"/>
  <c r="BS267"/>
  <c r="BR267"/>
  <c r="BQ267"/>
  <c r="BP267"/>
  <c r="BO267"/>
  <c r="BN267"/>
  <c r="BM267"/>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BA266" s="1"/>
  <c r="AX266"/>
  <c r="AW266"/>
  <c r="AV266"/>
  <c r="AC266"/>
  <c r="H266"/>
  <c r="BT265"/>
  <c r="BS265"/>
  <c r="BR265"/>
  <c r="BQ265"/>
  <c r="BP265"/>
  <c r="BO265"/>
  <c r="BN265"/>
  <c r="BM265"/>
  <c r="BL265" s="1"/>
  <c r="BK265"/>
  <c r="BJ265"/>
  <c r="BI265"/>
  <c r="BH265"/>
  <c r="BG265"/>
  <c r="BF265"/>
  <c r="BE265"/>
  <c r="BD265"/>
  <c r="BC265"/>
  <c r="BB265"/>
  <c r="AX265"/>
  <c r="AW265"/>
  <c r="AV265"/>
  <c r="AC265"/>
  <c r="H265"/>
  <c r="BT264"/>
  <c r="BS264"/>
  <c r="BR264"/>
  <c r="BQ264"/>
  <c r="BP264"/>
  <c r="BO264"/>
  <c r="BN264"/>
  <c r="BM264"/>
  <c r="BL264" s="1"/>
  <c r="BK264"/>
  <c r="BJ264"/>
  <c r="BI264"/>
  <c r="BH264"/>
  <c r="BG264"/>
  <c r="BF264"/>
  <c r="BE264"/>
  <c r="BD264"/>
  <c r="BC264"/>
  <c r="BB264"/>
  <c r="AX264"/>
  <c r="AW264"/>
  <c r="AV264"/>
  <c r="AC264"/>
  <c r="H264"/>
  <c r="G264" s="1"/>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K262"/>
  <c r="BJ262"/>
  <c r="BI262"/>
  <c r="BH262"/>
  <c r="BG262"/>
  <c r="BF262"/>
  <c r="BE262"/>
  <c r="BD262"/>
  <c r="BC262"/>
  <c r="BB262"/>
  <c r="BA262" s="1"/>
  <c r="AX262"/>
  <c r="AW262"/>
  <c r="AV262"/>
  <c r="AC262"/>
  <c r="H262"/>
  <c r="BT261"/>
  <c r="BS261"/>
  <c r="BR261"/>
  <c r="BQ261"/>
  <c r="BP261"/>
  <c r="BO261"/>
  <c r="BN261"/>
  <c r="BM261"/>
  <c r="BL261" s="1"/>
  <c r="BK261"/>
  <c r="BJ261"/>
  <c r="BI261"/>
  <c r="BH261"/>
  <c r="BG261"/>
  <c r="BF261"/>
  <c r="BE261"/>
  <c r="BD261"/>
  <c r="BC261"/>
  <c r="BB261"/>
  <c r="AX261"/>
  <c r="AW261"/>
  <c r="AV261"/>
  <c r="AC261"/>
  <c r="H261"/>
  <c r="BT260"/>
  <c r="BS260"/>
  <c r="BR260"/>
  <c r="BQ260"/>
  <c r="BP260"/>
  <c r="BO260"/>
  <c r="BN260"/>
  <c r="BM260"/>
  <c r="BL260" s="1"/>
  <c r="BK260"/>
  <c r="BJ260"/>
  <c r="BI260"/>
  <c r="BH260"/>
  <c r="BG260"/>
  <c r="BF260"/>
  <c r="BE260"/>
  <c r="BD260"/>
  <c r="BC260"/>
  <c r="BB260"/>
  <c r="AX260"/>
  <c r="AW260"/>
  <c r="AV260"/>
  <c r="AC260"/>
  <c r="H260"/>
  <c r="G260" s="1"/>
  <c r="BT259"/>
  <c r="BS259"/>
  <c r="BR259"/>
  <c r="BQ259"/>
  <c r="BP259"/>
  <c r="BO259"/>
  <c r="BN259"/>
  <c r="BM259"/>
  <c r="BK259"/>
  <c r="BJ259"/>
  <c r="BI259"/>
  <c r="BH259"/>
  <c r="BG259"/>
  <c r="BF259"/>
  <c r="BE259"/>
  <c r="BD259"/>
  <c r="BC259"/>
  <c r="BB259"/>
  <c r="AX259"/>
  <c r="AW259"/>
  <c r="AV259"/>
  <c r="AC259"/>
  <c r="H259"/>
  <c r="G259" s="1"/>
  <c r="BT258"/>
  <c r="BS258"/>
  <c r="BR258"/>
  <c r="BQ258"/>
  <c r="BP258"/>
  <c r="BO258"/>
  <c r="BN258"/>
  <c r="BM258"/>
  <c r="BK258"/>
  <c r="BJ258"/>
  <c r="BI258"/>
  <c r="BH258"/>
  <c r="BG258"/>
  <c r="BF258"/>
  <c r="BE258"/>
  <c r="BD258"/>
  <c r="BC258"/>
  <c r="BB258"/>
  <c r="BA258" s="1"/>
  <c r="AX258"/>
  <c r="AW258"/>
  <c r="AV258"/>
  <c r="AC258"/>
  <c r="H258"/>
  <c r="BT257"/>
  <c r="BS257"/>
  <c r="BR257"/>
  <c r="BQ257"/>
  <c r="BP257"/>
  <c r="BO257"/>
  <c r="BN257"/>
  <c r="BM257"/>
  <c r="BL257" s="1"/>
  <c r="BK257"/>
  <c r="BJ257"/>
  <c r="BI257"/>
  <c r="BH257"/>
  <c r="BG257"/>
  <c r="BF257"/>
  <c r="BE257"/>
  <c r="BD257"/>
  <c r="BC257"/>
  <c r="BB257"/>
  <c r="AX257"/>
  <c r="AW257"/>
  <c r="AV257"/>
  <c r="AC257"/>
  <c r="H257"/>
  <c r="BT256"/>
  <c r="BS256"/>
  <c r="BR256"/>
  <c r="BQ256"/>
  <c r="BP256"/>
  <c r="BO256"/>
  <c r="BN256"/>
  <c r="BM256"/>
  <c r="BL256" s="1"/>
  <c r="BK256"/>
  <c r="BJ256"/>
  <c r="BI256"/>
  <c r="BH256"/>
  <c r="BG256"/>
  <c r="BF256"/>
  <c r="BE256"/>
  <c r="BD256"/>
  <c r="BC256"/>
  <c r="BB256"/>
  <c r="AX256"/>
  <c r="AW256"/>
  <c r="AV256"/>
  <c r="AC256"/>
  <c r="H256"/>
  <c r="BT255"/>
  <c r="BS255"/>
  <c r="BR255"/>
  <c r="BQ255"/>
  <c r="BP255"/>
  <c r="BO255"/>
  <c r="BN255"/>
  <c r="BM255"/>
  <c r="BL255" s="1"/>
  <c r="BK255"/>
  <c r="BJ255"/>
  <c r="BI255"/>
  <c r="BH255"/>
  <c r="BG255"/>
  <c r="BF255"/>
  <c r="BE255"/>
  <c r="BD255"/>
  <c r="BC255"/>
  <c r="BB255"/>
  <c r="AX255"/>
  <c r="AW255"/>
  <c r="AV255"/>
  <c r="AC255"/>
  <c r="H255"/>
  <c r="G255" s="1"/>
  <c r="BT254"/>
  <c r="BS254"/>
  <c r="BR254"/>
  <c r="BQ254"/>
  <c r="BP254"/>
  <c r="BO254"/>
  <c r="BN254"/>
  <c r="BM254"/>
  <c r="BK254"/>
  <c r="BJ254"/>
  <c r="BI254"/>
  <c r="BH254"/>
  <c r="BG254"/>
  <c r="BF254"/>
  <c r="BE254"/>
  <c r="BD254"/>
  <c r="BC254"/>
  <c r="BB254"/>
  <c r="AX254"/>
  <c r="AW254"/>
  <c r="AV254"/>
  <c r="AC254"/>
  <c r="H254"/>
  <c r="G254" s="1"/>
  <c r="BT253"/>
  <c r="BS253"/>
  <c r="BR253"/>
  <c r="BQ253"/>
  <c r="BP253"/>
  <c r="BO253"/>
  <c r="BN253"/>
  <c r="BM253"/>
  <c r="BL253" s="1"/>
  <c r="BK253"/>
  <c r="BJ253"/>
  <c r="BI253"/>
  <c r="BH253"/>
  <c r="BG253"/>
  <c r="BF253"/>
  <c r="BE253"/>
  <c r="BD253"/>
  <c r="BC253"/>
  <c r="BB253"/>
  <c r="AX253"/>
  <c r="AW253"/>
  <c r="AV253"/>
  <c r="AC253"/>
  <c r="H253"/>
  <c r="BT252"/>
  <c r="BS252"/>
  <c r="BR252"/>
  <c r="BQ252"/>
  <c r="BP252"/>
  <c r="BO252"/>
  <c r="BN252"/>
  <c r="BM252"/>
  <c r="BK252"/>
  <c r="BJ252"/>
  <c r="BI252"/>
  <c r="BH252"/>
  <c r="BG252"/>
  <c r="BF252"/>
  <c r="BE252"/>
  <c r="BD252"/>
  <c r="BC252"/>
  <c r="BB252"/>
  <c r="AX252"/>
  <c r="AW252"/>
  <c r="AV252"/>
  <c r="AC252"/>
  <c r="H252"/>
  <c r="G252" s="1"/>
  <c r="BT251"/>
  <c r="BS251"/>
  <c r="BR251"/>
  <c r="BQ251"/>
  <c r="BP251"/>
  <c r="BO251"/>
  <c r="BN251"/>
  <c r="BM251"/>
  <c r="BK251"/>
  <c r="BJ251"/>
  <c r="BI251"/>
  <c r="BH251"/>
  <c r="BG251"/>
  <c r="BF251"/>
  <c r="BE251"/>
  <c r="BD251"/>
  <c r="BC251"/>
  <c r="BB251"/>
  <c r="BA251" s="1"/>
  <c r="AX251"/>
  <c r="AW251"/>
  <c r="AV251"/>
  <c r="AC251"/>
  <c r="H251"/>
  <c r="G251" s="1"/>
  <c r="BT250"/>
  <c r="BS250"/>
  <c r="BR250"/>
  <c r="BQ250"/>
  <c r="BP250"/>
  <c r="BO250"/>
  <c r="BN250"/>
  <c r="BM250"/>
  <c r="BK250"/>
  <c r="BJ250"/>
  <c r="BI250"/>
  <c r="BH250"/>
  <c r="BG250"/>
  <c r="BF250"/>
  <c r="BE250"/>
  <c r="BD250"/>
  <c r="BC250"/>
  <c r="BB250"/>
  <c r="AX250"/>
  <c r="AW250"/>
  <c r="AV250"/>
  <c r="AC250"/>
  <c r="H250"/>
  <c r="G250" s="1"/>
  <c r="BT249"/>
  <c r="BS249"/>
  <c r="BR249"/>
  <c r="BQ249"/>
  <c r="BP249"/>
  <c r="BO249"/>
  <c r="BN249"/>
  <c r="BM249"/>
  <c r="BL249" s="1"/>
  <c r="BK249"/>
  <c r="BJ249"/>
  <c r="BI249"/>
  <c r="BH249"/>
  <c r="BG249"/>
  <c r="BF249"/>
  <c r="BE249"/>
  <c r="BD249"/>
  <c r="BC249"/>
  <c r="BB249"/>
  <c r="AX249"/>
  <c r="AW249"/>
  <c r="AV249"/>
  <c r="AC249"/>
  <c r="H249"/>
  <c r="BT248"/>
  <c r="BS248"/>
  <c r="BR248"/>
  <c r="BQ248"/>
  <c r="BP248"/>
  <c r="BO248"/>
  <c r="BN248"/>
  <c r="BM248"/>
  <c r="BK248"/>
  <c r="BJ248"/>
  <c r="BI248"/>
  <c r="BH248"/>
  <c r="BG248"/>
  <c r="BF248"/>
  <c r="BE248"/>
  <c r="BD248"/>
  <c r="BC248"/>
  <c r="BB248"/>
  <c r="AX248"/>
  <c r="AW248"/>
  <c r="AV248"/>
  <c r="AC248"/>
  <c r="H248"/>
  <c r="G248" s="1"/>
  <c r="BT247"/>
  <c r="BS247"/>
  <c r="BR247"/>
  <c r="BQ247"/>
  <c r="BP247"/>
  <c r="BO247"/>
  <c r="BN247"/>
  <c r="BM247"/>
  <c r="BL247" s="1"/>
  <c r="BK247"/>
  <c r="BJ247"/>
  <c r="BI247"/>
  <c r="BH247"/>
  <c r="BG247"/>
  <c r="BF247"/>
  <c r="BE247"/>
  <c r="BD247"/>
  <c r="BC247"/>
  <c r="BB247"/>
  <c r="AX247"/>
  <c r="AW247"/>
  <c r="AV247"/>
  <c r="AC247"/>
  <c r="H247"/>
  <c r="BT246"/>
  <c r="BS246"/>
  <c r="BR246"/>
  <c r="BQ246"/>
  <c r="BP246"/>
  <c r="BO246"/>
  <c r="BN246"/>
  <c r="BM246"/>
  <c r="BK246"/>
  <c r="BJ246"/>
  <c r="BI246"/>
  <c r="BH246"/>
  <c r="BG246"/>
  <c r="BF246"/>
  <c r="BE246"/>
  <c r="BD246"/>
  <c r="BC246"/>
  <c r="BB246"/>
  <c r="BA246"/>
  <c r="AX246"/>
  <c r="AW246"/>
  <c r="AV246"/>
  <c r="AC246"/>
  <c r="H246"/>
  <c r="BT245"/>
  <c r="BS245"/>
  <c r="BR245"/>
  <c r="BQ245"/>
  <c r="BP245"/>
  <c r="BO245"/>
  <c r="BN245"/>
  <c r="BM245"/>
  <c r="BL245"/>
  <c r="BK245"/>
  <c r="BJ245"/>
  <c r="BI245"/>
  <c r="BH245"/>
  <c r="BG245"/>
  <c r="BF245"/>
  <c r="BE245"/>
  <c r="BD245"/>
  <c r="BC245"/>
  <c r="BB245"/>
  <c r="BA245" s="1"/>
  <c r="AX245"/>
  <c r="AW245"/>
  <c r="AV245"/>
  <c r="AC245"/>
  <c r="H245"/>
  <c r="BT244"/>
  <c r="BS244"/>
  <c r="BR244"/>
  <c r="BQ244"/>
  <c r="BP244"/>
  <c r="BO244"/>
  <c r="BN244"/>
  <c r="BM244"/>
  <c r="BL244"/>
  <c r="BK244"/>
  <c r="BJ244"/>
  <c r="BI244"/>
  <c r="BH244"/>
  <c r="BG244"/>
  <c r="BF244"/>
  <c r="BE244"/>
  <c r="BD244"/>
  <c r="BC244"/>
  <c r="BB244"/>
  <c r="BA244" s="1"/>
  <c r="AZ244" s="1"/>
  <c r="AX244"/>
  <c r="AW244"/>
  <c r="AV244"/>
  <c r="AC244"/>
  <c r="H244"/>
  <c r="G244"/>
  <c r="BT243"/>
  <c r="BS243"/>
  <c r="BR243"/>
  <c r="BQ243"/>
  <c r="BP243"/>
  <c r="BO243"/>
  <c r="BN243"/>
  <c r="BM243"/>
  <c r="BL243" s="1"/>
  <c r="BK243"/>
  <c r="BJ243"/>
  <c r="BI243"/>
  <c r="BH243"/>
  <c r="BG243"/>
  <c r="BF243"/>
  <c r="BE243"/>
  <c r="BD243"/>
  <c r="BC243"/>
  <c r="BB243"/>
  <c r="BA243" s="1"/>
  <c r="AX243"/>
  <c r="AW243"/>
  <c r="AV243"/>
  <c r="AC243"/>
  <c r="H243"/>
  <c r="BT242"/>
  <c r="BS242"/>
  <c r="BR242"/>
  <c r="BQ242"/>
  <c r="BP242"/>
  <c r="BO242"/>
  <c r="BN242"/>
  <c r="BM242"/>
  <c r="BK242"/>
  <c r="BJ242"/>
  <c r="BI242"/>
  <c r="BH242"/>
  <c r="BG242"/>
  <c r="BF242"/>
  <c r="BE242"/>
  <c r="BD242"/>
  <c r="BC242"/>
  <c r="BB242"/>
  <c r="BA242"/>
  <c r="AX242"/>
  <c r="AW242"/>
  <c r="AV242"/>
  <c r="AC242"/>
  <c r="H242"/>
  <c r="BT241"/>
  <c r="BS241"/>
  <c r="BR241"/>
  <c r="BQ241"/>
  <c r="BP241"/>
  <c r="BO241"/>
  <c r="BN241"/>
  <c r="BM241"/>
  <c r="BL241"/>
  <c r="BK241"/>
  <c r="BJ241"/>
  <c r="BI241"/>
  <c r="BH241"/>
  <c r="BG241"/>
  <c r="BF241"/>
  <c r="BE241"/>
  <c r="BD241"/>
  <c r="BC241"/>
  <c r="BB241"/>
  <c r="BA241" s="1"/>
  <c r="AX241"/>
  <c r="AW241"/>
  <c r="AV241"/>
  <c r="AC241"/>
  <c r="H241"/>
  <c r="BT240"/>
  <c r="BS240"/>
  <c r="BR240"/>
  <c r="BQ240"/>
  <c r="BP240"/>
  <c r="BO240"/>
  <c r="BN240"/>
  <c r="BM240"/>
  <c r="BL240"/>
  <c r="BK240"/>
  <c r="BJ240"/>
  <c r="BI240"/>
  <c r="BH240"/>
  <c r="BG240"/>
  <c r="BF240"/>
  <c r="BE240"/>
  <c r="BD240"/>
  <c r="BC240"/>
  <c r="BB240"/>
  <c r="BA240" s="1"/>
  <c r="AX240"/>
  <c r="AW240"/>
  <c r="AV240"/>
  <c r="AC240"/>
  <c r="H240"/>
  <c r="BT239"/>
  <c r="BS239"/>
  <c r="BR239"/>
  <c r="BQ239"/>
  <c r="BP239"/>
  <c r="BO239"/>
  <c r="BN239"/>
  <c r="BM239"/>
  <c r="BL239"/>
  <c r="BK239"/>
  <c r="BJ239"/>
  <c r="BI239"/>
  <c r="BH239"/>
  <c r="BG239"/>
  <c r="BF239"/>
  <c r="BE239"/>
  <c r="BD239"/>
  <c r="BC239"/>
  <c r="BB239"/>
  <c r="BA239" s="1"/>
  <c r="AZ239" s="1"/>
  <c r="AX239"/>
  <c r="AW239"/>
  <c r="AV239"/>
  <c r="AC239"/>
  <c r="H239"/>
  <c r="G239"/>
  <c r="BT238"/>
  <c r="BS238"/>
  <c r="BR238"/>
  <c r="BQ238"/>
  <c r="BP238"/>
  <c r="BO238"/>
  <c r="BN238"/>
  <c r="BM238"/>
  <c r="BL238" s="1"/>
  <c r="BK238"/>
  <c r="BJ238"/>
  <c r="BI238"/>
  <c r="BH238"/>
  <c r="BG238"/>
  <c r="BF238"/>
  <c r="BE238"/>
  <c r="BD238"/>
  <c r="BC238"/>
  <c r="BB238"/>
  <c r="BA238" s="1"/>
  <c r="AX238"/>
  <c r="AW238"/>
  <c r="AV238"/>
  <c r="AC238"/>
  <c r="H238"/>
  <c r="BT237"/>
  <c r="BS237"/>
  <c r="BR237"/>
  <c r="BQ237"/>
  <c r="BP237"/>
  <c r="BO237"/>
  <c r="BN237"/>
  <c r="BM237"/>
  <c r="BK237"/>
  <c r="BJ237"/>
  <c r="BI237"/>
  <c r="BH237"/>
  <c r="BG237"/>
  <c r="BF237"/>
  <c r="BE237"/>
  <c r="BD237"/>
  <c r="BC237"/>
  <c r="BB237"/>
  <c r="AX237"/>
  <c r="AW237"/>
  <c r="AV237"/>
  <c r="AC237"/>
  <c r="H237"/>
  <c r="G237" s="1"/>
  <c r="BT236"/>
  <c r="BS236"/>
  <c r="BR236"/>
  <c r="BQ236"/>
  <c r="BP236"/>
  <c r="BO236"/>
  <c r="BN236"/>
  <c r="BM236"/>
  <c r="BL236" s="1"/>
  <c r="BK236"/>
  <c r="BJ236"/>
  <c r="BI236"/>
  <c r="BH236"/>
  <c r="BG236"/>
  <c r="BF236"/>
  <c r="BE236"/>
  <c r="BD236"/>
  <c r="BC236"/>
  <c r="BB236"/>
  <c r="AX236"/>
  <c r="AW236"/>
  <c r="AV236"/>
  <c r="AC236"/>
  <c r="H236"/>
  <c r="BT235"/>
  <c r="BS235"/>
  <c r="BR235"/>
  <c r="BQ235"/>
  <c r="BP235"/>
  <c r="BO235"/>
  <c r="BN235"/>
  <c r="BM235"/>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s="1"/>
  <c r="AX234"/>
  <c r="AW234"/>
  <c r="AV234"/>
  <c r="AC234"/>
  <c r="H234"/>
  <c r="BT233"/>
  <c r="BS233"/>
  <c r="BR233"/>
  <c r="BQ233"/>
  <c r="BP233"/>
  <c r="BO233"/>
  <c r="BN233"/>
  <c r="BM233"/>
  <c r="BK233"/>
  <c r="BJ233"/>
  <c r="BI233"/>
  <c r="BH233"/>
  <c r="BG233"/>
  <c r="BF233"/>
  <c r="BE233"/>
  <c r="BD233"/>
  <c r="BC233"/>
  <c r="BB233"/>
  <c r="AX233"/>
  <c r="AW233"/>
  <c r="AV233"/>
  <c r="AC233"/>
  <c r="H233"/>
  <c r="G233" s="1"/>
  <c r="BT232"/>
  <c r="BS232"/>
  <c r="BR232"/>
  <c r="BQ232"/>
  <c r="BP232"/>
  <c r="BO232"/>
  <c r="BN232"/>
  <c r="BM232"/>
  <c r="BL232" s="1"/>
  <c r="BK232"/>
  <c r="BJ232"/>
  <c r="BI232"/>
  <c r="BH232"/>
  <c r="BG232"/>
  <c r="BF232"/>
  <c r="BE232"/>
  <c r="BD232"/>
  <c r="BC232"/>
  <c r="BB232"/>
  <c r="AX232"/>
  <c r="AW232"/>
  <c r="AV232"/>
  <c r="AC232"/>
  <c r="H232"/>
  <c r="BT231"/>
  <c r="BS231"/>
  <c r="BR231"/>
  <c r="BQ231"/>
  <c r="BP231"/>
  <c r="BO231"/>
  <c r="BN231"/>
  <c r="BM231"/>
  <c r="BK231"/>
  <c r="BJ231"/>
  <c r="BI231"/>
  <c r="BH231"/>
  <c r="BG231"/>
  <c r="BF231"/>
  <c r="BE231"/>
  <c r="BD231"/>
  <c r="BC231"/>
  <c r="BB231"/>
  <c r="AX231"/>
  <c r="AW231"/>
  <c r="AV231"/>
  <c r="AC231"/>
  <c r="H231"/>
  <c r="G231" s="1"/>
  <c r="BT230"/>
  <c r="BS230"/>
  <c r="BR230"/>
  <c r="BQ230"/>
  <c r="BP230"/>
  <c r="BO230"/>
  <c r="BN230"/>
  <c r="BM230"/>
  <c r="BK230"/>
  <c r="BJ230"/>
  <c r="BI230"/>
  <c r="BH230"/>
  <c r="BG230"/>
  <c r="BF230"/>
  <c r="BE230"/>
  <c r="BD230"/>
  <c r="BC230"/>
  <c r="BB230"/>
  <c r="BA230" s="1"/>
  <c r="AX230"/>
  <c r="AW230"/>
  <c r="AV230"/>
  <c r="AC230"/>
  <c r="H230"/>
  <c r="BT229"/>
  <c r="BS229"/>
  <c r="BR229"/>
  <c r="BQ229"/>
  <c r="BP229"/>
  <c r="BO229"/>
  <c r="BN229"/>
  <c r="BM229"/>
  <c r="BL229" s="1"/>
  <c r="BK229"/>
  <c r="BJ229"/>
  <c r="BI229"/>
  <c r="BH229"/>
  <c r="BG229"/>
  <c r="BF229"/>
  <c r="BE229"/>
  <c r="BD229"/>
  <c r="BC229"/>
  <c r="BB229"/>
  <c r="AX229"/>
  <c r="AW229"/>
  <c r="AV229"/>
  <c r="AC229"/>
  <c r="H229"/>
  <c r="BT228"/>
  <c r="BS228"/>
  <c r="BR228"/>
  <c r="BQ228"/>
  <c r="BP228"/>
  <c r="BO228"/>
  <c r="BN228"/>
  <c r="BM228"/>
  <c r="BL228" s="1"/>
  <c r="BK228"/>
  <c r="BJ228"/>
  <c r="BI228"/>
  <c r="BH228"/>
  <c r="BG228"/>
  <c r="BF228"/>
  <c r="BE228"/>
  <c r="BD228"/>
  <c r="BC228"/>
  <c r="BB228"/>
  <c r="AX228"/>
  <c r="AW228"/>
  <c r="AV228"/>
  <c r="AC228"/>
  <c r="H228"/>
  <c r="G228" s="1"/>
  <c r="BT227"/>
  <c r="BS227"/>
  <c r="BR227"/>
  <c r="BQ227"/>
  <c r="BP227"/>
  <c r="BO227"/>
  <c r="BN227"/>
  <c r="BM227"/>
  <c r="BK227"/>
  <c r="BJ227"/>
  <c r="BI227"/>
  <c r="BH227"/>
  <c r="BG227"/>
  <c r="BF227"/>
  <c r="BE227"/>
  <c r="BD227"/>
  <c r="BC227"/>
  <c r="BB227"/>
  <c r="AX227"/>
  <c r="AW227"/>
  <c r="AV227"/>
  <c r="AC227"/>
  <c r="H227"/>
  <c r="G227" s="1"/>
  <c r="BT226"/>
  <c r="BS226"/>
  <c r="BR226"/>
  <c r="BQ226"/>
  <c r="BP226"/>
  <c r="BO226"/>
  <c r="BN226"/>
  <c r="BM226"/>
  <c r="BK226"/>
  <c r="BJ226"/>
  <c r="BI226"/>
  <c r="BH226"/>
  <c r="BG226"/>
  <c r="BF226"/>
  <c r="BE226"/>
  <c r="BD226"/>
  <c r="BC226"/>
  <c r="BB226"/>
  <c r="BA226" s="1"/>
  <c r="AX226"/>
  <c r="AW226"/>
  <c r="AV226"/>
  <c r="AC226"/>
  <c r="H226"/>
  <c r="BT225"/>
  <c r="BS225"/>
  <c r="BR225"/>
  <c r="BQ225"/>
  <c r="BP225"/>
  <c r="BO225"/>
  <c r="BN225"/>
  <c r="BM225"/>
  <c r="BL225" s="1"/>
  <c r="BK225"/>
  <c r="BJ225"/>
  <c r="BI225"/>
  <c r="BH225"/>
  <c r="BG225"/>
  <c r="BF225"/>
  <c r="BE225"/>
  <c r="BD225"/>
  <c r="BC225"/>
  <c r="BB225"/>
  <c r="AX225"/>
  <c r="AW225"/>
  <c r="AV225"/>
  <c r="AC225"/>
  <c r="H225"/>
  <c r="G225" s="1"/>
  <c r="BT224"/>
  <c r="BS224"/>
  <c r="BR224"/>
  <c r="BQ224"/>
  <c r="BP224"/>
  <c r="BO224"/>
  <c r="BN224"/>
  <c r="BM224"/>
  <c r="BK224"/>
  <c r="BJ224"/>
  <c r="BI224"/>
  <c r="BH224"/>
  <c r="BG224"/>
  <c r="BF224"/>
  <c r="BE224"/>
  <c r="BD224"/>
  <c r="BC224"/>
  <c r="BB224"/>
  <c r="AX224"/>
  <c r="AW224"/>
  <c r="AV224"/>
  <c r="AC224"/>
  <c r="H224"/>
  <c r="G224" s="1"/>
  <c r="BT223"/>
  <c r="BS223"/>
  <c r="BR223"/>
  <c r="BQ223"/>
  <c r="BP223"/>
  <c r="BO223"/>
  <c r="BN223"/>
  <c r="BM223"/>
  <c r="BL223" s="1"/>
  <c r="BK223"/>
  <c r="BJ223"/>
  <c r="BI223"/>
  <c r="BH223"/>
  <c r="BG223"/>
  <c r="BF223"/>
  <c r="BE223"/>
  <c r="BD223"/>
  <c r="BC223"/>
  <c r="BB223"/>
  <c r="AX223"/>
  <c r="AW223"/>
  <c r="AV223"/>
  <c r="AC223"/>
  <c r="H223"/>
  <c r="BT222"/>
  <c r="BS222"/>
  <c r="BR222"/>
  <c r="BQ222"/>
  <c r="BP222"/>
  <c r="BO222"/>
  <c r="BN222"/>
  <c r="BM222"/>
  <c r="BK222"/>
  <c r="BJ222"/>
  <c r="BI222"/>
  <c r="BH222"/>
  <c r="BG222"/>
  <c r="BF222"/>
  <c r="BE222"/>
  <c r="BD222"/>
  <c r="BC222"/>
  <c r="BB222"/>
  <c r="AX222"/>
  <c r="AW222"/>
  <c r="AV222"/>
  <c r="AC222"/>
  <c r="H222"/>
  <c r="G222" s="1"/>
  <c r="BT221"/>
  <c r="BS221"/>
  <c r="BR221"/>
  <c r="BQ221"/>
  <c r="BP221"/>
  <c r="BO221"/>
  <c r="BN221"/>
  <c r="BM221"/>
  <c r="BL221" s="1"/>
  <c r="BK221"/>
  <c r="BJ221"/>
  <c r="BI221"/>
  <c r="BH221"/>
  <c r="BG221"/>
  <c r="BF221"/>
  <c r="BE221"/>
  <c r="BD221"/>
  <c r="BC221"/>
  <c r="BB221"/>
  <c r="AX221"/>
  <c r="AW221"/>
  <c r="AV221"/>
  <c r="AC221"/>
  <c r="H221"/>
  <c r="BT220"/>
  <c r="BS220"/>
  <c r="BR220"/>
  <c r="BQ220"/>
  <c r="BP220"/>
  <c r="BO220"/>
  <c r="BN220"/>
  <c r="BM220"/>
  <c r="BK220"/>
  <c r="BJ220"/>
  <c r="BI220"/>
  <c r="BH220"/>
  <c r="BG220"/>
  <c r="BF220"/>
  <c r="BE220"/>
  <c r="BD220"/>
  <c r="BC220"/>
  <c r="BB220"/>
  <c r="BA220"/>
  <c r="AX220"/>
  <c r="AW220"/>
  <c r="AV220"/>
  <c r="AC220"/>
  <c r="H220"/>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s="1"/>
  <c r="AX218"/>
  <c r="AW218"/>
  <c r="AV218"/>
  <c r="AC218"/>
  <c r="H218"/>
  <c r="BT217"/>
  <c r="BS217"/>
  <c r="BR217"/>
  <c r="BQ217"/>
  <c r="BP217"/>
  <c r="BO217"/>
  <c r="BN217"/>
  <c r="BM217"/>
  <c r="BK217"/>
  <c r="BJ217"/>
  <c r="BI217"/>
  <c r="BH217"/>
  <c r="BG217"/>
  <c r="BF217"/>
  <c r="BE217"/>
  <c r="BD217"/>
  <c r="BC217"/>
  <c r="BB217"/>
  <c r="BA217"/>
  <c r="AX217"/>
  <c r="AW217"/>
  <c r="AV217"/>
  <c r="AC217"/>
  <c r="H217"/>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s="1"/>
  <c r="AX215"/>
  <c r="AW215"/>
  <c r="AV215"/>
  <c r="AC215"/>
  <c r="H215"/>
  <c r="BT214"/>
  <c r="BS214"/>
  <c r="BR214"/>
  <c r="BQ214"/>
  <c r="BP214"/>
  <c r="BO214"/>
  <c r="BN214"/>
  <c r="BM214"/>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s="1"/>
  <c r="AX213"/>
  <c r="AW213"/>
  <c r="AV213"/>
  <c r="AC213"/>
  <c r="H213"/>
  <c r="BT212"/>
  <c r="BS212"/>
  <c r="BR212"/>
  <c r="BQ212"/>
  <c r="BP212"/>
  <c r="BO212"/>
  <c r="BN212"/>
  <c r="BM212"/>
  <c r="BK212"/>
  <c r="BJ212"/>
  <c r="BI212"/>
  <c r="BH212"/>
  <c r="BG212"/>
  <c r="BF212"/>
  <c r="BE212"/>
  <c r="BD212"/>
  <c r="BC212"/>
  <c r="BB212"/>
  <c r="AX212"/>
  <c r="AW212"/>
  <c r="AV212"/>
  <c r="AC212"/>
  <c r="H212"/>
  <c r="G212" s="1"/>
  <c r="BT211"/>
  <c r="BS211"/>
  <c r="BR211"/>
  <c r="BQ211"/>
  <c r="BP211"/>
  <c r="BO211"/>
  <c r="BN211"/>
  <c r="BM211"/>
  <c r="BK211"/>
  <c r="BJ211"/>
  <c r="BI211"/>
  <c r="BH211"/>
  <c r="BG211"/>
  <c r="BF211"/>
  <c r="BE211"/>
  <c r="BD211"/>
  <c r="BC211"/>
  <c r="BB211"/>
  <c r="BA211" s="1"/>
  <c r="AX211"/>
  <c r="AW211"/>
  <c r="AV211"/>
  <c r="AC211"/>
  <c r="H211"/>
  <c r="BT210"/>
  <c r="BS210"/>
  <c r="BR210"/>
  <c r="BQ210"/>
  <c r="BP210"/>
  <c r="BO210"/>
  <c r="BN210"/>
  <c r="BM210"/>
  <c r="BL210" s="1"/>
  <c r="BK210"/>
  <c r="BJ210"/>
  <c r="BI210"/>
  <c r="BH210"/>
  <c r="BG210"/>
  <c r="BF210"/>
  <c r="BE210"/>
  <c r="BD210"/>
  <c r="BC210"/>
  <c r="BB210"/>
  <c r="AX210"/>
  <c r="AW210"/>
  <c r="AV210"/>
  <c r="AC210"/>
  <c r="H210"/>
  <c r="G210" s="1"/>
  <c r="BT209"/>
  <c r="BS209"/>
  <c r="BR209"/>
  <c r="BQ209"/>
  <c r="BP209"/>
  <c r="BO209"/>
  <c r="BN209"/>
  <c r="BM209"/>
  <c r="BK209"/>
  <c r="BJ209"/>
  <c r="BI209"/>
  <c r="BH209"/>
  <c r="BG209"/>
  <c r="BF209"/>
  <c r="BE209"/>
  <c r="BD209"/>
  <c r="BC209"/>
  <c r="BB209"/>
  <c r="AX209"/>
  <c r="AW209"/>
  <c r="AV209"/>
  <c r="AC209"/>
  <c r="H209"/>
  <c r="G209" s="1"/>
  <c r="BT208"/>
  <c r="BS208"/>
  <c r="BR208"/>
  <c r="BQ208"/>
  <c r="BP208"/>
  <c r="BO208"/>
  <c r="BN208"/>
  <c r="BM208"/>
  <c r="BK208"/>
  <c r="BJ208"/>
  <c r="BI208"/>
  <c r="BH208"/>
  <c r="BG208"/>
  <c r="BF208"/>
  <c r="BE208"/>
  <c r="BD208"/>
  <c r="BC208"/>
  <c r="BB208"/>
  <c r="BA208" s="1"/>
  <c r="AX208"/>
  <c r="AW208"/>
  <c r="AV208"/>
  <c r="AC208"/>
  <c r="H208"/>
  <c r="BT397"/>
  <c r="BS397"/>
  <c r="BR397"/>
  <c r="BQ397"/>
  <c r="BP397"/>
  <c r="BO397"/>
  <c r="BN397"/>
  <c r="BM397"/>
  <c r="BL397" s="1"/>
  <c r="BK397"/>
  <c r="BJ397"/>
  <c r="BI397"/>
  <c r="BH397"/>
  <c r="BG397"/>
  <c r="BF397"/>
  <c r="BE397"/>
  <c r="BD397"/>
  <c r="BC397"/>
  <c r="BB397"/>
  <c r="AX397"/>
  <c r="AW397"/>
  <c r="AV397"/>
  <c r="AC397"/>
  <c r="H397"/>
  <c r="G397" s="1"/>
  <c r="BT396"/>
  <c r="BS396"/>
  <c r="BR396"/>
  <c r="BQ396"/>
  <c r="BP396"/>
  <c r="BO396"/>
  <c r="BN396"/>
  <c r="BM396"/>
  <c r="BK396"/>
  <c r="BJ396"/>
  <c r="BI396"/>
  <c r="BH396"/>
  <c r="BG396"/>
  <c r="BF396"/>
  <c r="BE396"/>
  <c r="BD396"/>
  <c r="BC396"/>
  <c r="BB396"/>
  <c r="AX396"/>
  <c r="AW396"/>
  <c r="AV396"/>
  <c r="AC396"/>
  <c r="H396"/>
  <c r="G396" s="1"/>
  <c r="BT395"/>
  <c r="BS395"/>
  <c r="BR395"/>
  <c r="BQ395"/>
  <c r="BP395"/>
  <c r="BO395"/>
  <c r="BN395"/>
  <c r="BM395"/>
  <c r="BK395"/>
  <c r="BJ395"/>
  <c r="BI395"/>
  <c r="BH395"/>
  <c r="BG395"/>
  <c r="BF395"/>
  <c r="BE395"/>
  <c r="BD395"/>
  <c r="BC395"/>
  <c r="BB395"/>
  <c r="BA395" s="1"/>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K386"/>
  <c r="BJ386"/>
  <c r="BI386"/>
  <c r="BH386"/>
  <c r="BG386"/>
  <c r="BF386"/>
  <c r="BE386"/>
  <c r="BD386"/>
  <c r="BC386"/>
  <c r="BB386"/>
  <c r="AX386"/>
  <c r="AW386"/>
  <c r="AV386"/>
  <c r="AC386"/>
  <c r="H386"/>
  <c r="BT385"/>
  <c r="BS385"/>
  <c r="BR385"/>
  <c r="BQ385"/>
  <c r="BP385"/>
  <c r="BO385"/>
  <c r="BN385"/>
  <c r="BM385"/>
  <c r="BL385" s="1"/>
  <c r="BK385"/>
  <c r="BJ385"/>
  <c r="BI385"/>
  <c r="BH385"/>
  <c r="BG385"/>
  <c r="BF385"/>
  <c r="BE385"/>
  <c r="BD385"/>
  <c r="BC385"/>
  <c r="BB385"/>
  <c r="AX385"/>
  <c r="AW385"/>
  <c r="AV385"/>
  <c r="AC385"/>
  <c r="H385"/>
  <c r="BT384"/>
  <c r="BS384"/>
  <c r="BR384"/>
  <c r="BQ384"/>
  <c r="BP384"/>
  <c r="BO384"/>
  <c r="BN384"/>
  <c r="BM384"/>
  <c r="BK384"/>
  <c r="BJ384"/>
  <c r="BI384"/>
  <c r="BH384"/>
  <c r="BG384"/>
  <c r="BF384"/>
  <c r="BE384"/>
  <c r="BD384"/>
  <c r="BC384"/>
  <c r="BB384"/>
  <c r="AX384"/>
  <c r="AW384"/>
  <c r="AV384"/>
  <c r="AC384"/>
  <c r="H384"/>
  <c r="G384" s="1"/>
  <c r="BT383"/>
  <c r="BS383"/>
  <c r="BR383"/>
  <c r="BQ383"/>
  <c r="BP383"/>
  <c r="BO383"/>
  <c r="BN383"/>
  <c r="BM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s="1"/>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AX367"/>
  <c r="AW367"/>
  <c r="AV367"/>
  <c r="AC367"/>
  <c r="H367"/>
  <c r="BT366"/>
  <c r="BS366"/>
  <c r="BR366"/>
  <c r="BQ366"/>
  <c r="BP366"/>
  <c r="BO366"/>
  <c r="BN366"/>
  <c r="BM366"/>
  <c r="BK366"/>
  <c r="BJ366"/>
  <c r="BI366"/>
  <c r="BH366"/>
  <c r="BG366"/>
  <c r="BF366"/>
  <c r="BE366"/>
  <c r="BD366"/>
  <c r="BC366"/>
  <c r="BB366"/>
  <c r="BA366" s="1"/>
  <c r="AX366"/>
  <c r="AW366"/>
  <c r="AV366"/>
  <c r="AC366"/>
  <c r="H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s="1"/>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s="1"/>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s="1"/>
  <c r="AX352"/>
  <c r="AW352"/>
  <c r="AV352"/>
  <c r="AC352"/>
  <c r="H352"/>
  <c r="BT351"/>
  <c r="BS351"/>
  <c r="BR351"/>
  <c r="BQ351"/>
  <c r="BP351"/>
  <c r="BO351"/>
  <c r="BN351"/>
  <c r="BM351"/>
  <c r="BK351"/>
  <c r="BJ351"/>
  <c r="BI351"/>
  <c r="BH351"/>
  <c r="BG351"/>
  <c r="BF351"/>
  <c r="BE351"/>
  <c r="BD351"/>
  <c r="BC351"/>
  <c r="BB351"/>
  <c r="AX351"/>
  <c r="AW351"/>
  <c r="AV351"/>
  <c r="AC351"/>
  <c r="H351"/>
  <c r="BT350"/>
  <c r="BS350"/>
  <c r="BR350"/>
  <c r="BQ350"/>
  <c r="BP350"/>
  <c r="BO350"/>
  <c r="BN350"/>
  <c r="BM350"/>
  <c r="BK350"/>
  <c r="BJ350"/>
  <c r="BI350"/>
  <c r="BH350"/>
  <c r="BG350"/>
  <c r="BF350"/>
  <c r="BE350"/>
  <c r="BD350"/>
  <c r="BC350"/>
  <c r="BB350"/>
  <c r="AX350"/>
  <c r="AW350"/>
  <c r="AV350"/>
  <c r="AC350"/>
  <c r="H350"/>
  <c r="BT349"/>
  <c r="BS349"/>
  <c r="BR349"/>
  <c r="BQ349"/>
  <c r="BP349"/>
  <c r="BO349"/>
  <c r="BN349"/>
  <c r="BM349"/>
  <c r="BK349"/>
  <c r="BJ349"/>
  <c r="BI349"/>
  <c r="BH349"/>
  <c r="BG349"/>
  <c r="BF349"/>
  <c r="BE349"/>
  <c r="BD349"/>
  <c r="BC349"/>
  <c r="BB349"/>
  <c r="BA349" s="1"/>
  <c r="AX349"/>
  <c r="AW349"/>
  <c r="AV349"/>
  <c r="AC349"/>
  <c r="H349"/>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s="1"/>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L333" s="1"/>
  <c r="BK333"/>
  <c r="BJ333"/>
  <c r="BI333"/>
  <c r="BH333"/>
  <c r="BG333"/>
  <c r="BF333"/>
  <c r="BE333"/>
  <c r="BD333"/>
  <c r="BC333"/>
  <c r="BB333"/>
  <c r="AX333"/>
  <c r="AW333"/>
  <c r="AV333"/>
  <c r="AC333"/>
  <c r="H333"/>
  <c r="BT332"/>
  <c r="BS332"/>
  <c r="BR332"/>
  <c r="BQ332"/>
  <c r="BP332"/>
  <c r="BO332"/>
  <c r="BN332"/>
  <c r="BM332"/>
  <c r="BK332"/>
  <c r="BJ332"/>
  <c r="BI332"/>
  <c r="BH332"/>
  <c r="BG332"/>
  <c r="BF332"/>
  <c r="BE332"/>
  <c r="BD332"/>
  <c r="BC332"/>
  <c r="BB332"/>
  <c r="BA332" s="1"/>
  <c r="AX332"/>
  <c r="AW332"/>
  <c r="AV332"/>
  <c r="AC332"/>
  <c r="H332"/>
  <c r="BT331"/>
  <c r="BS331"/>
  <c r="BR331"/>
  <c r="BQ331"/>
  <c r="BP331"/>
  <c r="BO331"/>
  <c r="BN331"/>
  <c r="BM331"/>
  <c r="BK331"/>
  <c r="BJ331"/>
  <c r="BI331"/>
  <c r="BH331"/>
  <c r="BG331"/>
  <c r="BF331"/>
  <c r="BE331"/>
  <c r="BD331"/>
  <c r="BC331"/>
  <c r="BB331"/>
  <c r="AX331"/>
  <c r="AW331"/>
  <c r="AV331"/>
  <c r="AC331"/>
  <c r="H331"/>
  <c r="BT330"/>
  <c r="BS330"/>
  <c r="BR330"/>
  <c r="BQ330"/>
  <c r="BP330"/>
  <c r="BO330"/>
  <c r="BN330"/>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s="1"/>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G323" s="1"/>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AX318"/>
  <c r="AW318"/>
  <c r="AV318"/>
  <c r="AC318"/>
  <c r="H318"/>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K316"/>
  <c r="BJ316"/>
  <c r="BI316"/>
  <c r="BH316"/>
  <c r="BG316"/>
  <c r="BF316"/>
  <c r="BE316"/>
  <c r="BD316"/>
  <c r="BC316"/>
  <c r="BB316"/>
  <c r="BA316"/>
  <c r="AX316"/>
  <c r="AW316"/>
  <c r="AV316"/>
  <c r="AC316"/>
  <c r="H316"/>
  <c r="BT315"/>
  <c r="BS315"/>
  <c r="BR315"/>
  <c r="BQ315"/>
  <c r="BP315"/>
  <c r="BO315"/>
  <c r="BN315"/>
  <c r="BM315"/>
  <c r="BK315"/>
  <c r="BJ315"/>
  <c r="BI315"/>
  <c r="BH315"/>
  <c r="BG315"/>
  <c r="BF315"/>
  <c r="BE315"/>
  <c r="BD315"/>
  <c r="BC315"/>
  <c r="BB315"/>
  <c r="AX315"/>
  <c r="AW315"/>
  <c r="AV315"/>
  <c r="AC315"/>
  <c r="H315"/>
  <c r="G315" s="1"/>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B491"/>
  <c r="BA491" s="1"/>
  <c r="AX491"/>
  <c r="AW491"/>
  <c r="AV491"/>
  <c r="AC491"/>
  <c r="H491"/>
  <c r="G491" s="1"/>
  <c r="BT490"/>
  <c r="BS490"/>
  <c r="BR490"/>
  <c r="BQ490"/>
  <c r="BP490"/>
  <c r="BO490"/>
  <c r="BN490"/>
  <c r="BM490"/>
  <c r="BK490"/>
  <c r="BJ490"/>
  <c r="BI490"/>
  <c r="BH490"/>
  <c r="BG490"/>
  <c r="BF490"/>
  <c r="BE490"/>
  <c r="BD490"/>
  <c r="BC490"/>
  <c r="BB490"/>
  <c r="AX490"/>
  <c r="AW490"/>
  <c r="AV490"/>
  <c r="AC490"/>
  <c r="H490"/>
  <c r="G490" s="1"/>
  <c r="BT489"/>
  <c r="BS489"/>
  <c r="BR489"/>
  <c r="BQ489"/>
  <c r="BP489"/>
  <c r="BO489"/>
  <c r="BN489"/>
  <c r="BM489"/>
  <c r="BL489" s="1"/>
  <c r="BK489"/>
  <c r="BJ489"/>
  <c r="BI489"/>
  <c r="BH489"/>
  <c r="BG489"/>
  <c r="BF489"/>
  <c r="BE489"/>
  <c r="BD489"/>
  <c r="BC489"/>
  <c r="BB489"/>
  <c r="AX489"/>
  <c r="AW489"/>
  <c r="AV489"/>
  <c r="AC489"/>
  <c r="H489"/>
  <c r="BT488"/>
  <c r="BS488"/>
  <c r="BR488"/>
  <c r="BQ488"/>
  <c r="BP488"/>
  <c r="BO488"/>
  <c r="BN488"/>
  <c r="BM488"/>
  <c r="BK488"/>
  <c r="BJ488"/>
  <c r="BI488"/>
  <c r="BH488"/>
  <c r="BG488"/>
  <c r="BF488"/>
  <c r="BE488"/>
  <c r="BD488"/>
  <c r="BC488"/>
  <c r="BB488"/>
  <c r="AX488"/>
  <c r="AW488"/>
  <c r="AV488"/>
  <c r="AC488"/>
  <c r="H488"/>
  <c r="G488" s="1"/>
  <c r="BT487"/>
  <c r="BS487"/>
  <c r="BR487"/>
  <c r="BQ487"/>
  <c r="BP487"/>
  <c r="BO487"/>
  <c r="BN487"/>
  <c r="BM487"/>
  <c r="BK487"/>
  <c r="BJ487"/>
  <c r="BI487"/>
  <c r="BH487"/>
  <c r="BG487"/>
  <c r="BF487"/>
  <c r="BE487"/>
  <c r="BD487"/>
  <c r="BC487"/>
  <c r="BB487"/>
  <c r="BA487" s="1"/>
  <c r="AX487"/>
  <c r="AW487"/>
  <c r="AV487"/>
  <c r="AC487"/>
  <c r="H487"/>
  <c r="G487" s="1"/>
  <c r="BT486"/>
  <c r="BS486"/>
  <c r="BR486"/>
  <c r="BQ486"/>
  <c r="BP486"/>
  <c r="BO486"/>
  <c r="BN486"/>
  <c r="BM486"/>
  <c r="BK486"/>
  <c r="BJ486"/>
  <c r="BI486"/>
  <c r="BH486"/>
  <c r="BG486"/>
  <c r="BF486"/>
  <c r="BE486"/>
  <c r="BD486"/>
  <c r="BC486"/>
  <c r="BB486"/>
  <c r="AX486"/>
  <c r="AW486"/>
  <c r="AV486"/>
  <c r="AC486"/>
  <c r="H486"/>
  <c r="G486" s="1"/>
  <c r="BT485"/>
  <c r="BS485"/>
  <c r="BR485"/>
  <c r="BQ485"/>
  <c r="BP485"/>
  <c r="BO485"/>
  <c r="BN485"/>
  <c r="BM485"/>
  <c r="BL485" s="1"/>
  <c r="BK485"/>
  <c r="BJ485"/>
  <c r="BI485"/>
  <c r="BH485"/>
  <c r="BG485"/>
  <c r="BF485"/>
  <c r="BE485"/>
  <c r="BD485"/>
  <c r="BC485"/>
  <c r="BB485"/>
  <c r="AX485"/>
  <c r="AW485"/>
  <c r="AV485"/>
  <c r="AC485"/>
  <c r="H485"/>
  <c r="BT484"/>
  <c r="BS484"/>
  <c r="BR484"/>
  <c r="BQ484"/>
  <c r="BP484"/>
  <c r="BO484"/>
  <c r="BN484"/>
  <c r="BM484"/>
  <c r="BK484"/>
  <c r="BJ484"/>
  <c r="BI484"/>
  <c r="BH484"/>
  <c r="BG484"/>
  <c r="BF484"/>
  <c r="BE484"/>
  <c r="BD484"/>
  <c r="BC484"/>
  <c r="BB484"/>
  <c r="AX484"/>
  <c r="AW484"/>
  <c r="AV484"/>
  <c r="AC484"/>
  <c r="H484"/>
  <c r="G484" s="1"/>
  <c r="BT483"/>
  <c r="BS483"/>
  <c r="BR483"/>
  <c r="BQ483"/>
  <c r="BP483"/>
  <c r="BO483"/>
  <c r="BN483"/>
  <c r="BM483"/>
  <c r="BL483" s="1"/>
  <c r="BK483"/>
  <c r="BJ483"/>
  <c r="BI483"/>
  <c r="BH483"/>
  <c r="BG483"/>
  <c r="BF483"/>
  <c r="BE483"/>
  <c r="BD483"/>
  <c r="BC483"/>
  <c r="BB483"/>
  <c r="AX483"/>
  <c r="AW483"/>
  <c r="AV483"/>
  <c r="AC483"/>
  <c r="H483"/>
  <c r="BT482"/>
  <c r="BS482"/>
  <c r="BR482"/>
  <c r="BQ482"/>
  <c r="BP482"/>
  <c r="BO482"/>
  <c r="BN482"/>
  <c r="BM482"/>
  <c r="BL482" s="1"/>
  <c r="BK482"/>
  <c r="BJ482"/>
  <c r="BI482"/>
  <c r="BH482"/>
  <c r="BG482"/>
  <c r="BF482"/>
  <c r="BE482"/>
  <c r="BD482"/>
  <c r="BC482"/>
  <c r="BB482"/>
  <c r="AX482"/>
  <c r="AW482"/>
  <c r="AV482"/>
  <c r="AC482"/>
  <c r="H482"/>
  <c r="G482" s="1"/>
  <c r="BT481"/>
  <c r="BS481"/>
  <c r="BR481"/>
  <c r="BQ481"/>
  <c r="BP481"/>
  <c r="BO481"/>
  <c r="BN481"/>
  <c r="BM481"/>
  <c r="BK481"/>
  <c r="BJ481"/>
  <c r="BI481"/>
  <c r="BH481"/>
  <c r="BG481"/>
  <c r="BF481"/>
  <c r="BE481"/>
  <c r="BD481"/>
  <c r="BC481"/>
  <c r="BB481"/>
  <c r="AX481"/>
  <c r="AW481"/>
  <c r="AV481"/>
  <c r="AC481"/>
  <c r="H481"/>
  <c r="G481" s="1"/>
  <c r="BT480"/>
  <c r="BS480"/>
  <c r="BR480"/>
  <c r="BQ480"/>
  <c r="BP480"/>
  <c r="BO480"/>
  <c r="BN480"/>
  <c r="BM480"/>
  <c r="BK480"/>
  <c r="BJ480"/>
  <c r="BI480"/>
  <c r="BH480"/>
  <c r="BG480"/>
  <c r="BF480"/>
  <c r="BE480"/>
  <c r="BD480"/>
  <c r="BC480"/>
  <c r="BB480"/>
  <c r="BA480" s="1"/>
  <c r="AX480"/>
  <c r="AW480"/>
  <c r="AV480"/>
  <c r="AC480"/>
  <c r="H480"/>
  <c r="BT479"/>
  <c r="BS479"/>
  <c r="BR479"/>
  <c r="BQ479"/>
  <c r="BP479"/>
  <c r="BO479"/>
  <c r="BN479"/>
  <c r="BM479"/>
  <c r="BL479" s="1"/>
  <c r="BK479"/>
  <c r="BJ479"/>
  <c r="BI479"/>
  <c r="BH479"/>
  <c r="BG479"/>
  <c r="BF479"/>
  <c r="BE479"/>
  <c r="BD479"/>
  <c r="BC479"/>
  <c r="BB479"/>
  <c r="AX479"/>
  <c r="AW479"/>
  <c r="AV479"/>
  <c r="AC479"/>
  <c r="H479"/>
  <c r="BT478"/>
  <c r="BS478"/>
  <c r="BR478"/>
  <c r="BQ478"/>
  <c r="BP478"/>
  <c r="BO478"/>
  <c r="BN478"/>
  <c r="BM478"/>
  <c r="BL478" s="1"/>
  <c r="BK478"/>
  <c r="BJ478"/>
  <c r="BI478"/>
  <c r="BH478"/>
  <c r="BG478"/>
  <c r="BF478"/>
  <c r="BE478"/>
  <c r="BD478"/>
  <c r="BC478"/>
  <c r="BB478"/>
  <c r="AX478"/>
  <c r="AW478"/>
  <c r="AV478"/>
  <c r="AC478"/>
  <c r="H478"/>
  <c r="G478" s="1"/>
  <c r="BT477"/>
  <c r="BS477"/>
  <c r="BR477"/>
  <c r="BQ477"/>
  <c r="BP477"/>
  <c r="BO477"/>
  <c r="BN477"/>
  <c r="BM477"/>
  <c r="BK477"/>
  <c r="BJ477"/>
  <c r="BI477"/>
  <c r="BH477"/>
  <c r="BG477"/>
  <c r="BF477"/>
  <c r="BE477"/>
  <c r="BD477"/>
  <c r="BC477"/>
  <c r="BB477"/>
  <c r="AX477"/>
  <c r="AW477"/>
  <c r="AV477"/>
  <c r="AC477"/>
  <c r="H477"/>
  <c r="G477" s="1"/>
  <c r="BT476"/>
  <c r="BS476"/>
  <c r="BR476"/>
  <c r="BQ476"/>
  <c r="BP476"/>
  <c r="BO476"/>
  <c r="BN476"/>
  <c r="BM476"/>
  <c r="BK476"/>
  <c r="BJ476"/>
  <c r="BI476"/>
  <c r="BH476"/>
  <c r="BG476"/>
  <c r="BF476"/>
  <c r="BE476"/>
  <c r="BD476"/>
  <c r="BC476"/>
  <c r="BB476"/>
  <c r="BA476" s="1"/>
  <c r="AX476"/>
  <c r="AW476"/>
  <c r="AV476"/>
  <c r="AC476"/>
  <c r="H476"/>
  <c r="BT475"/>
  <c r="BS475"/>
  <c r="BR475"/>
  <c r="BQ475"/>
  <c r="BP475"/>
  <c r="BO475"/>
  <c r="BN475"/>
  <c r="BM475"/>
  <c r="BL475" s="1"/>
  <c r="BK475"/>
  <c r="BJ475"/>
  <c r="BI475"/>
  <c r="BH475"/>
  <c r="BG475"/>
  <c r="BF475"/>
  <c r="BE475"/>
  <c r="BD475"/>
  <c r="BC475"/>
  <c r="BB475"/>
  <c r="AX475"/>
  <c r="AW475"/>
  <c r="AV475"/>
  <c r="AC475"/>
  <c r="H475"/>
  <c r="BT474"/>
  <c r="BS474"/>
  <c r="BR474"/>
  <c r="BQ474"/>
  <c r="BP474"/>
  <c r="BO474"/>
  <c r="BN474"/>
  <c r="BM474"/>
  <c r="BL474" s="1"/>
  <c r="BK474"/>
  <c r="BJ474"/>
  <c r="BI474"/>
  <c r="BH474"/>
  <c r="BG474"/>
  <c r="BF474"/>
  <c r="BE474"/>
  <c r="BD474"/>
  <c r="BC474"/>
  <c r="BB474"/>
  <c r="AX474"/>
  <c r="AW474"/>
  <c r="AV474"/>
  <c r="AC474"/>
  <c r="H474"/>
  <c r="G474" s="1"/>
  <c r="BT473"/>
  <c r="BS473"/>
  <c r="BR473"/>
  <c r="BQ473"/>
  <c r="BP473"/>
  <c r="BO473"/>
  <c r="BN473"/>
  <c r="BM473"/>
  <c r="BK473"/>
  <c r="BJ473"/>
  <c r="BI473"/>
  <c r="BH473"/>
  <c r="BG473"/>
  <c r="BF473"/>
  <c r="BE473"/>
  <c r="BD473"/>
  <c r="BC473"/>
  <c r="BB473"/>
  <c r="AX473"/>
  <c r="AW473"/>
  <c r="AV473"/>
  <c r="AC473"/>
  <c r="H473"/>
  <c r="G473" s="1"/>
  <c r="BT472"/>
  <c r="BS472"/>
  <c r="BR472"/>
  <c r="BQ472"/>
  <c r="BP472"/>
  <c r="BO472"/>
  <c r="BN472"/>
  <c r="BM472"/>
  <c r="BL472" s="1"/>
  <c r="BK472"/>
  <c r="BJ472"/>
  <c r="BI472"/>
  <c r="BH472"/>
  <c r="BG472"/>
  <c r="BF472"/>
  <c r="BE472"/>
  <c r="BD472"/>
  <c r="BC472"/>
  <c r="BB472"/>
  <c r="AX472"/>
  <c r="AW472"/>
  <c r="AV472"/>
  <c r="AC472"/>
  <c r="H472"/>
  <c r="BT471"/>
  <c r="BS471"/>
  <c r="BR471"/>
  <c r="BQ471"/>
  <c r="BP471"/>
  <c r="BO471"/>
  <c r="BN471"/>
  <c r="BM471"/>
  <c r="BK471"/>
  <c r="BJ471"/>
  <c r="BI471"/>
  <c r="BH471"/>
  <c r="BG471"/>
  <c r="BF471"/>
  <c r="BE471"/>
  <c r="BD471"/>
  <c r="BC471"/>
  <c r="BB471"/>
  <c r="AX471"/>
  <c r="AW471"/>
  <c r="AV471"/>
  <c r="AC471"/>
  <c r="H471"/>
  <c r="G471" s="1"/>
  <c r="BT470"/>
  <c r="BS470"/>
  <c r="BR470"/>
  <c r="BQ470"/>
  <c r="BP470"/>
  <c r="BO470"/>
  <c r="BN470"/>
  <c r="BM470"/>
  <c r="BL470" s="1"/>
  <c r="BK470"/>
  <c r="BJ470"/>
  <c r="BI470"/>
  <c r="BH470"/>
  <c r="BG470"/>
  <c r="BF470"/>
  <c r="BE470"/>
  <c r="BD470"/>
  <c r="BC470"/>
  <c r="BB470"/>
  <c r="AX470"/>
  <c r="AW470"/>
  <c r="AV470"/>
  <c r="AC470"/>
  <c r="H470"/>
  <c r="BT469"/>
  <c r="BS469"/>
  <c r="BR469"/>
  <c r="BQ469"/>
  <c r="BP469"/>
  <c r="BO469"/>
  <c r="BN469"/>
  <c r="BM469"/>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s="1"/>
  <c r="AZ468" s="1"/>
  <c r="AX468"/>
  <c r="AW468"/>
  <c r="AV468"/>
  <c r="AC468"/>
  <c r="H468"/>
  <c r="BT467"/>
  <c r="BS467"/>
  <c r="BR467"/>
  <c r="BQ467"/>
  <c r="BP467"/>
  <c r="BO467"/>
  <c r="BN467"/>
  <c r="BM467"/>
  <c r="BK467"/>
  <c r="BJ467"/>
  <c r="BI467"/>
  <c r="BH467"/>
  <c r="BG467"/>
  <c r="BF467"/>
  <c r="BE467"/>
  <c r="BD467"/>
  <c r="BC467"/>
  <c r="BB467"/>
  <c r="AX467"/>
  <c r="AW467"/>
  <c r="AV467"/>
  <c r="AC467"/>
  <c r="H467"/>
  <c r="G467" s="1"/>
  <c r="BT466"/>
  <c r="BS466"/>
  <c r="BR466"/>
  <c r="BQ466"/>
  <c r="BP466"/>
  <c r="BO466"/>
  <c r="BN466"/>
  <c r="BM466"/>
  <c r="BL466" s="1"/>
  <c r="BK466"/>
  <c r="BJ466"/>
  <c r="BI466"/>
  <c r="BH466"/>
  <c r="BG466"/>
  <c r="BF466"/>
  <c r="BE466"/>
  <c r="BD466"/>
  <c r="BC466"/>
  <c r="BB466"/>
  <c r="AX466"/>
  <c r="AW466"/>
  <c r="AV466"/>
  <c r="AC466"/>
  <c r="H466"/>
  <c r="BT465"/>
  <c r="BS465"/>
  <c r="BR465"/>
  <c r="BQ465"/>
  <c r="BP465"/>
  <c r="BO465"/>
  <c r="BN465"/>
  <c r="BM465"/>
  <c r="BK465"/>
  <c r="BJ465"/>
  <c r="BI465"/>
  <c r="BH465"/>
  <c r="BG465"/>
  <c r="BF465"/>
  <c r="BE465"/>
  <c r="BD465"/>
  <c r="BC465"/>
  <c r="BB465"/>
  <c r="AX465"/>
  <c r="AW465"/>
  <c r="AV465"/>
  <c r="AC465"/>
  <c r="H465"/>
  <c r="BT464"/>
  <c r="BS464"/>
  <c r="BR464"/>
  <c r="BQ464"/>
  <c r="BP464"/>
  <c r="BO464"/>
  <c r="BN464"/>
  <c r="BM464"/>
  <c r="BL464" s="1"/>
  <c r="BK464"/>
  <c r="BJ464"/>
  <c r="BI464"/>
  <c r="BH464"/>
  <c r="BG464"/>
  <c r="BF464"/>
  <c r="BE464"/>
  <c r="BD464"/>
  <c r="BC464"/>
  <c r="BB464"/>
  <c r="AX464"/>
  <c r="AW464"/>
  <c r="AV464"/>
  <c r="AC464"/>
  <c r="H464"/>
  <c r="BT463"/>
  <c r="BS463"/>
  <c r="BR463"/>
  <c r="BQ463"/>
  <c r="BP463"/>
  <c r="BO463"/>
  <c r="BN463"/>
  <c r="BM463"/>
  <c r="BL463" s="1"/>
  <c r="BK463"/>
  <c r="BJ463"/>
  <c r="BI463"/>
  <c r="BH463"/>
  <c r="BG463"/>
  <c r="BF463"/>
  <c r="BE463"/>
  <c r="BD463"/>
  <c r="BC463"/>
  <c r="BB463"/>
  <c r="AX463"/>
  <c r="AW463"/>
  <c r="AV463"/>
  <c r="AC463"/>
  <c r="H463"/>
  <c r="G463" s="1"/>
  <c r="BT462"/>
  <c r="BS462"/>
  <c r="BR462"/>
  <c r="BQ462"/>
  <c r="BP462"/>
  <c r="BO462"/>
  <c r="BN462"/>
  <c r="BM462"/>
  <c r="BK462"/>
  <c r="BJ462"/>
  <c r="BI462"/>
  <c r="BH462"/>
  <c r="BG462"/>
  <c r="BF462"/>
  <c r="BE462"/>
  <c r="BD462"/>
  <c r="BC462"/>
  <c r="BB462"/>
  <c r="AX462"/>
  <c r="AW462"/>
  <c r="AV462"/>
  <c r="AC462"/>
  <c r="H462"/>
  <c r="G462" s="1"/>
  <c r="BT461"/>
  <c r="BS461"/>
  <c r="BR461"/>
  <c r="BQ461"/>
  <c r="BP461"/>
  <c r="BO461"/>
  <c r="BN461"/>
  <c r="BM461"/>
  <c r="BK461"/>
  <c r="BJ461"/>
  <c r="BI461"/>
  <c r="BH461"/>
  <c r="BG461"/>
  <c r="BF461"/>
  <c r="BE461"/>
  <c r="BD461"/>
  <c r="BC461"/>
  <c r="BB461"/>
  <c r="BA461" s="1"/>
  <c r="AX461"/>
  <c r="AW461"/>
  <c r="AV461"/>
  <c r="AC461"/>
  <c r="H461"/>
  <c r="BT460"/>
  <c r="BS460"/>
  <c r="BR460"/>
  <c r="BQ460"/>
  <c r="BP460"/>
  <c r="BO460"/>
  <c r="BN460"/>
  <c r="BM460"/>
  <c r="BL460" s="1"/>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B459"/>
  <c r="AX459"/>
  <c r="AW459"/>
  <c r="AV459"/>
  <c r="AC459"/>
  <c r="H459"/>
  <c r="G459" s="1"/>
  <c r="BT458"/>
  <c r="BS458"/>
  <c r="BR458"/>
  <c r="BQ458"/>
  <c r="BP458"/>
  <c r="BO458"/>
  <c r="BN458"/>
  <c r="BM458"/>
  <c r="BK458"/>
  <c r="BJ458"/>
  <c r="BI458"/>
  <c r="BH458"/>
  <c r="BG458"/>
  <c r="BF458"/>
  <c r="BE458"/>
  <c r="BD458"/>
  <c r="BC458"/>
  <c r="BB458"/>
  <c r="BA458" s="1"/>
  <c r="AX458"/>
  <c r="AW458"/>
  <c r="AV458"/>
  <c r="AC458"/>
  <c r="H458"/>
  <c r="G458" s="1"/>
  <c r="BT457"/>
  <c r="BS457"/>
  <c r="BR457"/>
  <c r="BQ457"/>
  <c r="BP457"/>
  <c r="BO457"/>
  <c r="BN457"/>
  <c r="BM457"/>
  <c r="BK457"/>
  <c r="BJ457"/>
  <c r="BI457"/>
  <c r="BH457"/>
  <c r="BG457"/>
  <c r="BF457"/>
  <c r="BE457"/>
  <c r="BD457"/>
  <c r="BC457"/>
  <c r="BB457"/>
  <c r="AX457"/>
  <c r="AW457"/>
  <c r="AV457"/>
  <c r="AC457"/>
  <c r="H457"/>
  <c r="G457" s="1"/>
  <c r="BT456"/>
  <c r="BS456"/>
  <c r="BR456"/>
  <c r="BQ456"/>
  <c r="BP456"/>
  <c r="BO456"/>
  <c r="BN456"/>
  <c r="BM456"/>
  <c r="BL456" s="1"/>
  <c r="BK456"/>
  <c r="BJ456"/>
  <c r="BI456"/>
  <c r="BH456"/>
  <c r="BG456"/>
  <c r="BF456"/>
  <c r="BE456"/>
  <c r="BD456"/>
  <c r="BC456"/>
  <c r="BB456"/>
  <c r="AX456"/>
  <c r="AW456"/>
  <c r="AV456"/>
  <c r="AC456"/>
  <c r="H456"/>
  <c r="BT455"/>
  <c r="BS455"/>
  <c r="BR455"/>
  <c r="BQ455"/>
  <c r="BP455"/>
  <c r="BO455"/>
  <c r="BN455"/>
  <c r="BM455"/>
  <c r="BK455"/>
  <c r="BJ455"/>
  <c r="BI455"/>
  <c r="BH455"/>
  <c r="BG455"/>
  <c r="BF455"/>
  <c r="BE455"/>
  <c r="BD455"/>
  <c r="BC455"/>
  <c r="BB455"/>
  <c r="AX455"/>
  <c r="AW455"/>
  <c r="AV455"/>
  <c r="AC455"/>
  <c r="H455"/>
  <c r="G455" s="1"/>
  <c r="BT454"/>
  <c r="BS454"/>
  <c r="BR454"/>
  <c r="BQ454"/>
  <c r="BP454"/>
  <c r="BO454"/>
  <c r="BN454"/>
  <c r="BM454"/>
  <c r="BK454"/>
  <c r="BJ454"/>
  <c r="BI454"/>
  <c r="BH454"/>
  <c r="BG454"/>
  <c r="BF454"/>
  <c r="BE454"/>
  <c r="BD454"/>
  <c r="BC454"/>
  <c r="BB454"/>
  <c r="BA454" s="1"/>
  <c r="AX454"/>
  <c r="AW454"/>
  <c r="AV454"/>
  <c r="AC454"/>
  <c r="H454"/>
  <c r="G454" s="1"/>
  <c r="BT453"/>
  <c r="BS453"/>
  <c r="BR453"/>
  <c r="BQ453"/>
  <c r="BP453"/>
  <c r="BO453"/>
  <c r="BN453"/>
  <c r="BM453"/>
  <c r="BK453"/>
  <c r="BJ453"/>
  <c r="BI453"/>
  <c r="BH453"/>
  <c r="BG453"/>
  <c r="BF453"/>
  <c r="BE453"/>
  <c r="BD453"/>
  <c r="BC453"/>
  <c r="BB453"/>
  <c r="AX453"/>
  <c r="AW453"/>
  <c r="AV453"/>
  <c r="AC453"/>
  <c r="H453"/>
  <c r="G453" s="1"/>
  <c r="BT452"/>
  <c r="BS452"/>
  <c r="BR452"/>
  <c r="BQ452"/>
  <c r="BP452"/>
  <c r="BO452"/>
  <c r="BN452"/>
  <c r="BM452"/>
  <c r="BL452" s="1"/>
  <c r="BK452"/>
  <c r="BJ452"/>
  <c r="BI452"/>
  <c r="BH452"/>
  <c r="BG452"/>
  <c r="BF452"/>
  <c r="BE452"/>
  <c r="BD452"/>
  <c r="BC452"/>
  <c r="BB452"/>
  <c r="AX452"/>
  <c r="AW452"/>
  <c r="AV452"/>
  <c r="AC452"/>
  <c r="H452"/>
  <c r="BT451"/>
  <c r="BS451"/>
  <c r="BR451"/>
  <c r="BQ451"/>
  <c r="BP451"/>
  <c r="BO451"/>
  <c r="BN451"/>
  <c r="BM451"/>
  <c r="BK451"/>
  <c r="BJ451"/>
  <c r="BI451"/>
  <c r="BH451"/>
  <c r="BG451"/>
  <c r="BF451"/>
  <c r="BE451"/>
  <c r="BD451"/>
  <c r="BC451"/>
  <c r="BB451"/>
  <c r="BA451"/>
  <c r="AX451"/>
  <c r="AW451"/>
  <c r="AV451"/>
  <c r="AC451"/>
  <c r="H451"/>
  <c r="G451"/>
  <c r="BT450"/>
  <c r="BS450"/>
  <c r="BR450"/>
  <c r="BQ450"/>
  <c r="BP450"/>
  <c r="BO450"/>
  <c r="BN450"/>
  <c r="BM450"/>
  <c r="BL450" s="1"/>
  <c r="BK450"/>
  <c r="BJ450"/>
  <c r="BI450"/>
  <c r="BH450"/>
  <c r="BG450"/>
  <c r="BF450"/>
  <c r="BE450"/>
  <c r="BD450"/>
  <c r="BC450"/>
  <c r="BB450"/>
  <c r="BA450" s="1"/>
  <c r="AX450"/>
  <c r="AW450"/>
  <c r="AV450"/>
  <c r="AC450"/>
  <c r="H450"/>
  <c r="BT449"/>
  <c r="BS449"/>
  <c r="BR449"/>
  <c r="BQ449"/>
  <c r="BP449"/>
  <c r="BO449"/>
  <c r="BN449"/>
  <c r="BM449"/>
  <c r="BK449"/>
  <c r="BJ449"/>
  <c r="BI449"/>
  <c r="BH449"/>
  <c r="BG449"/>
  <c r="BF449"/>
  <c r="BE449"/>
  <c r="BD449"/>
  <c r="BC449"/>
  <c r="BB449"/>
  <c r="BA449"/>
  <c r="AX449"/>
  <c r="AW449"/>
  <c r="AV449"/>
  <c r="AC449"/>
  <c r="H449"/>
  <c r="BT448"/>
  <c r="BS448"/>
  <c r="BR448"/>
  <c r="BQ448"/>
  <c r="BP448"/>
  <c r="BO448"/>
  <c r="BN448"/>
  <c r="BM448"/>
  <c r="BL448"/>
  <c r="BK448"/>
  <c r="BJ448"/>
  <c r="BI448"/>
  <c r="BH448"/>
  <c r="BG448"/>
  <c r="BF448"/>
  <c r="BE448"/>
  <c r="BD448"/>
  <c r="BC448"/>
  <c r="BB448"/>
  <c r="BA448" s="1"/>
  <c r="AZ448" s="1"/>
  <c r="AX448"/>
  <c r="AW448"/>
  <c r="AV448"/>
  <c r="AC448"/>
  <c r="H448"/>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s="1"/>
  <c r="AX446"/>
  <c r="AW446"/>
  <c r="AV446"/>
  <c r="AC446"/>
  <c r="H446"/>
  <c r="BT445"/>
  <c r="BS445"/>
  <c r="BR445"/>
  <c r="BQ445"/>
  <c r="BP445"/>
  <c r="BO445"/>
  <c r="BN445"/>
  <c r="BM445"/>
  <c r="BK445"/>
  <c r="BJ445"/>
  <c r="BI445"/>
  <c r="BH445"/>
  <c r="BG445"/>
  <c r="BF445"/>
  <c r="BE445"/>
  <c r="BD445"/>
  <c r="BC445"/>
  <c r="BB445"/>
  <c r="BA445"/>
  <c r="AX445"/>
  <c r="AW445"/>
  <c r="AV445"/>
  <c r="AC445"/>
  <c r="H445"/>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BK443"/>
  <c r="BJ443"/>
  <c r="BI443"/>
  <c r="BH443"/>
  <c r="BG443"/>
  <c r="BF443"/>
  <c r="BE443"/>
  <c r="BD443"/>
  <c r="BC443"/>
  <c r="BB443"/>
  <c r="BA443" s="1"/>
  <c r="AX443"/>
  <c r="AW443"/>
  <c r="AV443"/>
  <c r="AC443"/>
  <c r="H443"/>
  <c r="BT442"/>
  <c r="BS442"/>
  <c r="BR442"/>
  <c r="BQ442"/>
  <c r="BP442"/>
  <c r="BO442"/>
  <c r="BN442"/>
  <c r="BM442"/>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s="1"/>
  <c r="AX441"/>
  <c r="AW441"/>
  <c r="AV441"/>
  <c r="AC441"/>
  <c r="H441"/>
  <c r="BT440"/>
  <c r="BS440"/>
  <c r="BR440"/>
  <c r="BQ440"/>
  <c r="BP440"/>
  <c r="BO440"/>
  <c r="BN440"/>
  <c r="BM440"/>
  <c r="BK440"/>
  <c r="BJ440"/>
  <c r="BI440"/>
  <c r="BH440"/>
  <c r="BG440"/>
  <c r="BF440"/>
  <c r="BE440"/>
  <c r="BD440"/>
  <c r="BC440"/>
  <c r="BB440"/>
  <c r="AX440"/>
  <c r="AW440"/>
  <c r="AV440"/>
  <c r="AC440"/>
  <c r="H440"/>
  <c r="G440" s="1"/>
  <c r="BT439"/>
  <c r="BS439"/>
  <c r="BR439"/>
  <c r="BQ439"/>
  <c r="BP439"/>
  <c r="BO439"/>
  <c r="BN439"/>
  <c r="BM439"/>
  <c r="BL439" s="1"/>
  <c r="BK439"/>
  <c r="BJ439"/>
  <c r="BI439"/>
  <c r="BH439"/>
  <c r="BG439"/>
  <c r="BF439"/>
  <c r="BE439"/>
  <c r="BD439"/>
  <c r="BC439"/>
  <c r="BB439"/>
  <c r="AX439"/>
  <c r="AW439"/>
  <c r="AV439"/>
  <c r="AC439"/>
  <c r="H439"/>
  <c r="BT438"/>
  <c r="BS438"/>
  <c r="BR438"/>
  <c r="BQ438"/>
  <c r="BP438"/>
  <c r="BO438"/>
  <c r="BN438"/>
  <c r="BM438"/>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s="1"/>
  <c r="AX437"/>
  <c r="AW437"/>
  <c r="AV437"/>
  <c r="AC437"/>
  <c r="H437"/>
  <c r="BT436"/>
  <c r="BS436"/>
  <c r="BR436"/>
  <c r="BQ436"/>
  <c r="BP436"/>
  <c r="BO436"/>
  <c r="BN436"/>
  <c r="BM436"/>
  <c r="BK436"/>
  <c r="BJ436"/>
  <c r="BI436"/>
  <c r="BH436"/>
  <c r="BG436"/>
  <c r="BF436"/>
  <c r="BE436"/>
  <c r="BD436"/>
  <c r="BC436"/>
  <c r="BB436"/>
  <c r="AX436"/>
  <c r="AW436"/>
  <c r="AV436"/>
  <c r="AC436"/>
  <c r="H436"/>
  <c r="G436" s="1"/>
  <c r="BT435"/>
  <c r="BS435"/>
  <c r="BR435"/>
  <c r="BQ435"/>
  <c r="BP435"/>
  <c r="BO435"/>
  <c r="BN435"/>
  <c r="BM435"/>
  <c r="BK435"/>
  <c r="BJ435"/>
  <c r="BI435"/>
  <c r="BH435"/>
  <c r="BG435"/>
  <c r="BF435"/>
  <c r="BE435"/>
  <c r="BD435"/>
  <c r="BC435"/>
  <c r="BB435"/>
  <c r="BA435" s="1"/>
  <c r="AX435"/>
  <c r="AW435"/>
  <c r="AV435"/>
  <c r="AC435"/>
  <c r="H435"/>
  <c r="G435" s="1"/>
  <c r="BT434"/>
  <c r="BS434"/>
  <c r="BR434"/>
  <c r="BQ434"/>
  <c r="BP434"/>
  <c r="BO434"/>
  <c r="BN434"/>
  <c r="BM434"/>
  <c r="BK434"/>
  <c r="BJ434"/>
  <c r="BI434"/>
  <c r="BH434"/>
  <c r="BG434"/>
  <c r="BF434"/>
  <c r="BE434"/>
  <c r="BD434"/>
  <c r="BC434"/>
  <c r="BB434"/>
  <c r="AX434"/>
  <c r="AW434"/>
  <c r="AV434"/>
  <c r="AC434"/>
  <c r="H434"/>
  <c r="G434" s="1"/>
  <c r="BT433"/>
  <c r="BS433"/>
  <c r="BR433"/>
  <c r="BQ433"/>
  <c r="BP433"/>
  <c r="BO433"/>
  <c r="BN433"/>
  <c r="BM433"/>
  <c r="BK433"/>
  <c r="BJ433"/>
  <c r="BI433"/>
  <c r="BH433"/>
  <c r="BG433"/>
  <c r="BF433"/>
  <c r="BE433"/>
  <c r="BD433"/>
  <c r="BC433"/>
  <c r="BB433"/>
  <c r="BA433" s="1"/>
  <c r="AX433"/>
  <c r="AW433"/>
  <c r="AV433"/>
  <c r="AC433"/>
  <c r="H433"/>
  <c r="BT432"/>
  <c r="BS432"/>
  <c r="BR432"/>
  <c r="BQ432"/>
  <c r="BP432"/>
  <c r="BO432"/>
  <c r="BN432"/>
  <c r="BM432"/>
  <c r="BL432" s="1"/>
  <c r="BK432"/>
  <c r="BJ432"/>
  <c r="BI432"/>
  <c r="BH432"/>
  <c r="BG432"/>
  <c r="BF432"/>
  <c r="BE432"/>
  <c r="BD432"/>
  <c r="BC432"/>
  <c r="BB432"/>
  <c r="AX432"/>
  <c r="AW432"/>
  <c r="AV432"/>
  <c r="AC432"/>
  <c r="H432"/>
  <c r="G432" s="1"/>
  <c r="BT431"/>
  <c r="BS431"/>
  <c r="BR431"/>
  <c r="BQ431"/>
  <c r="BP431"/>
  <c r="BO431"/>
  <c r="BN431"/>
  <c r="BM431"/>
  <c r="BK431"/>
  <c r="BJ431"/>
  <c r="BI431"/>
  <c r="BH431"/>
  <c r="BG431"/>
  <c r="BF431"/>
  <c r="BE431"/>
  <c r="BD431"/>
  <c r="BC431"/>
  <c r="BB431"/>
  <c r="AX431"/>
  <c r="AW431"/>
  <c r="AV431"/>
  <c r="AC431"/>
  <c r="H431"/>
  <c r="G431" s="1"/>
  <c r="BT430"/>
  <c r="BS430"/>
  <c r="BR430"/>
  <c r="BQ430"/>
  <c r="BP430"/>
  <c r="BO430"/>
  <c r="BN430"/>
  <c r="BM430"/>
  <c r="BL430" s="1"/>
  <c r="BK430"/>
  <c r="BJ430"/>
  <c r="BI430"/>
  <c r="BH430"/>
  <c r="BG430"/>
  <c r="BF430"/>
  <c r="BE430"/>
  <c r="BD430"/>
  <c r="BC430"/>
  <c r="BB430"/>
  <c r="AX430"/>
  <c r="AW430"/>
  <c r="AV430"/>
  <c r="AC430"/>
  <c r="H430"/>
  <c r="BT429"/>
  <c r="BS429"/>
  <c r="BR429"/>
  <c r="BQ429"/>
  <c r="BP429"/>
  <c r="BO429"/>
  <c r="BN429"/>
  <c r="BM429"/>
  <c r="BK429"/>
  <c r="BJ429"/>
  <c r="BI429"/>
  <c r="BH429"/>
  <c r="BG429"/>
  <c r="BF429"/>
  <c r="BE429"/>
  <c r="BD429"/>
  <c r="BC429"/>
  <c r="BB429"/>
  <c r="AX429"/>
  <c r="AW429"/>
  <c r="AV429"/>
  <c r="AC429"/>
  <c r="H429"/>
  <c r="G429" s="1"/>
  <c r="BT428"/>
  <c r="BS428"/>
  <c r="BR428"/>
  <c r="BQ428"/>
  <c r="BP428"/>
  <c r="BO428"/>
  <c r="BN428"/>
  <c r="BM428"/>
  <c r="BK428"/>
  <c r="BJ428"/>
  <c r="BI428"/>
  <c r="BH428"/>
  <c r="BG428"/>
  <c r="BF428"/>
  <c r="BE428"/>
  <c r="BD428"/>
  <c r="BC428"/>
  <c r="BB428"/>
  <c r="BA428" s="1"/>
  <c r="AX428"/>
  <c r="AW428"/>
  <c r="AV428"/>
  <c r="AC428"/>
  <c r="H428"/>
  <c r="BT427"/>
  <c r="BS427"/>
  <c r="BR427"/>
  <c r="BQ427"/>
  <c r="BP427"/>
  <c r="BO427"/>
  <c r="BN427"/>
  <c r="BM427"/>
  <c r="BL427" s="1"/>
  <c r="BK427"/>
  <c r="BJ427"/>
  <c r="BI427"/>
  <c r="BH427"/>
  <c r="BG427"/>
  <c r="BF427"/>
  <c r="BE427"/>
  <c r="BD427"/>
  <c r="BC427"/>
  <c r="BB427"/>
  <c r="AX427"/>
  <c r="AW427"/>
  <c r="AV427"/>
  <c r="AC427"/>
  <c r="H427"/>
  <c r="BT426"/>
  <c r="BS426"/>
  <c r="BR426"/>
  <c r="BQ426"/>
  <c r="BP426"/>
  <c r="BO426"/>
  <c r="BN426"/>
  <c r="BM426"/>
  <c r="BL426" s="1"/>
  <c r="BK426"/>
  <c r="BJ426"/>
  <c r="BI426"/>
  <c r="BH426"/>
  <c r="BG426"/>
  <c r="BF426"/>
  <c r="BE426"/>
  <c r="BD426"/>
  <c r="BC426"/>
  <c r="BB426"/>
  <c r="AX426"/>
  <c r="AW426"/>
  <c r="AV426"/>
  <c r="AC426"/>
  <c r="H426"/>
  <c r="G426" s="1"/>
  <c r="BT425"/>
  <c r="BS425"/>
  <c r="BR425"/>
  <c r="BQ425"/>
  <c r="BP425"/>
  <c r="BO425"/>
  <c r="BN425"/>
  <c r="BM425"/>
  <c r="BK425"/>
  <c r="BJ425"/>
  <c r="BI425"/>
  <c r="BH425"/>
  <c r="BG425"/>
  <c r="BF425"/>
  <c r="BE425"/>
  <c r="BD425"/>
  <c r="BC425"/>
  <c r="BB425"/>
  <c r="AX425"/>
  <c r="AW425"/>
  <c r="AV425"/>
  <c r="AC425"/>
  <c r="H425"/>
  <c r="G425" s="1"/>
  <c r="BT424"/>
  <c r="BS424"/>
  <c r="BR424"/>
  <c r="BQ424"/>
  <c r="BP424"/>
  <c r="BO424"/>
  <c r="BN424"/>
  <c r="BM424"/>
  <c r="BL424" s="1"/>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BA422" s="1"/>
  <c r="AX422"/>
  <c r="AW422"/>
  <c r="AV422"/>
  <c r="AC422"/>
  <c r="H422"/>
  <c r="G422" s="1"/>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L420" s="1"/>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B419"/>
  <c r="BA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s="1"/>
  <c r="AZ415" s="1"/>
  <c r="AX415"/>
  <c r="AW415"/>
  <c r="AV415"/>
  <c r="AC415"/>
  <c r="H415"/>
  <c r="BT414"/>
  <c r="BS414"/>
  <c r="BR414"/>
  <c r="BQ414"/>
  <c r="BP414"/>
  <c r="BO414"/>
  <c r="BN414"/>
  <c r="BM414"/>
  <c r="BK414"/>
  <c r="BJ414"/>
  <c r="BI414"/>
  <c r="BH414"/>
  <c r="BG414"/>
  <c r="BF414"/>
  <c r="BE414"/>
  <c r="BD414"/>
  <c r="BC414"/>
  <c r="BB414"/>
  <c r="AX414"/>
  <c r="AW414"/>
  <c r="AV414"/>
  <c r="AC414"/>
  <c r="H414"/>
  <c r="G414" s="1"/>
  <c r="BT413"/>
  <c r="BS413"/>
  <c r="BR413"/>
  <c r="BQ413"/>
  <c r="BP413"/>
  <c r="BO413"/>
  <c r="BN413"/>
  <c r="BM413"/>
  <c r="BL413" s="1"/>
  <c r="BK413"/>
  <c r="BJ413"/>
  <c r="BI413"/>
  <c r="BH413"/>
  <c r="BG413"/>
  <c r="BF413"/>
  <c r="BE413"/>
  <c r="BD413"/>
  <c r="BC413"/>
  <c r="BB413"/>
  <c r="AX413"/>
  <c r="AW413"/>
  <c r="AV413"/>
  <c r="AC413"/>
  <c r="H413"/>
  <c r="BT412"/>
  <c r="BS412"/>
  <c r="BR412"/>
  <c r="BQ412"/>
  <c r="BP412"/>
  <c r="BO412"/>
  <c r="BN412"/>
  <c r="BM412"/>
  <c r="BK412"/>
  <c r="BJ412"/>
  <c r="BI412"/>
  <c r="BH412"/>
  <c r="BG412"/>
  <c r="BF412"/>
  <c r="BE412"/>
  <c r="BD412"/>
  <c r="BC412"/>
  <c r="BB412"/>
  <c r="BA412"/>
  <c r="AX412"/>
  <c r="AW412"/>
  <c r="AV412"/>
  <c r="AC412"/>
  <c r="H412"/>
  <c r="BT411"/>
  <c r="BS411"/>
  <c r="BR411"/>
  <c r="BQ411"/>
  <c r="BP411"/>
  <c r="BO411"/>
  <c r="BN411"/>
  <c r="BM411"/>
  <c r="BL411"/>
  <c r="BK411"/>
  <c r="BJ411"/>
  <c r="BI411"/>
  <c r="BH411"/>
  <c r="BG411"/>
  <c r="BF411"/>
  <c r="BE411"/>
  <c r="BD411"/>
  <c r="BC411"/>
  <c r="BB411"/>
  <c r="BA411" s="1"/>
  <c r="AZ411" s="1"/>
  <c r="AX411"/>
  <c r="AW411"/>
  <c r="AV411"/>
  <c r="AC411"/>
  <c r="H411"/>
  <c r="BT410"/>
  <c r="BS410"/>
  <c r="BR410"/>
  <c r="BQ410"/>
  <c r="BP410"/>
  <c r="BO410"/>
  <c r="BN410"/>
  <c r="BM410"/>
  <c r="BL410"/>
  <c r="BK410"/>
  <c r="BJ410"/>
  <c r="BI410"/>
  <c r="BH410"/>
  <c r="BG410"/>
  <c r="BF410"/>
  <c r="BE410"/>
  <c r="BD410"/>
  <c r="BC410"/>
  <c r="BB410"/>
  <c r="BA410" s="1"/>
  <c r="AZ410" s="1"/>
  <c r="AX410"/>
  <c r="AW410"/>
  <c r="AV410"/>
  <c r="AC410"/>
  <c r="H410"/>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s="1"/>
  <c r="AX408"/>
  <c r="AW408"/>
  <c r="AV408"/>
  <c r="AC408"/>
  <c r="H408"/>
  <c r="BT407"/>
  <c r="BS407"/>
  <c r="BR407"/>
  <c r="BQ407"/>
  <c r="BP407"/>
  <c r="BO407"/>
  <c r="BN407"/>
  <c r="BM407"/>
  <c r="BK407"/>
  <c r="BJ407"/>
  <c r="BI407"/>
  <c r="BH407"/>
  <c r="BG407"/>
  <c r="BF407"/>
  <c r="BE407"/>
  <c r="BD407"/>
  <c r="BC407"/>
  <c r="BB407"/>
  <c r="AX407"/>
  <c r="AW407"/>
  <c r="AV407"/>
  <c r="AC407"/>
  <c r="H407"/>
  <c r="G407" s="1"/>
  <c r="BT406"/>
  <c r="BS406"/>
  <c r="BR406"/>
  <c r="BQ406"/>
  <c r="BP406"/>
  <c r="BO406"/>
  <c r="BN406"/>
  <c r="BM406"/>
  <c r="BK406"/>
  <c r="BJ406"/>
  <c r="BI406"/>
  <c r="BH406"/>
  <c r="BG406"/>
  <c r="BF406"/>
  <c r="BE406"/>
  <c r="BD406"/>
  <c r="BC406"/>
  <c r="BB406"/>
  <c r="BA406" s="1"/>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s="1"/>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s="1"/>
  <c r="AX402"/>
  <c r="AW402"/>
  <c r="AV402"/>
  <c r="AC402"/>
  <c r="H402"/>
  <c r="BT401"/>
  <c r="BS401"/>
  <c r="BR401"/>
  <c r="BQ401"/>
  <c r="BP401"/>
  <c r="BO401"/>
  <c r="BN401"/>
  <c r="BM401"/>
  <c r="BK401"/>
  <c r="BJ401"/>
  <c r="BI401"/>
  <c r="BH401"/>
  <c r="BG401"/>
  <c r="BF401"/>
  <c r="BE401"/>
  <c r="BD401"/>
  <c r="BC401"/>
  <c r="BB401"/>
  <c r="BA401"/>
  <c r="AX401"/>
  <c r="AW401"/>
  <c r="AV401"/>
  <c r="AC401"/>
  <c r="H40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s="1"/>
  <c r="AZ399" s="1"/>
  <c r="AX399"/>
  <c r="AW399"/>
  <c r="AV399"/>
  <c r="AC399"/>
  <c r="H399"/>
  <c r="BT398"/>
  <c r="BS398"/>
  <c r="BR398"/>
  <c r="BQ398"/>
  <c r="BP398"/>
  <c r="BO398"/>
  <c r="BN398"/>
  <c r="BM398"/>
  <c r="BK398"/>
  <c r="BJ398"/>
  <c r="BI398"/>
  <c r="BH398"/>
  <c r="BG398"/>
  <c r="BF398"/>
  <c r="BE398"/>
  <c r="BD398"/>
  <c r="BC398"/>
  <c r="BB398"/>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471" i="31"/>
  <c r="S471" s="1"/>
  <c r="R472"/>
  <c r="R473"/>
  <c r="S473" s="1"/>
  <c r="R474"/>
  <c r="R475"/>
  <c r="S475" s="1"/>
  <c r="R476"/>
  <c r="R477"/>
  <c r="S477" s="1"/>
  <c r="R478"/>
  <c r="R479"/>
  <c r="S479" s="1"/>
  <c r="R480"/>
  <c r="R481"/>
  <c r="S481" s="1"/>
  <c r="R482"/>
  <c r="R483"/>
  <c r="S483" s="1"/>
  <c r="R484"/>
  <c r="R485"/>
  <c r="S485" s="1"/>
  <c r="R486"/>
  <c r="R487"/>
  <c r="S487" s="1"/>
  <c r="R488"/>
  <c r="R489"/>
  <c r="S489" s="1"/>
  <c r="R490"/>
  <c r="R491"/>
  <c r="S491" s="1"/>
  <c r="R492"/>
  <c r="R493"/>
  <c r="S493" s="1"/>
  <c r="R494"/>
  <c r="R495"/>
  <c r="S495" s="1"/>
  <c r="R496"/>
  <c r="R497"/>
  <c r="S497" s="1"/>
  <c r="R498"/>
  <c r="R499"/>
  <c r="S499" s="1"/>
  <c r="R500"/>
  <c r="R501"/>
  <c r="R502"/>
  <c r="R503"/>
  <c r="S503" s="1"/>
  <c r="R504"/>
  <c r="R505"/>
  <c r="R506"/>
  <c r="R507"/>
  <c r="R508"/>
  <c r="R509"/>
  <c r="R510"/>
  <c r="R511"/>
  <c r="R512"/>
  <c r="R513"/>
  <c r="R514"/>
  <c r="R515"/>
  <c r="S515" s="1"/>
  <c r="R516"/>
  <c r="R517"/>
  <c r="S517" s="1"/>
  <c r="R518"/>
  <c r="R519"/>
  <c r="S519" s="1"/>
  <c r="R520"/>
  <c r="R521"/>
  <c r="S521" s="1"/>
  <c r="R522"/>
  <c r="R523"/>
  <c r="S523" s="1"/>
  <c r="R5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13" i="53"/>
  <c r="B29" i="72" s="1"/>
  <c r="R35" i="4"/>
  <c r="Q35"/>
  <c r="P35"/>
  <c r="O35"/>
  <c r="N35"/>
  <c r="M35"/>
  <c r="L35"/>
  <c r="K34"/>
  <c r="T34" s="1"/>
  <c r="G13" i="1"/>
  <c r="G11"/>
  <c r="I15" i="4"/>
  <c r="H15"/>
  <c r="G15"/>
  <c r="E15"/>
  <c r="D15"/>
  <c r="L21"/>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E21"/>
  <c r="K8" i="1" s="1"/>
  <c r="M8" s="1"/>
  <c r="F23" i="15"/>
  <c r="D24" s="1"/>
  <c r="O8" i="1"/>
  <c r="P8"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H5" s="1"/>
  <c r="AC13"/>
  <c r="H14"/>
  <c r="AC14"/>
  <c r="G14" s="1"/>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96"/>
  <c r="S494"/>
  <c r="S492"/>
  <c r="S490"/>
  <c r="S488"/>
  <c r="S486"/>
  <c r="S484"/>
  <c r="S482"/>
  <c r="S480"/>
  <c r="S478"/>
  <c r="S476"/>
  <c r="S474"/>
  <c r="S472"/>
  <c r="S506"/>
  <c r="S504"/>
  <c r="S502"/>
  <c r="S500"/>
  <c r="S498"/>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AC551"/>
  <c r="BB551"/>
  <c r="BC551"/>
  <c r="BD551"/>
  <c r="BE551"/>
  <c r="BF551"/>
  <c r="BG551"/>
  <c r="BH551"/>
  <c r="BI551"/>
  <c r="BJ551"/>
  <c r="BK551"/>
  <c r="BM551"/>
  <c r="BN551"/>
  <c r="BO551"/>
  <c r="BP551"/>
  <c r="BR551"/>
  <c r="BS551"/>
  <c r="BT551"/>
  <c r="H552"/>
  <c r="AC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AC30" s="1"/>
  <c r="H30"/>
  <c r="F30"/>
  <c r="AA30" s="1"/>
  <c r="C26" i="35"/>
  <c r="C79" s="1"/>
  <c r="J31"/>
  <c r="W31" s="1"/>
  <c r="H31"/>
  <c r="AB31" s="1"/>
  <c r="F3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AA40" s="1"/>
  <c r="D113"/>
  <c r="F37" s="1"/>
  <c r="D111"/>
  <c r="E111" s="1"/>
  <c r="F111" s="1"/>
  <c r="S516" i="31"/>
  <c r="S518"/>
  <c r="S520"/>
  <c r="S522"/>
  <c r="S524"/>
  <c r="F41" i="21"/>
  <c r="J41"/>
  <c r="AC41" s="1"/>
  <c r="H41"/>
  <c r="U41" s="1"/>
  <c r="D81" i="39"/>
  <c r="E81" s="1"/>
  <c r="F81" s="1"/>
  <c r="G81" s="1"/>
  <c r="H81" s="1"/>
  <c r="I81" s="1"/>
  <c r="J81" s="1"/>
  <c r="K81" s="1"/>
  <c r="L81" s="1"/>
  <c r="M81" s="1"/>
  <c r="D76" i="40"/>
  <c r="E76" s="1"/>
  <c r="F76" s="1"/>
  <c r="G76" s="1"/>
  <c r="H76" s="1"/>
  <c r="I76" s="1"/>
  <c r="J76" s="1"/>
  <c r="K76" s="1"/>
  <c r="L76" s="1"/>
  <c r="M76" s="1"/>
  <c r="B120"/>
  <c r="J40" s="1"/>
  <c r="B118"/>
  <c r="J39" s="1"/>
  <c r="B116"/>
  <c r="F38"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H107"/>
  <c r="G107"/>
  <c r="F107"/>
  <c r="E107"/>
  <c r="D107"/>
  <c r="C107"/>
  <c r="B105"/>
  <c r="J33" s="1"/>
  <c r="B103"/>
  <c r="J32" s="1"/>
  <c r="B101"/>
  <c r="J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F88" s="1"/>
  <c r="G88" s="1"/>
  <c r="D86"/>
  <c r="E86" s="1"/>
  <c r="F86" s="1"/>
  <c r="G86" s="1"/>
  <c r="D84"/>
  <c r="E84" s="1"/>
  <c r="F84" s="1"/>
  <c r="G84" s="1"/>
  <c r="B81"/>
  <c r="B79"/>
  <c r="B77"/>
  <c r="J12" s="1"/>
  <c r="M74"/>
  <c r="L74"/>
  <c r="K74"/>
  <c r="J74"/>
  <c r="I74"/>
  <c r="H74"/>
  <c r="G74"/>
  <c r="F74"/>
  <c r="E74"/>
  <c r="D74"/>
  <c r="C74"/>
  <c r="P43"/>
  <c r="P42"/>
  <c r="V41"/>
  <c r="T41"/>
  <c r="R41"/>
  <c r="P41"/>
  <c r="Q40"/>
  <c r="Z40" s="1"/>
  <c r="H40"/>
  <c r="AB40" s="1"/>
  <c r="Q39"/>
  <c r="Z39" s="1"/>
  <c r="Q38"/>
  <c r="Z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B110"/>
  <c r="J39" s="1"/>
  <c r="AC39" s="1"/>
  <c r="B108"/>
  <c r="C23"/>
  <c r="C19"/>
  <c r="C17"/>
  <c r="C15"/>
  <c r="B112"/>
  <c r="D107"/>
  <c r="E107" s="1"/>
  <c r="F107" s="1"/>
  <c r="G107" s="1"/>
  <c r="H107" s="1"/>
  <c r="I107" s="1"/>
  <c r="J107" s="1"/>
  <c r="K107" s="1"/>
  <c r="L107" s="1"/>
  <c r="M107" s="1"/>
  <c r="D105"/>
  <c r="E105" s="1"/>
  <c r="F105" s="1"/>
  <c r="G105" s="1"/>
  <c r="D103"/>
  <c r="E103" s="1"/>
  <c r="F103" s="1"/>
  <c r="G103" s="1"/>
  <c r="H103" s="1"/>
  <c r="I103" s="1"/>
  <c r="J103" s="1"/>
  <c r="K103" s="1"/>
  <c r="L103" s="1"/>
  <c r="M103" s="1"/>
  <c r="J35"/>
  <c r="W35" s="1"/>
  <c r="F97"/>
  <c r="E97"/>
  <c r="D97"/>
  <c r="C97"/>
  <c r="D96"/>
  <c r="E96" s="1"/>
  <c r="F96" s="1"/>
  <c r="G96" s="1"/>
  <c r="H96" s="1"/>
  <c r="I96" s="1"/>
  <c r="J96" s="1"/>
  <c r="K96" s="1"/>
  <c r="L96" s="1"/>
  <c r="M96" s="1"/>
  <c r="D94"/>
  <c r="M90"/>
  <c r="L90"/>
  <c r="K90"/>
  <c r="J90"/>
  <c r="I90"/>
  <c r="H90"/>
  <c r="G90"/>
  <c r="F90"/>
  <c r="E90"/>
  <c r="D90"/>
  <c r="C90"/>
  <c r="D89"/>
  <c r="B86"/>
  <c r="B84"/>
  <c r="H27" s="1"/>
  <c r="B82"/>
  <c r="H26" s="1"/>
  <c r="D79"/>
  <c r="E79" s="1"/>
  <c r="D75"/>
  <c r="E75" s="1"/>
  <c r="D73"/>
  <c r="E73" s="1"/>
  <c r="F73" s="1"/>
  <c r="D71"/>
  <c r="H15"/>
  <c r="AB15" s="1"/>
  <c r="B68"/>
  <c r="H14" s="1"/>
  <c r="B66"/>
  <c r="B64"/>
  <c r="D63"/>
  <c r="E63" s="1"/>
  <c r="M61"/>
  <c r="L61"/>
  <c r="K61"/>
  <c r="J61"/>
  <c r="I61"/>
  <c r="H61"/>
  <c r="G61"/>
  <c r="F61"/>
  <c r="E61"/>
  <c r="D61"/>
  <c r="C61"/>
  <c r="F60"/>
  <c r="G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J26"/>
  <c r="AC26" s="1"/>
  <c r="F26"/>
  <c r="AA26" s="1"/>
  <c r="Q25"/>
  <c r="Z25" s="1"/>
  <c r="J25"/>
  <c r="AC25" s="1"/>
  <c r="Q23"/>
  <c r="Z23" s="1"/>
  <c r="Q19"/>
  <c r="Z19" s="1"/>
  <c r="Q17"/>
  <c r="Z17" s="1"/>
  <c r="Q15"/>
  <c r="Z15" s="1"/>
  <c r="Q14"/>
  <c r="Z14" s="1"/>
  <c r="Q13"/>
  <c r="Z13" s="1"/>
  <c r="Q12"/>
  <c r="Z12" s="1"/>
  <c r="Q11"/>
  <c r="Z11" s="1"/>
  <c r="Q10"/>
  <c r="Z10" s="1"/>
  <c r="F10"/>
  <c r="AA10" s="1"/>
  <c r="Q9"/>
  <c r="Z9" s="1"/>
  <c r="J8"/>
  <c r="W8" s="1"/>
  <c r="H8"/>
  <c r="AB8" s="1"/>
  <c r="F8"/>
  <c r="S8" s="1"/>
  <c r="J31" i="36"/>
  <c r="W31" s="1"/>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s="1"/>
  <c r="B71"/>
  <c r="H23" s="1"/>
  <c r="AB23" s="1"/>
  <c r="D70"/>
  <c r="H22"/>
  <c r="AB22" s="1"/>
  <c r="D68"/>
  <c r="E68" s="1"/>
  <c r="F68" s="1"/>
  <c r="G68" s="1"/>
  <c r="D64"/>
  <c r="E64" s="1"/>
  <c r="F64" s="1"/>
  <c r="G64" s="1"/>
  <c r="J16"/>
  <c r="W16" s="1"/>
  <c r="D62"/>
  <c r="E62" s="1"/>
  <c r="F62" s="1"/>
  <c r="G62" s="1"/>
  <c r="B59"/>
  <c r="B57"/>
  <c r="J12" s="1"/>
  <c r="B55"/>
  <c r="F54"/>
  <c r="G54" s="1"/>
  <c r="H54" s="1"/>
  <c r="I54" s="1"/>
  <c r="C51"/>
  <c r="H9" s="1"/>
  <c r="P37"/>
  <c r="P36"/>
  <c r="V35"/>
  <c r="T35"/>
  <c r="R35"/>
  <c r="P35"/>
  <c r="Q34"/>
  <c r="Z34" s="1"/>
  <c r="Q33"/>
  <c r="Z33" s="1"/>
  <c r="Q32"/>
  <c r="Z32" s="1"/>
  <c r="Q31"/>
  <c r="Z31" s="1"/>
  <c r="Q30"/>
  <c r="Z30" s="1"/>
  <c r="Q29"/>
  <c r="Z29" s="1"/>
  <c r="Q28"/>
  <c r="Z28" s="1"/>
  <c r="J28"/>
  <c r="AC28" s="1"/>
  <c r="Q27"/>
  <c r="Z27" s="1"/>
  <c r="Q26"/>
  <c r="Z26" s="1"/>
  <c r="H26"/>
  <c r="AB26" s="1"/>
  <c r="Q25"/>
  <c r="Z25" s="1"/>
  <c r="Q24"/>
  <c r="Z24" s="1"/>
  <c r="Q23"/>
  <c r="Z23" s="1"/>
  <c r="F23"/>
  <c r="AA23" s="1"/>
  <c r="Q22"/>
  <c r="Z22" s="1"/>
  <c r="J22"/>
  <c r="AC22" s="1"/>
  <c r="Q20"/>
  <c r="Z20"/>
  <c r="Q16"/>
  <c r="Z16" s="1"/>
  <c r="Q14"/>
  <c r="Z14" s="1"/>
  <c r="Q13"/>
  <c r="Z13" s="1"/>
  <c r="Q12"/>
  <c r="Z12" s="1"/>
  <c r="Q11"/>
  <c r="Z11" s="1"/>
  <c r="Q10"/>
  <c r="Z10" s="1"/>
  <c r="F10"/>
  <c r="AA10" s="1"/>
  <c r="Q9"/>
  <c r="Z9" s="1"/>
  <c r="J9"/>
  <c r="AC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H34" s="1"/>
  <c r="B77"/>
  <c r="B75"/>
  <c r="J24" s="1"/>
  <c r="AC24" s="1"/>
  <c r="B73"/>
  <c r="H23" s="1"/>
  <c r="B57"/>
  <c r="B61"/>
  <c r="B59"/>
  <c r="H12" s="1"/>
  <c r="B131" i="34"/>
  <c r="B129"/>
  <c r="B127"/>
  <c r="B99"/>
  <c r="B97"/>
  <c r="B95"/>
  <c r="B93"/>
  <c r="B75"/>
  <c r="B73"/>
  <c r="B71"/>
  <c r="J12" s="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Q35"/>
  <c r="Z35" s="1"/>
  <c r="Q34"/>
  <c r="Z34" s="1"/>
  <c r="J34"/>
  <c r="AC34" s="1"/>
  <c r="Q33"/>
  <c r="Z33" s="1"/>
  <c r="Q32"/>
  <c r="Z32" s="1"/>
  <c r="H32"/>
  <c r="AB32" s="1"/>
  <c r="F32"/>
  <c r="AA32" s="1"/>
  <c r="Q31"/>
  <c r="Z31" s="1"/>
  <c r="AA31"/>
  <c r="Q30"/>
  <c r="Z30" s="1"/>
  <c r="Q29"/>
  <c r="Z29" s="1"/>
  <c r="Q28"/>
  <c r="Z28" s="1"/>
  <c r="J28"/>
  <c r="AC28" s="1"/>
  <c r="H28"/>
  <c r="AB28" s="1"/>
  <c r="F28"/>
  <c r="AA28" s="1"/>
  <c r="Q27"/>
  <c r="Z27" s="1"/>
  <c r="Q26"/>
  <c r="Z26" s="1"/>
  <c r="Q25"/>
  <c r="Z25" s="1"/>
  <c r="Q24"/>
  <c r="Z24" s="1"/>
  <c r="Q23"/>
  <c r="Z23"/>
  <c r="Q22"/>
  <c r="Z22" s="1"/>
  <c r="Q20"/>
  <c r="Z20" s="1"/>
  <c r="Q16"/>
  <c r="Z16" s="1"/>
  <c r="Q14"/>
  <c r="Z14" s="1"/>
  <c r="Q13"/>
  <c r="Z13" s="1"/>
  <c r="Q12"/>
  <c r="Z12" s="1"/>
  <c r="F12"/>
  <c r="S12" s="1"/>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Q11"/>
  <c r="Z11" s="1"/>
  <c r="Q10"/>
  <c r="Z10" s="1"/>
  <c r="F10"/>
  <c r="AA10" s="1"/>
  <c r="Q9"/>
  <c r="Z9" s="1"/>
  <c r="J9"/>
  <c r="AC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J9" s="1"/>
  <c r="AC9" s="1"/>
  <c r="H54"/>
  <c r="F54"/>
  <c r="P49"/>
  <c r="P48"/>
  <c r="V47"/>
  <c r="T47"/>
  <c r="R47"/>
  <c r="P47"/>
  <c r="Q46"/>
  <c r="Z46" s="1"/>
  <c r="Q45"/>
  <c r="Z45" s="1"/>
  <c r="Q44"/>
  <c r="Z44" s="1"/>
  <c r="Q43"/>
  <c r="Z43" s="1"/>
  <c r="Q42"/>
  <c r="Z42" s="1"/>
  <c r="Q41"/>
  <c r="Z41" s="1"/>
  <c r="Q40"/>
  <c r="Z40" s="1"/>
  <c r="J40"/>
  <c r="AC40" s="1"/>
  <c r="H40"/>
  <c r="AB40" s="1"/>
  <c r="Q39"/>
  <c r="Z39" s="1"/>
  <c r="J39"/>
  <c r="AC39" s="1"/>
  <c r="Q38"/>
  <c r="Z38" s="1"/>
  <c r="H38"/>
  <c r="AB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Q14"/>
  <c r="Z14" s="1"/>
  <c r="Q13"/>
  <c r="Z13" s="1"/>
  <c r="Q12"/>
  <c r="Z12" s="1"/>
  <c r="H12"/>
  <c r="U12" s="1"/>
  <c r="Q11"/>
  <c r="Z11" s="1"/>
  <c r="Q10"/>
  <c r="Z10" s="1"/>
  <c r="Q9"/>
  <c r="Z9" s="1"/>
  <c r="H9"/>
  <c r="AB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H12"/>
  <c r="AB12" s="1"/>
  <c r="J26"/>
  <c r="W26" s="1"/>
  <c r="F26"/>
  <c r="S26" s="1"/>
  <c r="AB41"/>
  <c r="S41"/>
  <c r="AA41"/>
  <c r="F45" i="39"/>
  <c r="S45" s="1"/>
  <c r="J45"/>
  <c r="W45" s="1"/>
  <c r="J44"/>
  <c r="AC44" s="1"/>
  <c r="F36"/>
  <c r="S36" s="1"/>
  <c r="H36"/>
  <c r="AB36" s="1"/>
  <c r="J35"/>
  <c r="AC35" s="1"/>
  <c r="F35"/>
  <c r="AA35" s="1"/>
  <c r="J36"/>
  <c r="AC36" s="1"/>
  <c r="U9"/>
  <c r="W40"/>
  <c r="W25" i="37"/>
  <c r="W31"/>
  <c r="F39"/>
  <c r="S39" s="1"/>
  <c r="F29" i="36"/>
  <c r="AA29" s="1"/>
  <c r="W8"/>
  <c r="F16"/>
  <c r="AA16" s="1"/>
  <c r="S30"/>
  <c r="AC31"/>
  <c r="U31"/>
  <c r="J33"/>
  <c r="W33" s="1"/>
  <c r="H22" i="35"/>
  <c r="AB22" s="1"/>
  <c r="W28"/>
  <c r="U31"/>
  <c r="W22"/>
  <c r="S31"/>
  <c r="F36" i="34"/>
  <c r="J35"/>
  <c r="W9"/>
  <c r="U34"/>
  <c r="H39" i="33"/>
  <c r="AB39" s="1"/>
  <c r="F26"/>
  <c r="AA26" s="1"/>
  <c r="S40"/>
  <c r="W39"/>
  <c r="S27" i="35"/>
  <c r="F11" i="40"/>
  <c r="AA11" s="1"/>
  <c r="H11"/>
  <c r="AB11" s="1"/>
  <c r="W8"/>
  <c r="AA9"/>
  <c r="AC9"/>
  <c r="U9"/>
  <c r="S34"/>
  <c r="U38"/>
  <c r="U34"/>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s="1"/>
  <c r="H42" i="39"/>
  <c r="AB42" s="1"/>
  <c r="J34"/>
  <c r="AC34" s="1"/>
  <c r="F109"/>
  <c r="G109" s="1"/>
  <c r="H109" s="1"/>
  <c r="I109" s="1"/>
  <c r="J109" s="1"/>
  <c r="K109" s="1"/>
  <c r="L109" s="1"/>
  <c r="M109" s="1"/>
  <c r="J31"/>
  <c r="F101"/>
  <c r="H27"/>
  <c r="U27" s="1"/>
  <c r="J19"/>
  <c r="AC19" s="1"/>
  <c r="J17"/>
  <c r="J27"/>
  <c r="AC27" s="1"/>
  <c r="F27"/>
  <c r="F11" i="21"/>
  <c r="S11" s="1"/>
  <c r="S40"/>
  <c r="U34"/>
  <c r="S34"/>
  <c r="C27" i="39"/>
  <c r="C21"/>
  <c r="H11"/>
  <c r="S40"/>
  <c r="C15"/>
  <c r="H11" i="21"/>
  <c r="U11" s="1"/>
  <c r="J11"/>
  <c r="W11" s="1"/>
  <c r="H37" i="40"/>
  <c r="U37" s="1"/>
  <c r="H36"/>
  <c r="AB36" s="1"/>
  <c r="F35"/>
  <c r="AA35" s="1"/>
  <c r="H23"/>
  <c r="AB23" s="1"/>
  <c r="H17"/>
  <c r="U17" s="1"/>
  <c r="J15"/>
  <c r="W15" s="1"/>
  <c r="J11"/>
  <c r="W11" s="1"/>
  <c r="AB8" i="39"/>
  <c r="S44"/>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B34"/>
  <c r="J33"/>
  <c r="AC33" s="1"/>
  <c r="U42" i="34"/>
  <c r="H40"/>
  <c r="U40" s="1"/>
  <c r="E114"/>
  <c r="F114" s="1"/>
  <c r="G114" s="1"/>
  <c r="H114" s="1"/>
  <c r="I114" s="1"/>
  <c r="J114" s="1"/>
  <c r="K114" s="1"/>
  <c r="L114" s="1"/>
  <c r="M114" s="1"/>
  <c r="H36"/>
  <c r="U36" s="1"/>
  <c r="F37"/>
  <c r="AA37" s="1"/>
  <c r="S35"/>
  <c r="F28"/>
  <c r="AA28" s="1"/>
  <c r="F27"/>
  <c r="AA27" s="1"/>
  <c r="F25"/>
  <c r="S25" s="1"/>
  <c r="H23"/>
  <c r="U23" s="1"/>
  <c r="J23"/>
  <c r="F19"/>
  <c r="H17"/>
  <c r="U17" s="1"/>
  <c r="F15"/>
  <c r="J15"/>
  <c r="AC15" s="1"/>
  <c r="H15"/>
  <c r="AB15" s="1"/>
  <c r="W8"/>
  <c r="J28"/>
  <c r="W28" s="1"/>
  <c r="F41" i="33"/>
  <c r="AA41" s="1"/>
  <c r="E113"/>
  <c r="J19"/>
  <c r="AC19" s="1"/>
  <c r="J15"/>
  <c r="AC15" s="1"/>
  <c r="U8"/>
  <c r="S8"/>
  <c r="F37" i="40"/>
  <c r="AA37" s="1"/>
  <c r="F36"/>
  <c r="AA36" s="1"/>
  <c r="H28"/>
  <c r="U28" s="1"/>
  <c r="F23"/>
  <c r="AA23" s="1"/>
  <c r="F17"/>
  <c r="AA17" s="1"/>
  <c r="J17"/>
  <c r="W17" s="1"/>
  <c r="F15"/>
  <c r="S15" s="1"/>
  <c r="H15"/>
  <c r="AB15" s="1"/>
  <c r="AC11"/>
  <c r="S12" i="36"/>
  <c r="AA12"/>
  <c r="AB30"/>
  <c r="AC34"/>
  <c r="F29" i="35"/>
  <c r="S29" s="1"/>
  <c r="H29"/>
  <c r="AB29" s="1"/>
  <c r="H33" i="37"/>
  <c r="AB33" s="1"/>
  <c r="F33"/>
  <c r="AA33" s="1"/>
  <c r="U34"/>
  <c r="W33"/>
  <c r="S34"/>
  <c r="AA34"/>
  <c r="J43" i="34"/>
  <c r="AB42"/>
  <c r="J40"/>
  <c r="H38"/>
  <c r="AB38" s="1"/>
  <c r="J36"/>
  <c r="W36" s="1"/>
  <c r="H37"/>
  <c r="U37" s="1"/>
  <c r="H25"/>
  <c r="AB25" s="1"/>
  <c r="J25"/>
  <c r="AC25" s="1"/>
  <c r="AB23"/>
  <c r="F23"/>
  <c r="AA23" s="1"/>
  <c r="J19"/>
  <c r="AC19" s="1"/>
  <c r="F17"/>
  <c r="AA17" s="1"/>
  <c r="J17"/>
  <c r="W17" s="1"/>
  <c r="AA15"/>
  <c r="S15"/>
  <c r="S41" i="33"/>
  <c r="F113"/>
  <c r="G113" s="1"/>
  <c r="H113" s="1"/>
  <c r="I113" s="1"/>
  <c r="J113" s="1"/>
  <c r="K113" s="1"/>
  <c r="L113" s="1"/>
  <c r="M113" s="1"/>
  <c r="H37"/>
  <c r="AB37" s="1"/>
  <c r="H15"/>
  <c r="AB15" s="1"/>
  <c r="F28" i="40"/>
  <c r="AA28" s="1"/>
  <c r="AA42" i="34"/>
  <c r="S42"/>
  <c r="AC38"/>
  <c r="AA38"/>
  <c r="J37"/>
  <c r="AC37" s="1"/>
  <c r="S28"/>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AB31" s="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AC13" s="1"/>
  <c r="F13"/>
  <c r="S13" s="1"/>
  <c r="E89" i="37"/>
  <c r="F89" s="1"/>
  <c r="G89" s="1"/>
  <c r="H89" s="1"/>
  <c r="I89" s="1"/>
  <c r="J89" s="1"/>
  <c r="K89" s="1"/>
  <c r="L89" s="1"/>
  <c r="M89" s="1"/>
  <c r="J29"/>
  <c r="W29" s="1"/>
  <c r="F29"/>
  <c r="S29" s="1"/>
  <c r="H36"/>
  <c r="AB36" s="1"/>
  <c r="J37"/>
  <c r="AC37" s="1"/>
  <c r="H37"/>
  <c r="U37" s="1"/>
  <c r="H40"/>
  <c r="U40" s="1"/>
  <c r="J40"/>
  <c r="AC40" s="1"/>
  <c r="F40"/>
  <c r="AA40" s="1"/>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U31" i="34"/>
  <c r="J36" i="37"/>
  <c r="AC36" s="1"/>
  <c r="AB11" i="36"/>
  <c r="AB11" i="35"/>
  <c r="J10" i="36"/>
  <c r="AC10" s="1"/>
  <c r="AB30" i="21"/>
  <c r="AA14" i="37"/>
  <c r="W31" i="34"/>
  <c r="W13" i="36"/>
  <c r="W11"/>
  <c r="W11" i="35"/>
  <c r="AC30" i="34"/>
  <c r="AB45" i="33"/>
  <c r="S44" i="34"/>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AZ584" s="1"/>
  <c r="BA582"/>
  <c r="BA580"/>
  <c r="AZ580" s="1"/>
  <c r="BA578"/>
  <c r="AZ578" s="1"/>
  <c r="BA576"/>
  <c r="AZ576" s="1"/>
  <c r="BA574"/>
  <c r="BA572"/>
  <c r="AZ572" s="1"/>
  <c r="BA570"/>
  <c r="AZ570" s="1"/>
  <c r="BA568"/>
  <c r="AZ568" s="1"/>
  <c r="BA566"/>
  <c r="BA564"/>
  <c r="AZ564" s="1"/>
  <c r="BA562"/>
  <c r="AZ562" s="1"/>
  <c r="BA560"/>
  <c r="AZ560" s="1"/>
  <c r="BA558"/>
  <c r="BA556"/>
  <c r="AZ556" s="1"/>
  <c r="BA554"/>
  <c r="BA552"/>
  <c r="AZ552" s="1"/>
  <c r="BA548"/>
  <c r="BA546"/>
  <c r="BA544"/>
  <c r="BA542"/>
  <c r="AZ542" s="1"/>
  <c r="BA540"/>
  <c r="AZ540" s="1"/>
  <c r="BA538"/>
  <c r="AZ538" s="1"/>
  <c r="BA536"/>
  <c r="BA534"/>
  <c r="AZ534" s="1"/>
  <c r="BA532"/>
  <c r="BA530"/>
  <c r="AZ530" s="1"/>
  <c r="BA528"/>
  <c r="AZ528"/>
  <c r="BA526"/>
  <c r="AZ526"/>
  <c r="BA524"/>
  <c r="BA522"/>
  <c r="AZ522" s="1"/>
  <c r="BA520"/>
  <c r="BA518"/>
  <c r="AZ518" s="1"/>
  <c r="BA516"/>
  <c r="BA514"/>
  <c r="AZ514" s="1"/>
  <c r="BA512"/>
  <c r="AZ512"/>
  <c r="BA510"/>
  <c r="AZ510"/>
  <c r="BA508"/>
  <c r="BA506"/>
  <c r="AZ506" s="1"/>
  <c r="BA504"/>
  <c r="AZ504"/>
  <c r="BA502"/>
  <c r="BA500"/>
  <c r="AZ500" s="1"/>
  <c r="BA498"/>
  <c r="AZ498"/>
  <c r="BA496"/>
  <c r="BA494"/>
  <c r="AZ494" s="1"/>
  <c r="BA587"/>
  <c r="AZ587"/>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G583"/>
  <c r="G581"/>
  <c r="G579"/>
  <c r="G577"/>
  <c r="G575"/>
  <c r="G573"/>
  <c r="G571"/>
  <c r="G569"/>
  <c r="G567"/>
  <c r="G565"/>
  <c r="G563"/>
  <c r="G561"/>
  <c r="BL558"/>
  <c r="BA557"/>
  <c r="AC557"/>
  <c r="G557" s="1"/>
  <c r="BQ557"/>
  <c r="BL557" s="1"/>
  <c r="BQ583"/>
  <c r="BL583" s="1"/>
  <c r="AZ583" s="1"/>
  <c r="BQ581"/>
  <c r="BL581" s="1"/>
  <c r="BQ579"/>
  <c r="BL579" s="1"/>
  <c r="AZ579" s="1"/>
  <c r="BQ577"/>
  <c r="BL577" s="1"/>
  <c r="BQ575"/>
  <c r="BL575" s="1"/>
  <c r="AZ575" s="1"/>
  <c r="BQ573"/>
  <c r="BL573" s="1"/>
  <c r="AZ573" s="1"/>
  <c r="BQ571"/>
  <c r="BL571"/>
  <c r="AZ571" s="1"/>
  <c r="BQ569"/>
  <c r="BL569" s="1"/>
  <c r="BQ567"/>
  <c r="BL567" s="1"/>
  <c r="AZ567" s="1"/>
  <c r="BQ565"/>
  <c r="BL565" s="1"/>
  <c r="BQ563"/>
  <c r="BL563" s="1"/>
  <c r="AZ563" s="1"/>
  <c r="BQ561"/>
  <c r="BL561" s="1"/>
  <c r="AZ561" s="1"/>
  <c r="BQ559"/>
  <c r="BL559" s="1"/>
  <c r="AZ559" s="1"/>
  <c r="G559"/>
  <c r="G555"/>
  <c r="G553"/>
  <c r="G549"/>
  <c r="G547"/>
  <c r="G545"/>
  <c r="G543"/>
  <c r="G541"/>
  <c r="G539"/>
  <c r="G537"/>
  <c r="BQ555"/>
  <c r="BL555" s="1"/>
  <c r="BQ553"/>
  <c r="BL553" s="1"/>
  <c r="AZ553" s="1"/>
  <c r="BQ551"/>
  <c r="BL551" s="1"/>
  <c r="BQ549"/>
  <c r="BL549" s="1"/>
  <c r="AZ549" s="1"/>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C521"/>
  <c r="G521"/>
  <c r="BQ521"/>
  <c r="BL521"/>
  <c r="BL520"/>
  <c r="AZ520" s="1"/>
  <c r="G519"/>
  <c r="G517"/>
  <c r="G515"/>
  <c r="G513"/>
  <c r="G511"/>
  <c r="BQ519"/>
  <c r="BL519"/>
  <c r="AZ519" s="1"/>
  <c r="BQ517"/>
  <c r="BL517" s="1"/>
  <c r="AZ517" s="1"/>
  <c r="BQ515"/>
  <c r="BL515" s="1"/>
  <c r="AZ515" s="1"/>
  <c r="BQ513"/>
  <c r="BL513" s="1"/>
  <c r="AZ513" s="1"/>
  <c r="BQ511"/>
  <c r="BL511" s="1"/>
  <c r="AZ511" s="1"/>
  <c r="BA509"/>
  <c r="AC509"/>
  <c r="BQ509"/>
  <c r="BL509" s="1"/>
  <c r="AZ509" s="1"/>
  <c r="BL508"/>
  <c r="AZ508" s="1"/>
  <c r="G507"/>
  <c r="G505"/>
  <c r="G503"/>
  <c r="G501"/>
  <c r="G499"/>
  <c r="G497"/>
  <c r="G495"/>
  <c r="BQ507"/>
  <c r="BL507" s="1"/>
  <c r="AZ507" s="1"/>
  <c r="BQ505"/>
  <c r="BL505" s="1"/>
  <c r="AZ505" s="1"/>
  <c r="BQ503"/>
  <c r="BL503" s="1"/>
  <c r="AZ503" s="1"/>
  <c r="BQ501"/>
  <c r="BL501" s="1"/>
  <c r="BQ499"/>
  <c r="BL499" s="1"/>
  <c r="AZ499" s="1"/>
  <c r="BQ497"/>
  <c r="BL497" s="1"/>
  <c r="BQ495"/>
  <c r="BL495" s="1"/>
  <c r="AZ495" s="1"/>
  <c r="BQ493"/>
  <c r="S505" i="31"/>
  <c r="S501"/>
  <c r="O27"/>
  <c r="O28"/>
  <c r="O26"/>
  <c r="M27"/>
  <c r="M28"/>
  <c r="M26"/>
  <c r="I26"/>
  <c r="I25"/>
  <c r="Q26"/>
  <c r="K26"/>
  <c r="I27"/>
  <c r="Q27"/>
  <c r="K27"/>
  <c r="I28"/>
  <c r="Q28"/>
  <c r="K28"/>
  <c r="AC28" i="34"/>
  <c r="S21" i="40"/>
  <c r="H25" i="21"/>
  <c r="U25" s="1"/>
  <c r="F25"/>
  <c r="S25" s="1"/>
  <c r="J25"/>
  <c r="AC25" s="1"/>
  <c r="E125" i="33"/>
  <c r="F125" s="1"/>
  <c r="G125" s="1"/>
  <c r="H43"/>
  <c r="AB43" s="1"/>
  <c r="H17" i="37"/>
  <c r="U17" s="1"/>
  <c r="AA36" i="39"/>
  <c r="F39" i="33"/>
  <c r="AA39" s="1"/>
  <c r="E123"/>
  <c r="J42" s="1"/>
  <c r="AC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H19" i="37"/>
  <c r="AB19" s="1"/>
  <c r="J43" i="33"/>
  <c r="AC43" s="1"/>
  <c r="U14" i="40"/>
  <c r="AC33" i="36"/>
  <c r="U35" i="35"/>
  <c r="AA12"/>
  <c r="U33" i="37"/>
  <c r="W26"/>
  <c r="AC8"/>
  <c r="AB13" i="34"/>
  <c r="W37"/>
  <c r="AB37"/>
  <c r="AA13" i="33"/>
  <c r="AC45"/>
  <c r="U19" i="21"/>
  <c r="W44"/>
  <c r="U26"/>
  <c r="AC46"/>
  <c r="U12"/>
  <c r="AB38"/>
  <c r="F43" i="33"/>
  <c r="AA43" s="1"/>
  <c r="W15" i="34"/>
  <c r="W16" i="35"/>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AA25" i="21"/>
  <c r="C12" i="43"/>
  <c r="H19" i="40"/>
  <c r="U19" s="1"/>
  <c r="F19"/>
  <c r="S19" s="1"/>
  <c r="S14"/>
  <c r="AC13"/>
  <c r="W23" i="39"/>
  <c r="G101"/>
  <c r="H37"/>
  <c r="AB37" s="1"/>
  <c r="H25"/>
  <c r="AB25" s="1"/>
  <c r="J25"/>
  <c r="F25"/>
  <c r="AA25" s="1"/>
  <c r="F15"/>
  <c r="AA15" s="1"/>
  <c r="H15"/>
  <c r="U15" s="1"/>
  <c r="J15"/>
  <c r="W15" s="1"/>
  <c r="H41"/>
  <c r="W27"/>
  <c r="AB34"/>
  <c r="U40"/>
  <c r="S42"/>
  <c r="W14"/>
  <c r="AA41"/>
  <c r="W9"/>
  <c r="W8"/>
  <c r="J19" i="40"/>
  <c r="AC19" s="1"/>
  <c r="J50"/>
  <c r="B54" i="72"/>
  <c r="H103" i="9"/>
  <c r="D8" i="53" s="1"/>
  <c r="B16"/>
  <c r="B33" i="72" s="1"/>
  <c r="C7" i="37"/>
  <c r="C7" i="34"/>
  <c r="C7" i="36"/>
  <c r="W35" i="40"/>
  <c r="J11" i="39"/>
  <c r="W11" s="1"/>
  <c r="F11"/>
  <c r="AA11" s="1"/>
  <c r="A12" i="52"/>
  <c r="B56" i="72" s="1"/>
  <c r="S11" i="39"/>
  <c r="G4" i="4"/>
  <c r="I4"/>
  <c r="K5"/>
  <c r="B47" i="48" s="1"/>
  <c r="N2" i="43"/>
  <c r="F59" s="1"/>
  <c r="AZ502" i="3"/>
  <c r="AZ546"/>
  <c r="G546"/>
  <c r="G524"/>
  <c r="G303"/>
  <c r="BL304"/>
  <c r="G305"/>
  <c r="BL306"/>
  <c r="BA308"/>
  <c r="BA309"/>
  <c r="AZ309" s="1"/>
  <c r="BL309"/>
  <c r="G310"/>
  <c r="BA311"/>
  <c r="G319"/>
  <c r="BL320"/>
  <c r="G321"/>
  <c r="BL322"/>
  <c r="BA324"/>
  <c r="AZ324" s="1"/>
  <c r="BA325"/>
  <c r="BL325"/>
  <c r="AZ325" s="1"/>
  <c r="G326"/>
  <c r="BA327"/>
  <c r="G335"/>
  <c r="BL336"/>
  <c r="G337"/>
  <c r="BL338"/>
  <c r="BA340"/>
  <c r="BA341"/>
  <c r="AZ341" s="1"/>
  <c r="BL341"/>
  <c r="BA343"/>
  <c r="AZ343" s="1"/>
  <c r="BA345"/>
  <c r="BL355"/>
  <c r="G356"/>
  <c r="BL357"/>
  <c r="BA359"/>
  <c r="AZ359"/>
  <c r="BA360"/>
  <c r="BL360"/>
  <c r="AZ360" s="1"/>
  <c r="G361"/>
  <c r="BA362"/>
  <c r="G370"/>
  <c r="BL371"/>
  <c r="G372"/>
  <c r="BL373"/>
  <c r="BA375"/>
  <c r="AZ375" s="1"/>
  <c r="BA376"/>
  <c r="AZ376" s="1"/>
  <c r="BL376"/>
  <c r="G377"/>
  <c r="BA378"/>
  <c r="AZ378"/>
  <c r="BL378"/>
  <c r="G379"/>
  <c r="BA380"/>
  <c r="G388"/>
  <c r="BL389"/>
  <c r="G390"/>
  <c r="BL391"/>
  <c r="BA393"/>
  <c r="BA394"/>
  <c r="BL394"/>
  <c r="AZ394" s="1"/>
  <c r="G113"/>
  <c r="BA115"/>
  <c r="BL116"/>
  <c r="AZ116" s="1"/>
  <c r="G117"/>
  <c r="BA119"/>
  <c r="BL120"/>
  <c r="G121"/>
  <c r="BA123"/>
  <c r="AZ123" s="1"/>
  <c r="BL124"/>
  <c r="G125"/>
  <c r="BA127"/>
  <c r="AZ127"/>
  <c r="BL128"/>
  <c r="G129"/>
  <c r="BA131"/>
  <c r="BL132"/>
  <c r="AZ132"/>
  <c r="G133"/>
  <c r="BA135"/>
  <c r="BL136"/>
  <c r="G137"/>
  <c r="BA139"/>
  <c r="BL140"/>
  <c r="G141"/>
  <c r="BA143"/>
  <c r="BL144"/>
  <c r="G145"/>
  <c r="BA147"/>
  <c r="AZ147" s="1"/>
  <c r="BL148"/>
  <c r="G149"/>
  <c r="BA151"/>
  <c r="AZ151" s="1"/>
  <c r="BL152"/>
  <c r="AZ152" s="1"/>
  <c r="G153"/>
  <c r="BA155"/>
  <c r="BL156"/>
  <c r="G157"/>
  <c r="BA159"/>
  <c r="AZ159" s="1"/>
  <c r="BL160"/>
  <c r="G161"/>
  <c r="BA163"/>
  <c r="AZ163" s="1"/>
  <c r="BL164"/>
  <c r="G165"/>
  <c r="BA167"/>
  <c r="AZ167" s="1"/>
  <c r="BL168"/>
  <c r="G169"/>
  <c r="BA171"/>
  <c r="BL172"/>
  <c r="G173"/>
  <c r="BA175"/>
  <c r="AZ175" s="1"/>
  <c r="BL176"/>
  <c r="G177"/>
  <c r="BA179"/>
  <c r="AZ179" s="1"/>
  <c r="BL180"/>
  <c r="G181"/>
  <c r="BA183"/>
  <c r="AZ183" s="1"/>
  <c r="BL184"/>
  <c r="AZ184" s="1"/>
  <c r="G185"/>
  <c r="BA187"/>
  <c r="BL188"/>
  <c r="G189"/>
  <c r="BA191"/>
  <c r="AZ191" s="1"/>
  <c r="BL192"/>
  <c r="G193"/>
  <c r="BA195"/>
  <c r="AZ195" s="1"/>
  <c r="BL196"/>
  <c r="G197"/>
  <c r="BA199"/>
  <c r="AZ199" s="1"/>
  <c r="BL200"/>
  <c r="G201"/>
  <c r="BA203"/>
  <c r="AZ203" s="1"/>
  <c r="BL204"/>
  <c r="AZ204" s="1"/>
  <c r="AZ51"/>
  <c r="AZ55"/>
  <c r="AZ79"/>
  <c r="AZ83"/>
  <c r="AZ168"/>
  <c r="AZ200"/>
  <c r="AZ85"/>
  <c r="AZ89"/>
  <c r="AZ105"/>
  <c r="AZ128"/>
  <c r="G534"/>
  <c r="G530"/>
  <c r="G522"/>
  <c r="G516"/>
  <c r="G512"/>
  <c r="G506"/>
  <c r="G498"/>
  <c r="G494"/>
  <c r="G16"/>
  <c r="G15"/>
  <c r="BA304"/>
  <c r="BA305"/>
  <c r="BL305"/>
  <c r="G306"/>
  <c r="G309"/>
  <c r="BL310"/>
  <c r="BA312"/>
  <c r="AZ312" s="1"/>
  <c r="BA313"/>
  <c r="BL313"/>
  <c r="G314"/>
  <c r="G317"/>
  <c r="BL318"/>
  <c r="BA320"/>
  <c r="AZ320" s="1"/>
  <c r="BA321"/>
  <c r="BL321"/>
  <c r="G322"/>
  <c r="G325"/>
  <c r="BL326"/>
  <c r="BA328"/>
  <c r="AZ328" s="1"/>
  <c r="BA329"/>
  <c r="BL329"/>
  <c r="G330"/>
  <c r="G333"/>
  <c r="BL334"/>
  <c r="BA336"/>
  <c r="BA337"/>
  <c r="AZ337" s="1"/>
  <c r="BL337"/>
  <c r="G338"/>
  <c r="G341"/>
  <c r="BA342"/>
  <c r="BL342"/>
  <c r="AZ342"/>
  <c r="BA344"/>
  <c r="BL344"/>
  <c r="AZ344" s="1"/>
  <c r="BA346"/>
  <c r="BA347"/>
  <c r="AZ347" s="1"/>
  <c r="BL347"/>
  <c r="G350"/>
  <c r="BA351"/>
  <c r="AZ351"/>
  <c r="BL351"/>
  <c r="G352"/>
  <c r="G354"/>
  <c r="BA355"/>
  <c r="AZ355" s="1"/>
  <c r="BA356"/>
  <c r="BL356"/>
  <c r="G357"/>
  <c r="G360"/>
  <c r="BL361"/>
  <c r="BA363"/>
  <c r="AZ363" s="1"/>
  <c r="BA364"/>
  <c r="BL364"/>
  <c r="AZ364" s="1"/>
  <c r="G365"/>
  <c r="G368"/>
  <c r="BL369"/>
  <c r="BA371"/>
  <c r="BA372"/>
  <c r="BL372"/>
  <c r="G373"/>
  <c r="G376"/>
  <c r="BL377"/>
  <c r="BL379"/>
  <c r="BA381"/>
  <c r="BA382"/>
  <c r="AZ382" s="1"/>
  <c r="BL382"/>
  <c r="G383"/>
  <c r="G386"/>
  <c r="BL387"/>
  <c r="BA389"/>
  <c r="AZ389" s="1"/>
  <c r="BA390"/>
  <c r="AZ390" s="1"/>
  <c r="BL390"/>
  <c r="G391"/>
  <c r="G394"/>
  <c r="AZ150"/>
  <c r="AZ166"/>
  <c r="AZ182"/>
  <c r="AZ198"/>
  <c r="AZ202"/>
  <c r="AZ206"/>
  <c r="BA16"/>
  <c r="AZ16" s="1"/>
  <c r="BL303"/>
  <c r="AZ303" s="1"/>
  <c r="G304"/>
  <c r="BA306"/>
  <c r="BL307"/>
  <c r="AZ307" s="1"/>
  <c r="G308"/>
  <c r="BA310"/>
  <c r="BL311"/>
  <c r="AZ311" s="1"/>
  <c r="G312"/>
  <c r="BA314"/>
  <c r="AZ314" s="1"/>
  <c r="BL315"/>
  <c r="G316"/>
  <c r="BA318"/>
  <c r="AZ318" s="1"/>
  <c r="BL319"/>
  <c r="G320"/>
  <c r="BA322"/>
  <c r="AZ322" s="1"/>
  <c r="BL323"/>
  <c r="G324"/>
  <c r="BA326"/>
  <c r="BL327"/>
  <c r="G328"/>
  <c r="BA330"/>
  <c r="BL331"/>
  <c r="G332"/>
  <c r="BA334"/>
  <c r="BL335"/>
  <c r="AZ335" s="1"/>
  <c r="G336"/>
  <c r="BA338"/>
  <c r="AZ338" s="1"/>
  <c r="BL339"/>
  <c r="AZ339" s="1"/>
  <c r="G340"/>
  <c r="BL343"/>
  <c r="G344"/>
  <c r="G348"/>
  <c r="G355"/>
  <c r="AZ218"/>
  <c r="G342"/>
  <c r="BL345"/>
  <c r="AZ345" s="1"/>
  <c r="G346"/>
  <c r="AZ348"/>
  <c r="BL349"/>
  <c r="AZ349" s="1"/>
  <c r="BL352"/>
  <c r="AZ352" s="1"/>
  <c r="G353"/>
  <c r="BA357"/>
  <c r="BL358"/>
  <c r="AZ358" s="1"/>
  <c r="G359"/>
  <c r="BA361"/>
  <c r="AZ361" s="1"/>
  <c r="BL362"/>
  <c r="G363"/>
  <c r="BA365"/>
  <c r="AZ365" s="1"/>
  <c r="BL366"/>
  <c r="AZ366" s="1"/>
  <c r="G367"/>
  <c r="BA369"/>
  <c r="AZ369" s="1"/>
  <c r="BL370"/>
  <c r="G371"/>
  <c r="BA373"/>
  <c r="AZ373" s="1"/>
  <c r="BL374"/>
  <c r="AZ374" s="1"/>
  <c r="G375"/>
  <c r="BA377"/>
  <c r="AZ377" s="1"/>
  <c r="AZ241"/>
  <c r="AZ245"/>
  <c r="AZ370"/>
  <c r="BA379"/>
  <c r="BL380"/>
  <c r="AZ380" s="1"/>
  <c r="G381"/>
  <c r="BA383"/>
  <c r="BL384"/>
  <c r="G385"/>
  <c r="BA387"/>
  <c r="BL388"/>
  <c r="G389"/>
  <c r="BA391"/>
  <c r="AZ391" s="1"/>
  <c r="BL392"/>
  <c r="G393"/>
  <c r="BO5"/>
  <c r="BM5"/>
  <c r="BJ5"/>
  <c r="BH5"/>
  <c r="BF5"/>
  <c r="BD5"/>
  <c r="AZ317"/>
  <c r="AC5"/>
  <c r="AZ496"/>
  <c r="G548"/>
  <c r="G538"/>
  <c r="G520"/>
  <c r="G502"/>
  <c r="BS5"/>
  <c r="BP5"/>
  <c r="BN5"/>
  <c r="BK5"/>
  <c r="BI5"/>
  <c r="BG5"/>
  <c r="BE5"/>
  <c r="BC5"/>
  <c r="G17"/>
  <c r="BA17"/>
  <c r="BT5"/>
  <c r="AZ356"/>
  <c r="BA15"/>
  <c r="BB5"/>
  <c r="E8" i="6" s="1"/>
  <c r="F27" s="1"/>
  <c r="BR5" i="3"/>
  <c r="G28" i="6" s="1"/>
  <c r="G509" i="3"/>
  <c r="BL493"/>
  <c r="AZ493"/>
  <c r="U36" i="40"/>
  <c r="N4" i="43"/>
  <c r="F36"/>
  <c r="F81"/>
  <c r="H83" s="1"/>
  <c r="H113"/>
  <c r="F48"/>
  <c r="H52" s="1"/>
  <c r="N7"/>
  <c r="F70"/>
  <c r="H73" s="1"/>
  <c r="M6"/>
  <c r="M11"/>
  <c r="E17"/>
  <c r="F39"/>
  <c r="I17"/>
  <c r="F35"/>
  <c r="J17"/>
  <c r="F6" i="1"/>
  <c r="U17" i="39"/>
  <c r="S14" i="35"/>
  <c r="U43" i="21"/>
  <c r="U35"/>
  <c r="AC35"/>
  <c r="U10"/>
  <c r="G8" i="1"/>
  <c r="G9"/>
  <c r="G10"/>
  <c r="F48" i="9"/>
  <c r="O52" s="1"/>
  <c r="AC11" i="39"/>
  <c r="W37" i="37"/>
  <c r="W44" i="34"/>
  <c r="AC44"/>
  <c r="U13" i="37"/>
  <c r="AA12" i="40"/>
  <c r="J37" i="33"/>
  <c r="W37" s="1"/>
  <c r="AC17" i="34"/>
  <c r="J34" i="33"/>
  <c r="W34" s="1"/>
  <c r="F33" i="34"/>
  <c r="S33" s="1"/>
  <c r="H20" i="36"/>
  <c r="U20" s="1"/>
  <c r="J20"/>
  <c r="W20" s="1"/>
  <c r="J27"/>
  <c r="W27" s="1"/>
  <c r="H35" i="40"/>
  <c r="AB35" s="1"/>
  <c r="AC29" i="35"/>
  <c r="W29"/>
  <c r="H35" i="37"/>
  <c r="U35" s="1"/>
  <c r="AC14" i="35"/>
  <c r="H20"/>
  <c r="U20" s="1"/>
  <c r="F20"/>
  <c r="AA20" s="1"/>
  <c r="AB29" i="36"/>
  <c r="U29"/>
  <c r="H32" i="37"/>
  <c r="AB32" s="1"/>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C40" i="11"/>
  <c r="AZ215" i="3"/>
  <c r="AZ240"/>
  <c r="AZ243"/>
  <c r="AZ53"/>
  <c r="AZ58"/>
  <c r="AZ82"/>
  <c r="AZ102"/>
  <c r="H74" i="43"/>
  <c r="I20"/>
  <c r="F23" i="39"/>
  <c r="AA23" s="1"/>
  <c r="H27" i="36"/>
  <c r="U27" s="1"/>
  <c r="F27"/>
  <c r="AA27" s="1"/>
  <c r="H33" i="34"/>
  <c r="U33" s="1"/>
  <c r="F32" i="37"/>
  <c r="AA32" s="1"/>
  <c r="F20" i="36"/>
  <c r="AA20" s="1"/>
  <c r="J33" i="34"/>
  <c r="AC33" s="1"/>
  <c r="H23" i="39"/>
  <c r="U23" s="1"/>
  <c r="D48" i="9"/>
  <c r="M52" s="1"/>
  <c r="H86" i="43"/>
  <c r="K9" i="1"/>
  <c r="M9" s="1"/>
  <c r="O9" s="1"/>
  <c r="P9" s="1"/>
  <c r="AE9"/>
  <c r="I4" i="6" l="1"/>
  <c r="G3" i="43" s="1"/>
  <c r="U27" i="37"/>
  <c r="AB27"/>
  <c r="AC31" i="40"/>
  <c r="W31"/>
  <c r="W33"/>
  <c r="AC33"/>
  <c r="AA38"/>
  <c r="S38"/>
  <c r="W40"/>
  <c r="AC40"/>
  <c r="S12" i="21"/>
  <c r="AA12"/>
  <c r="AB14" i="37"/>
  <c r="U14"/>
  <c r="AB26"/>
  <c r="U26"/>
  <c r="U25"/>
  <c r="AB25"/>
  <c r="AC32" i="40"/>
  <c r="W32"/>
  <c r="H87" i="43"/>
  <c r="U12" i="40"/>
  <c r="AZ387" i="3"/>
  <c r="AZ379"/>
  <c r="AZ357"/>
  <c r="AZ334"/>
  <c r="AZ326"/>
  <c r="AZ306"/>
  <c r="AZ372"/>
  <c r="AZ313"/>
  <c r="AZ305"/>
  <c r="W40" i="37"/>
  <c r="AC31" i="33"/>
  <c r="AC36" i="34"/>
  <c r="W47"/>
  <c r="AB28" i="37"/>
  <c r="AC32" i="36"/>
  <c r="BQ5" i="3"/>
  <c r="AZ501"/>
  <c r="AZ555"/>
  <c r="AZ565"/>
  <c r="AZ566"/>
  <c r="AZ574"/>
  <c r="S11" i="36"/>
  <c r="AA44" i="33"/>
  <c r="AB17" i="34"/>
  <c r="U30" i="35"/>
  <c r="AA39" i="37"/>
  <c r="AB12" i="33"/>
  <c r="C25" i="39"/>
  <c r="H39" i="37"/>
  <c r="W33" i="33"/>
  <c r="W34" i="35"/>
  <c r="AC27"/>
  <c r="AA31" i="36"/>
  <c r="W28"/>
  <c r="U30" i="37"/>
  <c r="J12" i="21"/>
  <c r="AC12" s="1"/>
  <c r="F38" i="33"/>
  <c r="J38"/>
  <c r="AC38" s="1"/>
  <c r="F9" i="34"/>
  <c r="H12"/>
  <c r="J12" i="35"/>
  <c r="W12" s="1"/>
  <c r="AC31"/>
  <c r="F34"/>
  <c r="J23" i="36"/>
  <c r="AC23" s="1"/>
  <c r="F25" i="37"/>
  <c r="AA25" s="1"/>
  <c r="J38" i="40"/>
  <c r="AC38" s="1"/>
  <c r="F40"/>
  <c r="G582" i="3"/>
  <c r="G556"/>
  <c r="G552"/>
  <c r="G551"/>
  <c r="F7" i="1"/>
  <c r="G7" s="1"/>
  <c r="BL398" i="3"/>
  <c r="G399"/>
  <c r="G402"/>
  <c r="G404"/>
  <c r="BA405"/>
  <c r="BL405"/>
  <c r="BL407"/>
  <c r="G408"/>
  <c r="G413"/>
  <c r="BL414"/>
  <c r="G415"/>
  <c r="G418"/>
  <c r="G420"/>
  <c r="BA421"/>
  <c r="AZ421" s="1"/>
  <c r="BL421"/>
  <c r="BL423"/>
  <c r="G424"/>
  <c r="BA425"/>
  <c r="AZ425" s="1"/>
  <c r="BL425"/>
  <c r="BA426"/>
  <c r="AZ426" s="1"/>
  <c r="BA427"/>
  <c r="AZ427" s="1"/>
  <c r="BL429"/>
  <c r="G430"/>
  <c r="BA431"/>
  <c r="AZ431" s="1"/>
  <c r="BL431"/>
  <c r="BA432"/>
  <c r="AZ432" s="1"/>
  <c r="BA434"/>
  <c r="BL434"/>
  <c r="BL436"/>
  <c r="G437"/>
  <c r="G439"/>
  <c r="BL440"/>
  <c r="G441"/>
  <c r="G443"/>
  <c r="G446"/>
  <c r="G450"/>
  <c r="G452"/>
  <c r="BA453"/>
  <c r="AZ453" s="1"/>
  <c r="BL453"/>
  <c r="BL455"/>
  <c r="G456"/>
  <c r="BA457"/>
  <c r="BL457"/>
  <c r="BA459"/>
  <c r="BL459"/>
  <c r="BA460"/>
  <c r="AZ460" s="1"/>
  <c r="BA462"/>
  <c r="BL462"/>
  <c r="BA463"/>
  <c r="AZ463" s="1"/>
  <c r="BA464"/>
  <c r="AZ464" s="1"/>
  <c r="BA465"/>
  <c r="BL465"/>
  <c r="G466"/>
  <c r="BL467"/>
  <c r="G468"/>
  <c r="G470"/>
  <c r="BL471"/>
  <c r="G472"/>
  <c r="BA473"/>
  <c r="BL473"/>
  <c r="BA474"/>
  <c r="AZ474" s="1"/>
  <c r="BA475"/>
  <c r="AZ475" s="1"/>
  <c r="BA477"/>
  <c r="BL477"/>
  <c r="BA478"/>
  <c r="AZ478" s="1"/>
  <c r="BA479"/>
  <c r="AZ479" s="1"/>
  <c r="BA481"/>
  <c r="BL481"/>
  <c r="BA482"/>
  <c r="AZ482" s="1"/>
  <c r="BA483"/>
  <c r="AZ483" s="1"/>
  <c r="BL484"/>
  <c r="G485"/>
  <c r="BA486"/>
  <c r="BL486"/>
  <c r="BL488"/>
  <c r="G489"/>
  <c r="BA490"/>
  <c r="BL490"/>
  <c r="BL492"/>
  <c r="G307"/>
  <c r="BL308"/>
  <c r="AZ308" s="1"/>
  <c r="G311"/>
  <c r="BA319"/>
  <c r="AZ319" s="1"/>
  <c r="BA323"/>
  <c r="AZ323" s="1"/>
  <c r="BL330"/>
  <c r="AZ330" s="1"/>
  <c r="G331"/>
  <c r="BA333"/>
  <c r="AZ333" s="1"/>
  <c r="G339"/>
  <c r="BL340"/>
  <c r="AZ340" s="1"/>
  <c r="G343"/>
  <c r="BL350"/>
  <c r="G351"/>
  <c r="BA354"/>
  <c r="AZ354" s="1"/>
  <c r="BA367"/>
  <c r="BL367"/>
  <c r="G380"/>
  <c r="BL381"/>
  <c r="AZ381" s="1"/>
  <c r="BA384"/>
  <c r="AZ384" s="1"/>
  <c r="BA386"/>
  <c r="BL386"/>
  <c r="G392"/>
  <c r="BL393"/>
  <c r="AZ393" s="1"/>
  <c r="BA396"/>
  <c r="BL396"/>
  <c r="BA397"/>
  <c r="AZ397" s="1"/>
  <c r="BA209"/>
  <c r="AZ209" s="1"/>
  <c r="BL209"/>
  <c r="BA210"/>
  <c r="AZ210" s="1"/>
  <c r="BL212"/>
  <c r="G213"/>
  <c r="G215"/>
  <c r="G218"/>
  <c r="G221"/>
  <c r="BL222"/>
  <c r="G223"/>
  <c r="BA224"/>
  <c r="BL224"/>
  <c r="BA225"/>
  <c r="AZ225" s="1"/>
  <c r="BA227"/>
  <c r="BL227"/>
  <c r="BA228"/>
  <c r="AZ228" s="1"/>
  <c r="BA229"/>
  <c r="AZ229" s="1"/>
  <c r="BL231"/>
  <c r="G232"/>
  <c r="BL233"/>
  <c r="G234"/>
  <c r="G236"/>
  <c r="BL237"/>
  <c r="G238"/>
  <c r="G243"/>
  <c r="G247"/>
  <c r="BL248"/>
  <c r="G249"/>
  <c r="BA250"/>
  <c r="BL250"/>
  <c r="BL252"/>
  <c r="G253"/>
  <c r="BA254"/>
  <c r="BL254"/>
  <c r="BA255"/>
  <c r="AZ255" s="1"/>
  <c r="BA256"/>
  <c r="AZ256" s="1"/>
  <c r="BA257"/>
  <c r="AZ257" s="1"/>
  <c r="BA259"/>
  <c r="BL259"/>
  <c r="BA260"/>
  <c r="AZ260" s="1"/>
  <c r="BA261"/>
  <c r="AZ261" s="1"/>
  <c r="BA263"/>
  <c r="BL263"/>
  <c r="BA264"/>
  <c r="AZ264" s="1"/>
  <c r="BA265"/>
  <c r="AZ265" s="1"/>
  <c r="BL267"/>
  <c r="G268"/>
  <c r="BL269"/>
  <c r="G270"/>
  <c r="G272"/>
  <c r="BL273"/>
  <c r="G274"/>
  <c r="G276"/>
  <c r="BA277"/>
  <c r="BL277"/>
  <c r="BA278"/>
  <c r="AZ278" s="1"/>
  <c r="BA279"/>
  <c r="AZ279" s="1"/>
  <c r="BA280"/>
  <c r="AZ280" s="1"/>
  <c r="BL282"/>
  <c r="G283"/>
  <c r="BA284"/>
  <c r="AZ284" s="1"/>
  <c r="BL284"/>
  <c r="BA285"/>
  <c r="AZ285" s="1"/>
  <c r="BA287"/>
  <c r="BL287"/>
  <c r="BL289"/>
  <c r="G290"/>
  <c r="G292"/>
  <c r="BA293"/>
  <c r="AZ293" s="1"/>
  <c r="BL293"/>
  <c r="BA294"/>
  <c r="AZ294" s="1"/>
  <c r="BA295"/>
  <c r="AZ295" s="1"/>
  <c r="BA296"/>
  <c r="AZ296" s="1"/>
  <c r="BL298"/>
  <c r="G299"/>
  <c r="BA300"/>
  <c r="BL300"/>
  <c r="BA301"/>
  <c r="AZ301" s="1"/>
  <c r="BA302"/>
  <c r="AZ302" s="1"/>
  <c r="BA113"/>
  <c r="AZ113" s="1"/>
  <c r="BA114"/>
  <c r="AZ114" s="1"/>
  <c r="BL115"/>
  <c r="AZ115" s="1"/>
  <c r="BL118"/>
  <c r="G119"/>
  <c r="BA120"/>
  <c r="AZ120" s="1"/>
  <c r="BA122"/>
  <c r="BL122"/>
  <c r="BA124"/>
  <c r="AZ124" s="1"/>
  <c r="BA130"/>
  <c r="AZ130" s="1"/>
  <c r="BL131"/>
  <c r="AZ131" s="1"/>
  <c r="BL134"/>
  <c r="G135"/>
  <c r="BA136"/>
  <c r="AZ136" s="1"/>
  <c r="BL138"/>
  <c r="G139"/>
  <c r="BA140"/>
  <c r="AZ140" s="1"/>
  <c r="BL142"/>
  <c r="G143"/>
  <c r="BA144"/>
  <c r="AZ144" s="1"/>
  <c r="BL146"/>
  <c r="G147"/>
  <c r="G150"/>
  <c r="BA153"/>
  <c r="AZ153" s="1"/>
  <c r="BL153"/>
  <c r="BL155"/>
  <c r="AZ155" s="1"/>
  <c r="G156"/>
  <c r="BA158"/>
  <c r="AZ158" s="1"/>
  <c r="BL158"/>
  <c r="BA160"/>
  <c r="AZ160" s="1"/>
  <c r="G163"/>
  <c r="G166"/>
  <c r="BA169"/>
  <c r="BL169"/>
  <c r="BL171"/>
  <c r="AZ171" s="1"/>
  <c r="G172"/>
  <c r="BA174"/>
  <c r="BL174"/>
  <c r="BA176"/>
  <c r="AZ176" s="1"/>
  <c r="G179"/>
  <c r="G182"/>
  <c r="BA185"/>
  <c r="AZ185" s="1"/>
  <c r="BL185"/>
  <c r="BL187"/>
  <c r="AZ187" s="1"/>
  <c r="G188"/>
  <c r="BA190"/>
  <c r="AZ190" s="1"/>
  <c r="BL190"/>
  <c r="BA192"/>
  <c r="AZ192" s="1"/>
  <c r="G195"/>
  <c r="G198"/>
  <c r="BA201"/>
  <c r="BL201"/>
  <c r="G202"/>
  <c r="G18"/>
  <c r="BA19"/>
  <c r="BL19"/>
  <c r="BA21"/>
  <c r="BL21"/>
  <c r="BA22"/>
  <c r="AZ22" s="1"/>
  <c r="BA24"/>
  <c r="AZ24" s="1"/>
  <c r="BL24"/>
  <c r="BA25"/>
  <c r="AZ25" s="1"/>
  <c r="BL27"/>
  <c r="G28"/>
  <c r="BL29"/>
  <c r="G30"/>
  <c r="G32"/>
  <c r="BA32"/>
  <c r="AZ32" s="1"/>
  <c r="BL32"/>
  <c r="BA34"/>
  <c r="AZ34" s="1"/>
  <c r="BA36"/>
  <c r="AZ36" s="1"/>
  <c r="BA37"/>
  <c r="AZ37" s="1"/>
  <c r="BA39"/>
  <c r="BL39"/>
  <c r="BA40"/>
  <c r="AZ40" s="1"/>
  <c r="BA42"/>
  <c r="AZ42" s="1"/>
  <c r="BL42"/>
  <c r="BL44"/>
  <c r="G45"/>
  <c r="BA46"/>
  <c r="AZ46" s="1"/>
  <c r="BL46"/>
  <c r="BL48"/>
  <c r="G49"/>
  <c r="G51"/>
  <c r="G55"/>
  <c r="G58"/>
  <c r="G60"/>
  <c r="BL61"/>
  <c r="G62"/>
  <c r="G64"/>
  <c r="BA65"/>
  <c r="BL65"/>
  <c r="BA67"/>
  <c r="BL67"/>
  <c r="BA68"/>
  <c r="AZ68" s="1"/>
  <c r="BA69"/>
  <c r="AZ69" s="1"/>
  <c r="BA71"/>
  <c r="BL71"/>
  <c r="BL73"/>
  <c r="G74"/>
  <c r="BL75"/>
  <c r="G76"/>
  <c r="G78"/>
  <c r="G81"/>
  <c r="G85"/>
  <c r="G87"/>
  <c r="G89"/>
  <c r="G92"/>
  <c r="BL93"/>
  <c r="G94"/>
  <c r="BA95"/>
  <c r="BL95"/>
  <c r="BA96"/>
  <c r="AZ96" s="1"/>
  <c r="BA97"/>
  <c r="AZ97" s="1"/>
  <c r="BL99"/>
  <c r="G100"/>
  <c r="G102"/>
  <c r="G105"/>
  <c r="BA107"/>
  <c r="BL107"/>
  <c r="BL108"/>
  <c r="G109"/>
  <c r="BL110"/>
  <c r="G111"/>
  <c r="K100" i="43"/>
  <c r="H42" i="33"/>
  <c r="AB42" s="1"/>
  <c r="U13"/>
  <c r="W40"/>
  <c r="S26"/>
  <c r="U40"/>
  <c r="U23" i="35"/>
  <c r="AB23"/>
  <c r="AB9" i="36"/>
  <c r="U9"/>
  <c r="AC24"/>
  <c r="W24"/>
  <c r="AC43" i="39"/>
  <c r="W43"/>
  <c r="U45"/>
  <c r="AB45"/>
  <c r="AZ497" i="3"/>
  <c r="W12" i="34"/>
  <c r="AC12"/>
  <c r="U12" i="35"/>
  <c r="AB12"/>
  <c r="AB34"/>
  <c r="U34"/>
  <c r="W12" i="36"/>
  <c r="AC12"/>
  <c r="AB44" i="39"/>
  <c r="U44"/>
  <c r="AC37"/>
  <c r="W37"/>
  <c r="AC12" i="40"/>
  <c r="W12"/>
  <c r="AZ362" i="3"/>
  <c r="AZ521"/>
  <c r="AZ581"/>
  <c r="BA551"/>
  <c r="BL550"/>
  <c r="BA550"/>
  <c r="BL548"/>
  <c r="AZ548" s="1"/>
  <c r="BL15"/>
  <c r="AZ15" s="1"/>
  <c r="BA398"/>
  <c r="AZ398" s="1"/>
  <c r="G401"/>
  <c r="BL401"/>
  <c r="BL403"/>
  <c r="AZ403" s="1"/>
  <c r="BA404"/>
  <c r="AZ404" s="1"/>
  <c r="BL406"/>
  <c r="AZ406" s="1"/>
  <c r="BA407"/>
  <c r="AZ407" s="1"/>
  <c r="G410"/>
  <c r="G411"/>
  <c r="G412"/>
  <c r="BL412"/>
  <c r="BA413"/>
  <c r="AZ413" s="1"/>
  <c r="BA414"/>
  <c r="AZ414" s="1"/>
  <c r="G417"/>
  <c r="BL417"/>
  <c r="BL419"/>
  <c r="AZ419" s="1"/>
  <c r="BA420"/>
  <c r="AZ420" s="1"/>
  <c r="BL422"/>
  <c r="AZ422" s="1"/>
  <c r="BA423"/>
  <c r="AZ423" s="1"/>
  <c r="BA424"/>
  <c r="AZ424" s="1"/>
  <c r="G427"/>
  <c r="G428"/>
  <c r="BL428"/>
  <c r="BA429"/>
  <c r="AZ429" s="1"/>
  <c r="BA430"/>
  <c r="AZ430" s="1"/>
  <c r="G433"/>
  <c r="BL433"/>
  <c r="BL435"/>
  <c r="AZ435" s="1"/>
  <c r="BA436"/>
  <c r="AZ436" s="1"/>
  <c r="BL438"/>
  <c r="AZ438" s="1"/>
  <c r="BA439"/>
  <c r="AZ439" s="1"/>
  <c r="BA440"/>
  <c r="AZ440" s="1"/>
  <c r="BL442"/>
  <c r="AZ442" s="1"/>
  <c r="G445"/>
  <c r="BL445"/>
  <c r="G448"/>
  <c r="G449"/>
  <c r="BL449"/>
  <c r="BL451"/>
  <c r="AZ451" s="1"/>
  <c r="BA452"/>
  <c r="AZ452" s="1"/>
  <c r="BL454"/>
  <c r="AZ454" s="1"/>
  <c r="BA455"/>
  <c r="AZ455" s="1"/>
  <c r="BA456"/>
  <c r="AZ456" s="1"/>
  <c r="BL458"/>
  <c r="AZ458" s="1"/>
  <c r="G461"/>
  <c r="BL461"/>
  <c r="G464"/>
  <c r="G465"/>
  <c r="H82" i="43"/>
  <c r="H49"/>
  <c r="S15" i="37"/>
  <c r="F29" i="6"/>
  <c r="AZ327" i="3"/>
  <c r="AZ310"/>
  <c r="AZ371"/>
  <c r="AZ336"/>
  <c r="AZ329"/>
  <c r="AZ321"/>
  <c r="AZ304"/>
  <c r="AB33" i="40"/>
  <c r="W14" i="37"/>
  <c r="F123" i="33"/>
  <c r="G123" s="1"/>
  <c r="H123" s="1"/>
  <c r="I123" s="1"/>
  <c r="J123" s="1"/>
  <c r="K123" s="1"/>
  <c r="L123" s="1"/>
  <c r="M123" s="1"/>
  <c r="AA41" i="34"/>
  <c r="F42" i="33"/>
  <c r="AA42" s="1"/>
  <c r="AZ569" i="3"/>
  <c r="AZ577"/>
  <c r="AZ557"/>
  <c r="AZ516"/>
  <c r="AZ524"/>
  <c r="AZ532"/>
  <c r="AZ536"/>
  <c r="AZ544"/>
  <c r="AZ554"/>
  <c r="AZ558"/>
  <c r="AZ582"/>
  <c r="AC28" i="21"/>
  <c r="U31" i="33"/>
  <c r="AA14" i="34"/>
  <c r="AB46"/>
  <c r="AA14" i="33"/>
  <c r="AA13" i="35"/>
  <c r="U23" i="40"/>
  <c r="AA29" i="35"/>
  <c r="U33"/>
  <c r="S34" i="34"/>
  <c r="BL586" i="3"/>
  <c r="BL585"/>
  <c r="AZ585" s="1"/>
  <c r="F9" i="33"/>
  <c r="F15"/>
  <c r="AA15" s="1"/>
  <c r="F12" i="34"/>
  <c r="J23" i="35"/>
  <c r="J36"/>
  <c r="H12" i="36"/>
  <c r="H24"/>
  <c r="AB24" s="1"/>
  <c r="H39" i="40"/>
  <c r="G574" i="3"/>
  <c r="G558"/>
  <c r="AZ402"/>
  <c r="AZ418"/>
  <c r="AZ434"/>
  <c r="AZ443"/>
  <c r="AZ445"/>
  <c r="AZ446"/>
  <c r="AZ449"/>
  <c r="AZ450"/>
  <c r="AZ459"/>
  <c r="AZ461"/>
  <c r="AZ462"/>
  <c r="AZ477"/>
  <c r="AZ481"/>
  <c r="BA466"/>
  <c r="AZ466" s="1"/>
  <c r="BA467"/>
  <c r="AZ467" s="1"/>
  <c r="BL469"/>
  <c r="AZ469" s="1"/>
  <c r="BA470"/>
  <c r="AZ470" s="1"/>
  <c r="BA471"/>
  <c r="AZ471" s="1"/>
  <c r="BA472"/>
  <c r="AZ472" s="1"/>
  <c r="G475"/>
  <c r="G476"/>
  <c r="BL476"/>
  <c r="AZ476" s="1"/>
  <c r="G479"/>
  <c r="G480"/>
  <c r="BL480"/>
  <c r="AZ480" s="1"/>
  <c r="G483"/>
  <c r="BA484"/>
  <c r="AZ484" s="1"/>
  <c r="BA485"/>
  <c r="AZ485" s="1"/>
  <c r="BL487"/>
  <c r="AZ487" s="1"/>
  <c r="BA488"/>
  <c r="AZ488" s="1"/>
  <c r="BA489"/>
  <c r="AZ489" s="1"/>
  <c r="BL491"/>
  <c r="AZ491" s="1"/>
  <c r="BA492"/>
  <c r="AZ492" s="1"/>
  <c r="G313"/>
  <c r="BA315"/>
  <c r="AZ315" s="1"/>
  <c r="BL316"/>
  <c r="AZ316" s="1"/>
  <c r="G318"/>
  <c r="G329"/>
  <c r="BA331"/>
  <c r="AZ331" s="1"/>
  <c r="BL332"/>
  <c r="AZ332" s="1"/>
  <c r="G334"/>
  <c r="BL346"/>
  <c r="AZ346" s="1"/>
  <c r="G349"/>
  <c r="BA350"/>
  <c r="AZ350" s="1"/>
  <c r="BL353"/>
  <c r="AZ353" s="1"/>
  <c r="G362"/>
  <c r="G366"/>
  <c r="BA368"/>
  <c r="AZ368" s="1"/>
  <c r="G378"/>
  <c r="BL383"/>
  <c r="AZ383" s="1"/>
  <c r="BA385"/>
  <c r="AZ385" s="1"/>
  <c r="BA388"/>
  <c r="AZ388" s="1"/>
  <c r="BA392"/>
  <c r="AZ392" s="1"/>
  <c r="G395"/>
  <c r="BL395"/>
  <c r="AZ395" s="1"/>
  <c r="G208"/>
  <c r="BL208"/>
  <c r="AZ208" s="1"/>
  <c r="G211"/>
  <c r="BL211"/>
  <c r="AZ211" s="1"/>
  <c r="BA212"/>
  <c r="AZ212" s="1"/>
  <c r="BL214"/>
  <c r="AZ214" s="1"/>
  <c r="G217"/>
  <c r="BL217"/>
  <c r="AZ217" s="1"/>
  <c r="G220"/>
  <c r="BL220"/>
  <c r="AZ220" s="1"/>
  <c r="BA221"/>
  <c r="AZ221" s="1"/>
  <c r="BA222"/>
  <c r="AZ222" s="1"/>
  <c r="BA223"/>
  <c r="AZ223" s="1"/>
  <c r="G226"/>
  <c r="BL226"/>
  <c r="AZ226" s="1"/>
  <c r="G229"/>
  <c r="G230"/>
  <c r="BL230"/>
  <c r="AZ230" s="1"/>
  <c r="BA231"/>
  <c r="AZ231" s="1"/>
  <c r="BA232"/>
  <c r="AZ232" s="1"/>
  <c r="BA233"/>
  <c r="AZ233" s="1"/>
  <c r="BL235"/>
  <c r="AZ235" s="1"/>
  <c r="BA236"/>
  <c r="AZ236" s="1"/>
  <c r="BA237"/>
  <c r="AZ237" s="1"/>
  <c r="G240"/>
  <c r="G241"/>
  <c r="G242"/>
  <c r="BL242"/>
  <c r="AZ242" s="1"/>
  <c r="G245"/>
  <c r="G246"/>
  <c r="BL246"/>
  <c r="AZ246" s="1"/>
  <c r="BA247"/>
  <c r="AZ247" s="1"/>
  <c r="BA248"/>
  <c r="AZ248" s="1"/>
  <c r="BA249"/>
  <c r="AZ249" s="1"/>
  <c r="BL251"/>
  <c r="AZ251" s="1"/>
  <c r="BA252"/>
  <c r="AZ252" s="1"/>
  <c r="BA253"/>
  <c r="AZ253" s="1"/>
  <c r="G256"/>
  <c r="G257"/>
  <c r="G258"/>
  <c r="BL258"/>
  <c r="AZ258" s="1"/>
  <c r="G261"/>
  <c r="G262"/>
  <c r="BL262"/>
  <c r="AZ262" s="1"/>
  <c r="G265"/>
  <c r="G266"/>
  <c r="BL266"/>
  <c r="BA267"/>
  <c r="AZ267" s="1"/>
  <c r="BA268"/>
  <c r="AZ268" s="1"/>
  <c r="BA269"/>
  <c r="AZ269" s="1"/>
  <c r="BL271"/>
  <c r="AZ271" s="1"/>
  <c r="BA272"/>
  <c r="AZ272" s="1"/>
  <c r="BA273"/>
  <c r="AZ273" s="1"/>
  <c r="BL275"/>
  <c r="AZ275" s="1"/>
  <c r="BA276"/>
  <c r="AZ276" s="1"/>
  <c r="G279"/>
  <c r="G280"/>
  <c r="G281"/>
  <c r="BL281"/>
  <c r="BA282"/>
  <c r="AZ282" s="1"/>
  <c r="BA283"/>
  <c r="AZ283" s="1"/>
  <c r="G286"/>
  <c r="BL286"/>
  <c r="BL288"/>
  <c r="AZ288" s="1"/>
  <c r="BA289"/>
  <c r="AZ289" s="1"/>
  <c r="BL291"/>
  <c r="AZ291" s="1"/>
  <c r="BA292"/>
  <c r="AZ292" s="1"/>
  <c r="G295"/>
  <c r="G296"/>
  <c r="G297"/>
  <c r="BL297"/>
  <c r="BA298"/>
  <c r="AZ298" s="1"/>
  <c r="BA299"/>
  <c r="AZ299" s="1"/>
  <c r="G302"/>
  <c r="G114"/>
  <c r="G115"/>
  <c r="BL117"/>
  <c r="AZ117" s="1"/>
  <c r="BA118"/>
  <c r="AZ118" s="1"/>
  <c r="BL119"/>
  <c r="AZ119" s="1"/>
  <c r="BA121"/>
  <c r="AZ121" s="1"/>
  <c r="G124"/>
  <c r="G127"/>
  <c r="G130"/>
  <c r="G131"/>
  <c r="BL133"/>
  <c r="AZ133" s="1"/>
  <c r="BA134"/>
  <c r="AZ134" s="1"/>
  <c r="BL135"/>
  <c r="AZ135" s="1"/>
  <c r="BA137"/>
  <c r="AZ137" s="1"/>
  <c r="BA138"/>
  <c r="AZ138" s="1"/>
  <c r="BL139"/>
  <c r="AZ139" s="1"/>
  <c r="BA141"/>
  <c r="AZ141" s="1"/>
  <c r="BA142"/>
  <c r="AZ142" s="1"/>
  <c r="BL143"/>
  <c r="AZ143" s="1"/>
  <c r="BA145"/>
  <c r="AZ145" s="1"/>
  <c r="BA146"/>
  <c r="AZ146" s="1"/>
  <c r="BA148"/>
  <c r="AZ148" s="1"/>
  <c r="BL149"/>
  <c r="G152"/>
  <c r="BL154"/>
  <c r="AZ154" s="1"/>
  <c r="BA156"/>
  <c r="AZ156" s="1"/>
  <c r="BL157"/>
  <c r="G160"/>
  <c r="BL162"/>
  <c r="AZ162" s="1"/>
  <c r="BA164"/>
  <c r="AZ164" s="1"/>
  <c r="BL165"/>
  <c r="G168"/>
  <c r="BL170"/>
  <c r="AZ170" s="1"/>
  <c r="BA172"/>
  <c r="AZ172" s="1"/>
  <c r="BL173"/>
  <c r="G176"/>
  <c r="BL178"/>
  <c r="AZ178" s="1"/>
  <c r="BA180"/>
  <c r="AZ180" s="1"/>
  <c r="BL181"/>
  <c r="G184"/>
  <c r="BL186"/>
  <c r="AZ186" s="1"/>
  <c r="BA188"/>
  <c r="AZ188" s="1"/>
  <c r="BL189"/>
  <c r="G192"/>
  <c r="BL194"/>
  <c r="AZ194" s="1"/>
  <c r="BA196"/>
  <c r="AZ196" s="1"/>
  <c r="BL197"/>
  <c r="G200"/>
  <c r="G100" i="43"/>
  <c r="G204" i="3"/>
  <c r="G206"/>
  <c r="G207"/>
  <c r="BL207"/>
  <c r="AZ207" s="1"/>
  <c r="BA18"/>
  <c r="AZ18" s="1"/>
  <c r="BL20"/>
  <c r="AZ20" s="1"/>
  <c r="G23"/>
  <c r="BL23"/>
  <c r="AZ23" s="1"/>
  <c r="G26"/>
  <c r="BL26"/>
  <c r="BA27"/>
  <c r="AZ27" s="1"/>
  <c r="BA28"/>
  <c r="AZ28" s="1"/>
  <c r="BA29"/>
  <c r="AZ29" s="1"/>
  <c r="BL31"/>
  <c r="AZ31" s="1"/>
  <c r="BL33"/>
  <c r="AZ33" s="1"/>
  <c r="G35"/>
  <c r="BL35"/>
  <c r="G37"/>
  <c r="G38"/>
  <c r="BL38"/>
  <c r="AZ38" s="1"/>
  <c r="G41"/>
  <c r="BL41"/>
  <c r="BL43"/>
  <c r="AZ43" s="1"/>
  <c r="BA44"/>
  <c r="AZ44" s="1"/>
  <c r="BA45"/>
  <c r="AZ45" s="1"/>
  <c r="BL47"/>
  <c r="AZ47" s="1"/>
  <c r="BA48"/>
  <c r="AZ48" s="1"/>
  <c r="BL50"/>
  <c r="AZ50" s="1"/>
  <c r="G53"/>
  <c r="G54"/>
  <c r="BL54"/>
  <c r="AZ54" s="1"/>
  <c r="G57"/>
  <c r="BL57"/>
  <c r="AZ57" s="1"/>
  <c r="BL59"/>
  <c r="AZ59" s="1"/>
  <c r="BA60"/>
  <c r="AZ60" s="1"/>
  <c r="BA61"/>
  <c r="AZ61" s="1"/>
  <c r="BL63"/>
  <c r="AZ63" s="1"/>
  <c r="M108" i="43"/>
  <c r="M100"/>
  <c r="I108"/>
  <c r="I100"/>
  <c r="E108"/>
  <c r="E100"/>
  <c r="BA64" i="3"/>
  <c r="AZ64" s="1"/>
  <c r="BL66"/>
  <c r="AZ66" s="1"/>
  <c r="G69"/>
  <c r="G70"/>
  <c r="BL70"/>
  <c r="AZ70" s="1"/>
  <c r="BL72"/>
  <c r="AZ72" s="1"/>
  <c r="BA73"/>
  <c r="AZ73" s="1"/>
  <c r="BA74"/>
  <c r="AZ74" s="1"/>
  <c r="BA75"/>
  <c r="AZ75" s="1"/>
  <c r="BL77"/>
  <c r="AZ77" s="1"/>
  <c r="G79"/>
  <c r="G80"/>
  <c r="BL80"/>
  <c r="G82"/>
  <c r="G83"/>
  <c r="G84"/>
  <c r="BL84"/>
  <c r="BL86"/>
  <c r="AZ86" s="1"/>
  <c r="G88"/>
  <c r="BL88"/>
  <c r="G91"/>
  <c r="BL91"/>
  <c r="AZ91" s="1"/>
  <c r="BA92"/>
  <c r="AZ92" s="1"/>
  <c r="BA93"/>
  <c r="AZ93" s="1"/>
  <c r="BA94"/>
  <c r="AZ94" s="1"/>
  <c r="G97"/>
  <c r="G98"/>
  <c r="BL98"/>
  <c r="AZ98" s="1"/>
  <c r="BA99"/>
  <c r="AZ99" s="1"/>
  <c r="BL101"/>
  <c r="AZ101" s="1"/>
  <c r="G104"/>
  <c r="BL104"/>
  <c r="AZ104" s="1"/>
  <c r="BA106"/>
  <c r="AZ106" s="1"/>
  <c r="BA108"/>
  <c r="AZ108" s="1"/>
  <c r="BA109"/>
  <c r="AZ109" s="1"/>
  <c r="BA110"/>
  <c r="AZ110" s="1"/>
  <c r="BA112"/>
  <c r="AZ112" s="1"/>
  <c r="F3" i="35"/>
  <c r="J51" i="15"/>
  <c r="I20" i="66"/>
  <c r="A2" i="9"/>
  <c r="A4" i="52"/>
  <c r="B41" i="72" s="1"/>
  <c r="A118" i="9"/>
  <c r="U43" i="33"/>
  <c r="J41"/>
  <c r="W44"/>
  <c r="W29"/>
  <c r="S45"/>
  <c r="U46"/>
  <c r="U35"/>
  <c r="U33"/>
  <c r="AB26"/>
  <c r="H48" i="43"/>
  <c r="H50"/>
  <c r="H75"/>
  <c r="A15" i="62"/>
  <c r="B61" i="72" s="1"/>
  <c r="D93" i="9"/>
  <c r="E12" i="6"/>
  <c r="E15"/>
  <c r="E60" i="40" s="1"/>
  <c r="K6" i="1"/>
  <c r="E13" i="6"/>
  <c r="E58" i="40"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R12"/>
  <c r="B12"/>
  <c r="E12" s="1"/>
  <c r="S10"/>
  <c r="AQ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F53" i="9" s="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AA29"/>
  <c r="AB29"/>
  <c r="W38"/>
  <c r="H41"/>
  <c r="F121"/>
  <c r="G121" s="1"/>
  <c r="H121" s="1"/>
  <c r="I121" s="1"/>
  <c r="J121" s="1"/>
  <c r="K121" s="1"/>
  <c r="L121" s="1"/>
  <c r="M121" s="1"/>
  <c r="U42"/>
  <c r="S42"/>
  <c r="G111"/>
  <c r="F36" s="1"/>
  <c r="G108"/>
  <c r="H108" s="1"/>
  <c r="I108" s="1"/>
  <c r="J108" s="1"/>
  <c r="K108" s="1"/>
  <c r="L108" s="1"/>
  <c r="M108" s="1"/>
  <c r="J35"/>
  <c r="S37"/>
  <c r="AA37"/>
  <c r="S39"/>
  <c r="F101"/>
  <c r="J32"/>
  <c r="S46"/>
  <c r="W43"/>
  <c r="S43"/>
  <c r="F91"/>
  <c r="H27"/>
  <c r="F87"/>
  <c r="H25" s="1"/>
  <c r="F25"/>
  <c r="J23"/>
  <c r="F85"/>
  <c r="H23"/>
  <c r="F81"/>
  <c r="F19"/>
  <c r="S19" s="1"/>
  <c r="W19"/>
  <c r="J17"/>
  <c r="F79"/>
  <c r="S15"/>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BA5" s="1"/>
  <c r="E27" i="6" s="1"/>
  <c r="E10"/>
  <c r="E11"/>
  <c r="E61" i="39" s="1"/>
  <c r="BL17" i="3"/>
  <c r="AZ17" s="1"/>
  <c r="BL13"/>
  <c r="E65" i="39"/>
  <c r="G30" i="6"/>
  <c r="G31" s="1"/>
  <c r="J56" i="9"/>
  <c r="J57" s="1"/>
  <c r="A24" i="51"/>
  <c r="B18" i="72" s="1"/>
  <c r="U29" i="34"/>
  <c r="C106" i="43"/>
  <c r="E14" i="6"/>
  <c r="E64" i="39" s="1"/>
  <c r="E5" i="6"/>
  <c r="D9" i="11" s="1"/>
  <c r="C9" s="1"/>
  <c r="J105" i="43"/>
  <c r="I115"/>
  <c r="J115" s="1"/>
  <c r="K115" s="1"/>
  <c r="L115" s="1"/>
  <c r="M115" s="1"/>
  <c r="G102"/>
  <c r="P10" i="1"/>
  <c r="H22" i="43"/>
  <c r="L101"/>
  <c r="L109" s="1"/>
  <c r="H101"/>
  <c r="D101"/>
  <c r="D109" s="1"/>
  <c r="M101"/>
  <c r="M109" s="1"/>
  <c r="I101"/>
  <c r="I109" s="1"/>
  <c r="E101"/>
  <c r="G22"/>
  <c r="E32" i="6"/>
  <c r="L19" s="1"/>
  <c r="G1" i="68"/>
  <c r="K1" i="12"/>
  <c r="F30" i="6"/>
  <c r="F31" s="1"/>
  <c r="E28"/>
  <c r="N103" i="43"/>
  <c r="N105"/>
  <c r="N106"/>
  <c r="J107"/>
  <c r="J103"/>
  <c r="J102"/>
  <c r="F107"/>
  <c r="F102"/>
  <c r="F106"/>
  <c r="C107"/>
  <c r="C105"/>
  <c r="C103"/>
  <c r="K107"/>
  <c r="K102"/>
  <c r="K104"/>
  <c r="G107"/>
  <c r="G103"/>
  <c r="G104"/>
  <c r="I118"/>
  <c r="J118" s="1"/>
  <c r="K118" s="1"/>
  <c r="L118" s="1"/>
  <c r="M118" s="1"/>
  <c r="D116"/>
  <c r="E116" s="1"/>
  <c r="F116" s="1"/>
  <c r="G116" s="1"/>
  <c r="H116" s="1"/>
  <c r="D118"/>
  <c r="E118" s="1"/>
  <c r="F118" s="1"/>
  <c r="G118"/>
  <c r="H118" s="1"/>
  <c r="B116"/>
  <c r="C116" s="1"/>
  <c r="B118"/>
  <c r="C118" s="1"/>
  <c r="I117"/>
  <c r="J117" s="1"/>
  <c r="K117" s="1"/>
  <c r="L117" s="1"/>
  <c r="M117" s="1"/>
  <c r="E57" i="40"/>
  <c r="B117" i="43"/>
  <c r="C117" s="1"/>
  <c r="I116"/>
  <c r="J116" s="1"/>
  <c r="K116" s="1"/>
  <c r="L116" s="1"/>
  <c r="M116" s="1"/>
  <c r="D115"/>
  <c r="E115" s="1"/>
  <c r="F115" s="1"/>
  <c r="G115" s="1"/>
  <c r="H115" s="1"/>
  <c r="G106"/>
  <c r="K106"/>
  <c r="K105"/>
  <c r="C102"/>
  <c r="F103"/>
  <c r="F105"/>
  <c r="J106"/>
  <c r="N104"/>
  <c r="N107"/>
  <c r="E56" i="40"/>
  <c r="AR12" i="1"/>
  <c r="AQ12"/>
  <c r="T12"/>
  <c r="E19" i="69"/>
  <c r="E19" i="68"/>
  <c r="E19" i="11"/>
  <c r="E1" i="73"/>
  <c r="K1" s="1"/>
  <c r="G41" i="69"/>
  <c r="G22"/>
  <c r="G41" i="68"/>
  <c r="G22"/>
  <c r="G27" i="12"/>
  <c r="G26"/>
  <c r="G41" i="11"/>
  <c r="G22"/>
  <c r="G25" i="12"/>
  <c r="C109" i="43"/>
  <c r="J109"/>
  <c r="C100"/>
  <c r="K109"/>
  <c r="E11"/>
  <c r="E10"/>
  <c r="E9"/>
  <c r="E8"/>
  <c r="E81"/>
  <c r="B79" s="1"/>
  <c r="F109"/>
  <c r="AJ11"/>
  <c r="AJ13" s="1"/>
  <c r="AH11"/>
  <c r="AH13" s="1"/>
  <c r="AF11"/>
  <c r="AF13" s="1"/>
  <c r="AD11"/>
  <c r="AD13" s="1"/>
  <c r="AB11"/>
  <c r="AB13" s="1"/>
  <c r="Z11"/>
  <c r="Z13" s="1"/>
  <c r="Z7"/>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E7" s="1"/>
  <c r="C7" i="21"/>
  <c r="C58" s="1"/>
  <c r="D58" s="1"/>
  <c r="C7" i="40"/>
  <c r="C63" s="1"/>
  <c r="M47" i="9"/>
  <c r="G19" i="43"/>
  <c r="M20" s="1"/>
  <c r="T35" i="4"/>
  <c r="A19" i="51" s="1"/>
  <c r="B14" i="72" s="1"/>
  <c r="C46" i="36"/>
  <c r="D46" s="1"/>
  <c r="E46" s="1"/>
  <c r="C59" i="34"/>
  <c r="D59" s="1"/>
  <c r="C52" i="37"/>
  <c r="D52" s="1"/>
  <c r="A4" i="51"/>
  <c r="B6" i="72" s="1"/>
  <c r="C94" i="9"/>
  <c r="C4" i="12"/>
  <c r="C92" i="9"/>
  <c r="H62" i="43"/>
  <c r="H66"/>
  <c r="H61"/>
  <c r="H65"/>
  <c r="H60"/>
  <c r="H64"/>
  <c r="H59"/>
  <c r="H63"/>
  <c r="H67"/>
  <c r="H55"/>
  <c r="H51"/>
  <c r="H56"/>
  <c r="H76"/>
  <c r="H72"/>
  <c r="H77"/>
  <c r="L20" i="6"/>
  <c r="E62" i="39"/>
  <c r="E56"/>
  <c r="E51" i="40"/>
  <c r="B6" i="1"/>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J10" s="1"/>
  <c r="F11" i="15"/>
  <c r="W30" i="40"/>
  <c r="C19" i="39"/>
  <c r="C15" i="40"/>
  <c r="C17"/>
  <c r="C23"/>
  <c r="C21"/>
  <c r="U30"/>
  <c r="B54" i="43"/>
  <c r="B65"/>
  <c r="B49"/>
  <c r="B52"/>
  <c r="B56"/>
  <c r="B60"/>
  <c r="B63"/>
  <c r="B67"/>
  <c r="B22" i="49"/>
  <c r="B10"/>
  <c r="B7"/>
  <c r="B16"/>
  <c r="B14"/>
  <c r="E7"/>
  <c r="E22"/>
  <c r="D23" i="15"/>
  <c r="D22"/>
  <c r="E6" i="49"/>
  <c r="B5"/>
  <c r="E4" i="4" s="1"/>
  <c r="B9" i="49"/>
  <c r="B13"/>
  <c r="E16"/>
  <c r="B11"/>
  <c r="E8"/>
  <c r="E21"/>
  <c r="E10"/>
  <c r="E9"/>
  <c r="E5"/>
  <c r="B6"/>
  <c r="B4"/>
  <c r="B8"/>
  <c r="E4"/>
  <c r="E11"/>
  <c r="M6" i="67"/>
  <c r="L48" i="15"/>
  <c r="M6"/>
  <c r="M29" i="67"/>
  <c r="M8"/>
  <c r="M8" i="15"/>
  <c r="M22"/>
  <c r="F36" i="67"/>
  <c r="F6" i="15"/>
  <c r="F26" i="67"/>
  <c r="F43" i="15"/>
  <c r="M26" i="67"/>
  <c r="F26" i="15"/>
  <c r="M28" i="67"/>
  <c r="F9" i="15"/>
  <c r="C76"/>
  <c r="F40" i="67"/>
  <c r="J15"/>
  <c r="M26" i="15"/>
  <c r="F16" i="67"/>
  <c r="M29" i="15"/>
  <c r="F13" i="67"/>
  <c r="F7" i="15"/>
  <c r="F37" i="67"/>
  <c r="F13" i="15"/>
  <c r="F38"/>
  <c r="F7" i="67"/>
  <c r="M23"/>
  <c r="L47"/>
  <c r="F42" i="15"/>
  <c r="F8"/>
  <c r="F43" i="67"/>
  <c r="M24"/>
  <c r="F6"/>
  <c r="M22"/>
  <c r="F38"/>
  <c r="C76"/>
  <c r="L48"/>
  <c r="F8"/>
  <c r="F9"/>
  <c r="F16" i="15"/>
  <c r="M9"/>
  <c r="M23"/>
  <c r="M9" i="67"/>
  <c r="J15" i="15"/>
  <c r="L47"/>
  <c r="M24"/>
  <c r="F40"/>
  <c r="F37"/>
  <c r="M28"/>
  <c r="F36"/>
  <c r="F42" i="67"/>
  <c r="G1" i="73"/>
  <c r="AZ95" i="3" l="1"/>
  <c r="AZ71"/>
  <c r="AZ67"/>
  <c r="AZ65"/>
  <c r="AZ39"/>
  <c r="AZ21"/>
  <c r="AZ201"/>
  <c r="AZ174"/>
  <c r="AZ169"/>
  <c r="AZ122"/>
  <c r="AZ300"/>
  <c r="AZ287"/>
  <c r="AZ277"/>
  <c r="AZ263"/>
  <c r="AZ259"/>
  <c r="AZ227"/>
  <c r="AZ396"/>
  <c r="AZ386"/>
  <c r="AZ486"/>
  <c r="AZ405"/>
  <c r="AA40" i="40"/>
  <c r="S40"/>
  <c r="AA34" i="35"/>
  <c r="S34"/>
  <c r="AA9" i="34"/>
  <c r="S9"/>
  <c r="AA38" i="33"/>
  <c r="S38"/>
  <c r="AB39" i="37"/>
  <c r="U39"/>
  <c r="G101" i="33"/>
  <c r="H101" s="1"/>
  <c r="I101" s="1"/>
  <c r="J101" s="1"/>
  <c r="K101" s="1"/>
  <c r="L101" s="1"/>
  <c r="M101" s="1"/>
  <c r="H32"/>
  <c r="F32"/>
  <c r="T10" i="1"/>
  <c r="AR10"/>
  <c r="C7" i="43"/>
  <c r="U39" i="40"/>
  <c r="AB39"/>
  <c r="U12" i="36"/>
  <c r="AB12"/>
  <c r="AC23" i="35"/>
  <c r="W23"/>
  <c r="AC36"/>
  <c r="W36"/>
  <c r="S12" i="34"/>
  <c r="AA12"/>
  <c r="AA9" i="33"/>
  <c r="S9"/>
  <c r="W41"/>
  <c r="AC41"/>
  <c r="C58"/>
  <c r="D58" s="1"/>
  <c r="E58" s="1"/>
  <c r="F58" s="1"/>
  <c r="G58" s="1"/>
  <c r="H58" s="1"/>
  <c r="I58" s="1"/>
  <c r="J58" s="1"/>
  <c r="K58" s="1"/>
  <c r="L58" s="1"/>
  <c r="M58" s="1"/>
  <c r="N58" s="1"/>
  <c r="O58" s="1"/>
  <c r="I7"/>
  <c r="G7"/>
  <c r="D22" i="43"/>
  <c r="C4" i="4"/>
  <c r="K4" s="1"/>
  <c r="B46" i="48" s="1"/>
  <c r="C53" i="15"/>
  <c r="C10" i="67"/>
  <c r="C53"/>
  <c r="L58"/>
  <c r="L58" i="15"/>
  <c r="Q73" s="1"/>
  <c r="N59" i="67"/>
  <c r="L59" s="1"/>
  <c r="M59"/>
  <c r="M59" i="15"/>
  <c r="J53" i="67"/>
  <c r="I54"/>
  <c r="N59" i="15"/>
  <c r="I54"/>
  <c r="J53"/>
  <c r="L56" s="1"/>
  <c r="AQ13" i="1"/>
  <c r="AZ13" i="3"/>
  <c r="M6" i="1"/>
  <c r="O6" s="1"/>
  <c r="P6" s="1"/>
  <c r="F30" i="68"/>
  <c r="C30" s="1"/>
  <c r="F30" i="11"/>
  <c r="C48" s="1"/>
  <c r="F28" i="67"/>
  <c r="C28" s="1"/>
  <c r="F31" i="12"/>
  <c r="F52" i="9"/>
  <c r="C31" i="12"/>
  <c r="M18" i="67"/>
  <c r="F32"/>
  <c r="F60" s="1"/>
  <c r="F30" i="69"/>
  <c r="C48" s="1"/>
  <c r="F32" i="15"/>
  <c r="F60" s="1"/>
  <c r="M18"/>
  <c r="F28"/>
  <c r="C28" s="1"/>
  <c r="E63" i="39"/>
  <c r="E66" s="1"/>
  <c r="T11" i="1"/>
  <c r="D9" i="69"/>
  <c r="C9" s="1"/>
  <c r="D19" i="12"/>
  <c r="C19" s="1"/>
  <c r="AQ9" i="1"/>
  <c r="AR11"/>
  <c r="E59" i="40"/>
  <c r="D68" i="39"/>
  <c r="D70" s="1"/>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77" i="9"/>
  <c r="C74" s="1"/>
  <c r="C30" i="69"/>
  <c r="D9" i="68"/>
  <c r="C9" s="1"/>
  <c r="K20" i="6"/>
  <c r="S7" i="1" s="1"/>
  <c r="E7" i="70"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D113" i="43"/>
  <c r="J2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C19" i="43"/>
  <c r="J59" i="9"/>
  <c r="J61" s="1"/>
  <c r="K21" i="6"/>
  <c r="M21" s="1"/>
  <c r="I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K22"/>
  <c r="M22" s="1"/>
  <c r="I22" s="1"/>
  <c r="E102" i="43"/>
  <c r="E104"/>
  <c r="E106"/>
  <c r="E107"/>
  <c r="E103"/>
  <c r="E105"/>
  <c r="M102"/>
  <c r="M104"/>
  <c r="M106"/>
  <c r="M107"/>
  <c r="M103"/>
  <c r="M105"/>
  <c r="H102"/>
  <c r="H107"/>
  <c r="H103"/>
  <c r="H106"/>
  <c r="H104"/>
  <c r="H105"/>
  <c r="K19" i="6"/>
  <c r="S6" i="1" s="1"/>
  <c r="AQ6" s="1"/>
  <c r="K25" i="6"/>
  <c r="M25" s="1"/>
  <c r="I25" s="1"/>
  <c r="S25" s="1"/>
  <c r="K23"/>
  <c r="M23" s="1"/>
  <c r="I23" s="1"/>
  <c r="S23" s="1"/>
  <c r="E109" i="43"/>
  <c r="H109"/>
  <c r="I102"/>
  <c r="I104"/>
  <c r="I106"/>
  <c r="I107"/>
  <c r="I103"/>
  <c r="I105"/>
  <c r="D103"/>
  <c r="D105"/>
  <c r="D104"/>
  <c r="D106"/>
  <c r="D107"/>
  <c r="D102"/>
  <c r="S2" s="1"/>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AQ7"/>
  <c r="B40"/>
  <c r="O19" i="43"/>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5" i="62"/>
  <c r="S21" i="6"/>
  <c r="L27"/>
  <c r="S26"/>
  <c r="S22"/>
  <c r="M20"/>
  <c r="I20" s="1"/>
  <c r="G16" i="1"/>
  <c r="H10" i="40" s="1"/>
  <c r="U10" s="1"/>
  <c r="C27" i="67"/>
  <c r="L56"/>
  <c r="J57"/>
  <c r="J55" s="1"/>
  <c r="J58" s="1"/>
  <c r="Q50" s="1"/>
  <c r="F70"/>
  <c r="F51"/>
  <c r="F68"/>
  <c r="F71"/>
  <c r="F66"/>
  <c r="F50"/>
  <c r="M7"/>
  <c r="Q71"/>
  <c r="F64"/>
  <c r="C6"/>
  <c r="F65"/>
  <c r="F71" i="15"/>
  <c r="C27"/>
  <c r="Q71"/>
  <c r="F64"/>
  <c r="F51"/>
  <c r="F65"/>
  <c r="J57"/>
  <c r="J55" s="1"/>
  <c r="J58" s="1"/>
  <c r="Q50" s="1"/>
  <c r="F68"/>
  <c r="M7"/>
  <c r="F50"/>
  <c r="F66"/>
  <c r="C6"/>
  <c r="C10" s="1"/>
  <c r="AP7" i="1"/>
  <c r="M7"/>
  <c r="O7" s="1"/>
  <c r="Q16"/>
  <c r="F27" i="69" s="1"/>
  <c r="H16" i="1"/>
  <c r="K16"/>
  <c r="AB45" i="21"/>
  <c r="AC33"/>
  <c r="W33"/>
  <c r="S33"/>
  <c r="AA33"/>
  <c r="W32"/>
  <c r="AC32"/>
  <c r="AB9"/>
  <c r="U9"/>
  <c r="AA32"/>
  <c r="S32"/>
  <c r="W9"/>
  <c r="AC9"/>
  <c r="AB32"/>
  <c r="U32"/>
  <c r="AA10"/>
  <c r="S10"/>
  <c r="C36" i="69"/>
  <c r="F59" i="15"/>
  <c r="F31" i="67"/>
  <c r="F31" i="15"/>
  <c r="M17" i="67"/>
  <c r="M17" i="15"/>
  <c r="F59" i="67"/>
  <c r="C16" i="15"/>
  <c r="C16" i="67"/>
  <c r="C17" i="15"/>
  <c r="S3" i="43" l="1"/>
  <c r="T3" s="1"/>
  <c r="V3" s="1"/>
  <c r="C23"/>
  <c r="C21" s="1"/>
  <c r="S5"/>
  <c r="S7"/>
  <c r="S4"/>
  <c r="S6"/>
  <c r="AA32" i="33"/>
  <c r="S32"/>
  <c r="AB32"/>
  <c r="U32"/>
  <c r="B73" i="72"/>
  <c r="B4"/>
  <c r="F11" i="33"/>
  <c r="H11"/>
  <c r="J11"/>
  <c r="B4" i="62"/>
  <c r="C48" i="68"/>
  <c r="M19" i="6"/>
  <c r="I19" s="1"/>
  <c r="L18" i="9" s="1"/>
  <c r="AR6" i="1"/>
  <c r="T7"/>
  <c r="AR7"/>
  <c r="L59" i="15"/>
  <c r="Q74" s="1"/>
  <c r="C30" i="11"/>
  <c r="E6" i="70"/>
  <c r="K27" i="6"/>
  <c r="A18" i="62"/>
  <c r="B64" i="72"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J10" s="1"/>
  <c r="T6" i="1"/>
  <c r="F7" i="36"/>
  <c r="S7" s="1"/>
  <c r="H7" i="37"/>
  <c r="U7" s="1"/>
  <c r="H6" i="3"/>
  <c r="AC6"/>
  <c r="C5" i="15"/>
  <c r="C32" s="1"/>
  <c r="E6" i="6"/>
  <c r="D19" i="11"/>
  <c r="C19" s="1"/>
  <c r="C20" s="1"/>
  <c r="C17" i="4"/>
  <c r="B4" i="52" s="1"/>
  <c r="D37" i="11"/>
  <c r="D14" i="12"/>
  <c r="D17" s="1"/>
  <c r="C17" s="1"/>
  <c r="D3" i="37"/>
  <c r="M18" i="9"/>
  <c r="B118" s="1"/>
  <c r="B14" i="74" s="1"/>
  <c r="B1"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7"/>
  <c r="V7" s="1"/>
  <c r="T2"/>
  <c r="V2"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C5" i="67"/>
  <c r="C32" s="1"/>
  <c r="F10" i="40"/>
  <c r="AA10" s="1"/>
  <c r="S20" i="6"/>
  <c r="M27"/>
  <c r="H10" i="39"/>
  <c r="J10"/>
  <c r="C49" i="15"/>
  <c r="Q60"/>
  <c r="M16" i="1"/>
  <c r="N16" s="1"/>
  <c r="Q60" i="67"/>
  <c r="Q73"/>
  <c r="F27" i="11"/>
  <c r="Q61" i="67"/>
  <c r="Q74"/>
  <c r="C49"/>
  <c r="F1"/>
  <c r="Q52"/>
  <c r="B43" i="72" l="1"/>
  <c r="B71"/>
  <c r="AB11" i="33"/>
  <c r="U11"/>
  <c r="W11"/>
  <c r="AC11"/>
  <c r="AA11"/>
  <c r="S11"/>
  <c r="Q61" i="15"/>
  <c r="E37" i="43"/>
  <c r="AA7" i="36"/>
  <c r="R36" s="1"/>
  <c r="E36" s="1"/>
  <c r="E40" s="1"/>
  <c r="F40" s="1"/>
  <c r="AC11" i="37"/>
  <c r="W11"/>
  <c r="AB7"/>
  <c r="T42" s="1"/>
  <c r="G42" s="1"/>
  <c r="G46" s="1"/>
  <c r="H46" s="1"/>
  <c r="W11" i="34"/>
  <c r="AC11"/>
  <c r="J5" i="67"/>
  <c r="J5" i="15"/>
  <c r="H20" i="6"/>
  <c r="AB7" i="36"/>
  <c r="T36" s="1"/>
  <c r="C23" i="68"/>
  <c r="C38" i="15"/>
  <c r="E38" i="43"/>
  <c r="E6" i="3"/>
  <c r="C47" i="68"/>
  <c r="D45" s="1"/>
  <c r="AA10" i="39"/>
  <c r="D10" i="68"/>
  <c r="D10" i="11"/>
  <c r="C10" s="1"/>
  <c r="D20" i="12"/>
  <c r="C20" s="1"/>
  <c r="C18" s="1"/>
  <c r="D19" i="6"/>
  <c r="M19" i="9" s="1"/>
  <c r="C118" s="1"/>
  <c r="C14" i="74" s="1"/>
  <c r="B2" s="1"/>
  <c r="D25" i="6"/>
  <c r="D26"/>
  <c r="D15"/>
  <c r="C18" i="4"/>
  <c r="D22" i="6"/>
  <c r="D8"/>
  <c r="D21"/>
  <c r="D23"/>
  <c r="D24"/>
  <c r="D14"/>
  <c r="D20"/>
  <c r="C15" i="74" s="1"/>
  <c r="D5" i="6"/>
  <c r="D6"/>
  <c r="D12"/>
  <c r="D9"/>
  <c r="D11"/>
  <c r="D10"/>
  <c r="D13"/>
  <c r="D28"/>
  <c r="D29"/>
  <c r="E61" i="40"/>
  <c r="H25" i="6"/>
  <c r="H22"/>
  <c r="H23"/>
  <c r="H21"/>
  <c r="H26"/>
  <c r="H24"/>
  <c r="C13" i="12"/>
  <c r="P16" i="1"/>
  <c r="C11" i="12" s="1"/>
  <c r="C26"/>
  <c r="D25" s="1"/>
  <c r="F34" i="11"/>
  <c r="C37" s="1"/>
  <c r="F11" i="12"/>
  <c r="F34" i="68"/>
  <c r="C36" s="1"/>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L19" i="9" s="1"/>
  <c r="S19" i="6"/>
  <c r="S27" s="1"/>
  <c r="I27"/>
  <c r="W10" i="39"/>
  <c r="AC10"/>
  <c r="U10"/>
  <c r="AB10"/>
  <c r="F50" i="11"/>
  <c r="F50" i="69"/>
  <c r="F50" i="68"/>
  <c r="C47" i="11"/>
  <c r="D45" s="1"/>
  <c r="C29"/>
  <c r="D27" s="1"/>
  <c r="C28"/>
  <c r="C27" s="1"/>
  <c r="L16" i="1"/>
  <c r="C34" i="11"/>
  <c r="R20" i="6" l="1"/>
  <c r="R7" i="1" s="1"/>
  <c r="R25" i="6"/>
  <c r="C36" i="11"/>
  <c r="J24" i="67"/>
  <c r="J18"/>
  <c r="J24" i="15"/>
  <c r="J18"/>
  <c r="G36" i="36"/>
  <c r="R37"/>
  <c r="AB7" i="34"/>
  <c r="T49" s="1"/>
  <c r="G49" s="1"/>
  <c r="G53" s="1"/>
  <c r="H53" s="1"/>
  <c r="W7" i="21"/>
  <c r="AA7"/>
  <c r="R48" s="1"/>
  <c r="E48" s="1"/>
  <c r="E52" s="1"/>
  <c r="F52" s="1"/>
  <c r="R26" i="6"/>
  <c r="R23"/>
  <c r="R24"/>
  <c r="R21"/>
  <c r="R8" i="1" s="1"/>
  <c r="R22" i="6"/>
  <c r="D30"/>
  <c r="D16"/>
  <c r="A7" i="51"/>
  <c r="C4" i="52"/>
  <c r="A10" i="51"/>
  <c r="D27" i="6"/>
  <c r="D19" i="68"/>
  <c r="C10"/>
  <c r="C12" i="12"/>
  <c r="C15"/>
  <c r="C34" i="68"/>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38"/>
  <c r="C14" i="12"/>
  <c r="C23"/>
  <c r="E6" i="76"/>
  <c r="B45" i="72" l="1"/>
  <c r="B9"/>
  <c r="B7"/>
  <c r="D31" i="6"/>
  <c r="I6" s="1"/>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F35" i="67"/>
  <c r="F35" i="15"/>
  <c r="M21" i="67"/>
  <c r="B6" i="76"/>
  <c r="M21" i="15"/>
  <c r="I5" i="6" l="1"/>
  <c r="B2" i="76"/>
  <c r="B3" s="1"/>
  <c r="B3" i="43"/>
  <c r="C49" i="21"/>
  <c r="F63" i="67"/>
  <c r="C62" s="1"/>
  <c r="C34"/>
  <c r="J20"/>
  <c r="C24" i="68"/>
  <c r="C20"/>
  <c r="C28" s="1"/>
  <c r="C27" s="1"/>
  <c r="J20" i="15"/>
  <c r="F63"/>
  <c r="C62" s="1"/>
  <c r="C34"/>
  <c r="R16" i="1"/>
  <c r="C22" i="12"/>
  <c r="C30" s="1"/>
  <c r="C28" s="1"/>
  <c r="C33" i="68"/>
  <c r="I63" i="40"/>
  <c r="H65"/>
  <c r="C39" i="11"/>
  <c r="C43" s="1"/>
  <c r="C41" s="1"/>
  <c r="I70" i="39"/>
  <c r="C25" i="68" l="1"/>
  <c r="C22" s="1"/>
  <c r="C31" s="1"/>
  <c r="C27" i="12"/>
  <c r="C25" s="1"/>
  <c r="C32" s="1"/>
  <c r="B2" s="1"/>
  <c r="B3" s="1"/>
  <c r="C39" i="68"/>
  <c r="C43" s="1"/>
  <c r="C42"/>
  <c r="J63" i="40"/>
  <c r="I65"/>
  <c r="C46" i="11"/>
  <c r="C45" s="1"/>
  <c r="C49" s="1"/>
  <c r="C51" s="1"/>
  <c r="C52" s="1"/>
  <c r="B2" s="1"/>
  <c r="B3" s="1"/>
  <c r="J70" i="39"/>
  <c r="C41" i="68" l="1"/>
  <c r="C46"/>
  <c r="C45" s="1"/>
  <c r="K63" i="40"/>
  <c r="J65"/>
  <c r="K70" i="39"/>
  <c r="C56" i="11"/>
  <c r="C57" s="1"/>
  <c r="C49" i="68" l="1"/>
  <c r="C51" s="1"/>
  <c r="C52" s="1"/>
  <c r="C57" s="1"/>
  <c r="C56"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L51" i="67"/>
  <c r="C14" i="15"/>
  <c r="L57" i="6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L51" i="15"/>
  <c r="AE6" i="1"/>
  <c r="C66" i="15" l="1"/>
  <c r="C60"/>
  <c r="C59" s="1"/>
  <c r="AG6" i="1"/>
  <c r="C80" i="15"/>
  <c r="C79" s="1"/>
  <c r="C65"/>
  <c r="Q68"/>
  <c r="L57"/>
  <c r="L60" s="1"/>
  <c r="Q67"/>
  <c r="M27" i="67"/>
  <c r="F41"/>
  <c r="M27" i="15"/>
  <c r="F41"/>
  <c r="J26" l="1"/>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7" i="1"/>
  <c r="AO8"/>
  <c r="E2" i="69"/>
  <c r="AO6" i="1"/>
  <c r="B8" i="70" l="1"/>
  <c r="B7"/>
  <c r="B6"/>
  <c r="C46" i="15"/>
  <c r="B2" i="69"/>
  <c r="B3" s="1"/>
  <c r="B2" i="68"/>
  <c r="B3" i="67"/>
  <c r="D2" i="34"/>
  <c r="D2" i="37"/>
  <c r="E2" i="68"/>
  <c r="D2" i="36"/>
  <c r="D2" i="33"/>
  <c r="F20" i="31"/>
  <c r="D2" i="21"/>
  <c r="C19" i="9"/>
  <c r="D2" i="35"/>
  <c r="B2" i="36" l="1"/>
  <c r="B3" s="1"/>
  <c r="B2" i="35"/>
  <c r="B3" s="1"/>
  <c r="B2" i="37"/>
  <c r="B3" s="1"/>
  <c r="B2" i="34"/>
  <c r="B3" s="1"/>
  <c r="B2" i="21"/>
  <c r="B3" s="1"/>
  <c r="B2" i="70"/>
  <c r="B3" s="1"/>
  <c r="C102" i="9"/>
  <c r="C21"/>
  <c r="B3" i="68"/>
  <c r="C20" i="9"/>
  <c r="C103" l="1"/>
  <c r="D34"/>
  <c r="H109" l="1"/>
  <c r="H110" l="1"/>
  <c r="D18" i="53" s="1"/>
  <c r="D124" i="9"/>
  <c r="D16" i="53"/>
  <c r="B34" i="72" s="1"/>
  <c r="B35" l="1"/>
  <c r="D10" i="52"/>
  <c r="H14" i="74"/>
  <c r="D17" i="53"/>
  <c r="B36" i="72" s="1"/>
  <c r="D125" i="9"/>
  <c r="D11" i="52" s="1"/>
  <c r="B7" i="74" l="1"/>
  <c r="D7" s="1"/>
  <c r="C7" l="1"/>
  <c r="J7" i="33" l="1"/>
  <c r="W7" s="1"/>
  <c r="F7"/>
  <c r="S7" s="1"/>
  <c r="H7"/>
  <c r="AB7" s="1"/>
  <c r="T48" s="1"/>
  <c r="G48" s="1"/>
  <c r="F89" i="78" s="1"/>
  <c r="G52" i="33" l="1"/>
  <c r="H52" s="1"/>
  <c r="AA7"/>
  <c r="R48" s="1"/>
  <c r="U7"/>
  <c r="AC7"/>
  <c r="V48" s="1"/>
  <c r="I48" s="1"/>
  <c r="H89" i="78" s="1"/>
  <c r="I52" i="33" l="1"/>
  <c r="J52" s="1"/>
  <c r="R49"/>
  <c r="E48"/>
  <c r="D89" i="78" s="1"/>
  <c r="G53" i="33"/>
  <c r="H53" s="1"/>
  <c r="E53" l="1"/>
  <c r="F53" s="1"/>
  <c r="E52"/>
  <c r="F52" s="1"/>
  <c r="I53"/>
  <c r="J53" s="1"/>
  <c r="C48"/>
  <c r="C49"/>
  <c r="B2" s="1"/>
  <c r="J7" i="39"/>
  <c r="AC7" s="1"/>
  <c r="V47" s="1"/>
  <c r="I47" s="1"/>
  <c r="F7"/>
  <c r="S7" s="1"/>
  <c r="H7"/>
  <c r="AB7" s="1"/>
  <c r="T47" s="1"/>
  <c r="G47" s="1"/>
  <c r="D19" i="9"/>
  <c r="D102" l="1"/>
  <c r="D21"/>
  <c r="D22"/>
  <c r="G19"/>
  <c r="B3" i="33"/>
  <c r="G52" i="39"/>
  <c r="H52" s="1"/>
  <c r="G51"/>
  <c r="H51" s="1"/>
  <c r="I51"/>
  <c r="J51" s="1"/>
  <c r="W7"/>
  <c r="U7"/>
  <c r="AA7"/>
  <c r="R47" s="1"/>
  <c r="D20" i="9"/>
  <c r="D103" l="1"/>
  <c r="G20"/>
  <c r="R24" i="31" s="1"/>
  <c r="G21" i="9"/>
  <c r="C32"/>
  <c r="R48" i="39"/>
  <c r="E47"/>
  <c r="R379" i="31" l="1"/>
  <c r="S379" s="1"/>
  <c r="R381"/>
  <c r="S381" s="1"/>
  <c r="R383"/>
  <c r="S383" s="1"/>
  <c r="R385"/>
  <c r="S385" s="1"/>
  <c r="R387"/>
  <c r="S387" s="1"/>
  <c r="R389"/>
  <c r="S389" s="1"/>
  <c r="R391"/>
  <c r="S391" s="1"/>
  <c r="R393"/>
  <c r="S393" s="1"/>
  <c r="R395"/>
  <c r="S395" s="1"/>
  <c r="R397"/>
  <c r="S397" s="1"/>
  <c r="R399"/>
  <c r="S399" s="1"/>
  <c r="R401"/>
  <c r="S401" s="1"/>
  <c r="R403"/>
  <c r="S403" s="1"/>
  <c r="R405"/>
  <c r="S405" s="1"/>
  <c r="R407"/>
  <c r="S407" s="1"/>
  <c r="R409"/>
  <c r="S409" s="1"/>
  <c r="R411"/>
  <c r="S411" s="1"/>
  <c r="R413"/>
  <c r="S413" s="1"/>
  <c r="R415"/>
  <c r="S415" s="1"/>
  <c r="R417"/>
  <c r="S417" s="1"/>
  <c r="R419"/>
  <c r="S419" s="1"/>
  <c r="R421"/>
  <c r="S421" s="1"/>
  <c r="R423"/>
  <c r="S423" s="1"/>
  <c r="R425"/>
  <c r="S425" s="1"/>
  <c r="R427"/>
  <c r="S427" s="1"/>
  <c r="R429"/>
  <c r="S429" s="1"/>
  <c r="R431"/>
  <c r="S431" s="1"/>
  <c r="R433"/>
  <c r="S433" s="1"/>
  <c r="R435"/>
  <c r="S435" s="1"/>
  <c r="R437"/>
  <c r="S437" s="1"/>
  <c r="R439"/>
  <c r="S439" s="1"/>
  <c r="R441"/>
  <c r="S441" s="1"/>
  <c r="R443"/>
  <c r="S443" s="1"/>
  <c r="R445"/>
  <c r="S445" s="1"/>
  <c r="R447"/>
  <c r="S447" s="1"/>
  <c r="R449"/>
  <c r="S449" s="1"/>
  <c r="R451"/>
  <c r="S451" s="1"/>
  <c r="R453"/>
  <c r="S453" s="1"/>
  <c r="R455"/>
  <c r="S455" s="1"/>
  <c r="R457"/>
  <c r="S457" s="1"/>
  <c r="R459"/>
  <c r="S459" s="1"/>
  <c r="R461"/>
  <c r="S461" s="1"/>
  <c r="R463"/>
  <c r="S463" s="1"/>
  <c r="R465"/>
  <c r="S465" s="1"/>
  <c r="R467"/>
  <c r="S467" s="1"/>
  <c r="R469"/>
  <c r="S469" s="1"/>
  <c r="R380"/>
  <c r="S380" s="1"/>
  <c r="R382"/>
  <c r="S382" s="1"/>
  <c r="R384"/>
  <c r="S384" s="1"/>
  <c r="R386"/>
  <c r="S386" s="1"/>
  <c r="R388"/>
  <c r="S388" s="1"/>
  <c r="R390"/>
  <c r="S390" s="1"/>
  <c r="R392"/>
  <c r="S392" s="1"/>
  <c r="R394"/>
  <c r="S394" s="1"/>
  <c r="R396"/>
  <c r="S396" s="1"/>
  <c r="R398"/>
  <c r="S398" s="1"/>
  <c r="R400"/>
  <c r="S400" s="1"/>
  <c r="R402"/>
  <c r="S402" s="1"/>
  <c r="R404"/>
  <c r="S404" s="1"/>
  <c r="R406"/>
  <c r="S406" s="1"/>
  <c r="R408"/>
  <c r="S408" s="1"/>
  <c r="R410"/>
  <c r="S410" s="1"/>
  <c r="R412"/>
  <c r="S412" s="1"/>
  <c r="R414"/>
  <c r="S414" s="1"/>
  <c r="R416"/>
  <c r="S416" s="1"/>
  <c r="R418"/>
  <c r="S418" s="1"/>
  <c r="R420"/>
  <c r="S420" s="1"/>
  <c r="R422"/>
  <c r="S422" s="1"/>
  <c r="R424"/>
  <c r="S424" s="1"/>
  <c r="R426"/>
  <c r="S426" s="1"/>
  <c r="R428"/>
  <c r="S428" s="1"/>
  <c r="R430"/>
  <c r="S430" s="1"/>
  <c r="R432"/>
  <c r="S432" s="1"/>
  <c r="R434"/>
  <c r="S434" s="1"/>
  <c r="R436"/>
  <c r="S436" s="1"/>
  <c r="R438"/>
  <c r="S438" s="1"/>
  <c r="R440"/>
  <c r="S440" s="1"/>
  <c r="R442"/>
  <c r="S442" s="1"/>
  <c r="R444"/>
  <c r="S444" s="1"/>
  <c r="R446"/>
  <c r="S446" s="1"/>
  <c r="R448"/>
  <c r="S448" s="1"/>
  <c r="R450"/>
  <c r="S450" s="1"/>
  <c r="R452"/>
  <c r="S452" s="1"/>
  <c r="R454"/>
  <c r="S454" s="1"/>
  <c r="R456"/>
  <c r="S456" s="1"/>
  <c r="R458"/>
  <c r="S458" s="1"/>
  <c r="R460"/>
  <c r="S460" s="1"/>
  <c r="R462"/>
  <c r="S462" s="1"/>
  <c r="R464"/>
  <c r="S464" s="1"/>
  <c r="R466"/>
  <c r="S466" s="1"/>
  <c r="R468"/>
  <c r="S468" s="1"/>
  <c r="R470"/>
  <c r="S470" s="1"/>
  <c r="R132"/>
  <c r="S132" s="1"/>
  <c r="R134"/>
  <c r="S134" s="1"/>
  <c r="R136"/>
  <c r="S136" s="1"/>
  <c r="R138"/>
  <c r="S138" s="1"/>
  <c r="R140"/>
  <c r="S140" s="1"/>
  <c r="R142"/>
  <c r="S142" s="1"/>
  <c r="R144"/>
  <c r="S144" s="1"/>
  <c r="R146"/>
  <c r="S146" s="1"/>
  <c r="R148"/>
  <c r="S148" s="1"/>
  <c r="R150"/>
  <c r="S150" s="1"/>
  <c r="R152"/>
  <c r="S152" s="1"/>
  <c r="R154"/>
  <c r="S154" s="1"/>
  <c r="R156"/>
  <c r="S156" s="1"/>
  <c r="R158"/>
  <c r="S158" s="1"/>
  <c r="R160"/>
  <c r="S160" s="1"/>
  <c r="R162"/>
  <c r="S162" s="1"/>
  <c r="R164"/>
  <c r="S164" s="1"/>
  <c r="R166"/>
  <c r="S166" s="1"/>
  <c r="R168"/>
  <c r="S168" s="1"/>
  <c r="R170"/>
  <c r="S170" s="1"/>
  <c r="R172"/>
  <c r="S172" s="1"/>
  <c r="R174"/>
  <c r="S174" s="1"/>
  <c r="R176"/>
  <c r="S176" s="1"/>
  <c r="R178"/>
  <c r="S178" s="1"/>
  <c r="R180"/>
  <c r="S180" s="1"/>
  <c r="R182"/>
  <c r="S182" s="1"/>
  <c r="R184"/>
  <c r="S184" s="1"/>
  <c r="R186"/>
  <c r="S186" s="1"/>
  <c r="R188"/>
  <c r="S188" s="1"/>
  <c r="R190"/>
  <c r="S190" s="1"/>
  <c r="R192"/>
  <c r="S192" s="1"/>
  <c r="R194"/>
  <c r="S194" s="1"/>
  <c r="R196"/>
  <c r="S196" s="1"/>
  <c r="R198"/>
  <c r="S198" s="1"/>
  <c r="R200"/>
  <c r="S200" s="1"/>
  <c r="R202"/>
  <c r="S202" s="1"/>
  <c r="R204"/>
  <c r="S204" s="1"/>
  <c r="R206"/>
  <c r="S206" s="1"/>
  <c r="R208"/>
  <c r="S208" s="1"/>
  <c r="R210"/>
  <c r="S210" s="1"/>
  <c r="R212"/>
  <c r="S212" s="1"/>
  <c r="R214"/>
  <c r="S214" s="1"/>
  <c r="R216"/>
  <c r="S216" s="1"/>
  <c r="R218"/>
  <c r="S218" s="1"/>
  <c r="R220"/>
  <c r="S220" s="1"/>
  <c r="R222"/>
  <c r="S222" s="1"/>
  <c r="R224"/>
  <c r="S224" s="1"/>
  <c r="R226"/>
  <c r="S226" s="1"/>
  <c r="R228"/>
  <c r="S228" s="1"/>
  <c r="R230"/>
  <c r="S230" s="1"/>
  <c r="R232"/>
  <c r="S232" s="1"/>
  <c r="R234"/>
  <c r="S234" s="1"/>
  <c r="R236"/>
  <c r="S236" s="1"/>
  <c r="R238"/>
  <c r="S238" s="1"/>
  <c r="R240"/>
  <c r="S240" s="1"/>
  <c r="R242"/>
  <c r="S242" s="1"/>
  <c r="R244"/>
  <c r="S244" s="1"/>
  <c r="R246"/>
  <c r="S246" s="1"/>
  <c r="R248"/>
  <c r="S248" s="1"/>
  <c r="R250"/>
  <c r="S250" s="1"/>
  <c r="R252"/>
  <c r="S252" s="1"/>
  <c r="R254"/>
  <c r="S254" s="1"/>
  <c r="R256"/>
  <c r="S256" s="1"/>
  <c r="R258"/>
  <c r="S258" s="1"/>
  <c r="R260"/>
  <c r="S260" s="1"/>
  <c r="R262"/>
  <c r="S262" s="1"/>
  <c r="R264"/>
  <c r="S264" s="1"/>
  <c r="R266"/>
  <c r="S266" s="1"/>
  <c r="R268"/>
  <c r="S268" s="1"/>
  <c r="R270"/>
  <c r="S270" s="1"/>
  <c r="R272"/>
  <c r="S272" s="1"/>
  <c r="R274"/>
  <c r="S274" s="1"/>
  <c r="R276"/>
  <c r="S276" s="1"/>
  <c r="R278"/>
  <c r="S278" s="1"/>
  <c r="R280"/>
  <c r="S280" s="1"/>
  <c r="R282"/>
  <c r="S282" s="1"/>
  <c r="R284"/>
  <c r="S284" s="1"/>
  <c r="R286"/>
  <c r="S286" s="1"/>
  <c r="R288"/>
  <c r="S288" s="1"/>
  <c r="R290"/>
  <c r="S290" s="1"/>
  <c r="R292"/>
  <c r="S292" s="1"/>
  <c r="R294"/>
  <c r="S294" s="1"/>
  <c r="R296"/>
  <c r="S296" s="1"/>
  <c r="R298"/>
  <c r="S298" s="1"/>
  <c r="R300"/>
  <c r="S300" s="1"/>
  <c r="R302"/>
  <c r="S302" s="1"/>
  <c r="R304"/>
  <c r="S304" s="1"/>
  <c r="R306"/>
  <c r="S306" s="1"/>
  <c r="R308"/>
  <c r="S308" s="1"/>
  <c r="R310"/>
  <c r="S310" s="1"/>
  <c r="R312"/>
  <c r="S312" s="1"/>
  <c r="R314"/>
  <c r="S314" s="1"/>
  <c r="R316"/>
  <c r="S316" s="1"/>
  <c r="R318"/>
  <c r="S318" s="1"/>
  <c r="R320"/>
  <c r="S320" s="1"/>
  <c r="R322"/>
  <c r="S322" s="1"/>
  <c r="R324"/>
  <c r="S324" s="1"/>
  <c r="R326"/>
  <c r="S326" s="1"/>
  <c r="R328"/>
  <c r="S328" s="1"/>
  <c r="R330"/>
  <c r="S330" s="1"/>
  <c r="R332"/>
  <c r="S332" s="1"/>
  <c r="R334"/>
  <c r="S334" s="1"/>
  <c r="R336"/>
  <c r="S336" s="1"/>
  <c r="R338"/>
  <c r="S338" s="1"/>
  <c r="R340"/>
  <c r="S340" s="1"/>
  <c r="R342"/>
  <c r="S342" s="1"/>
  <c r="R344"/>
  <c r="S344" s="1"/>
  <c r="R346"/>
  <c r="S346" s="1"/>
  <c r="R348"/>
  <c r="S348" s="1"/>
  <c r="R350"/>
  <c r="S350" s="1"/>
  <c r="R352"/>
  <c r="S352" s="1"/>
  <c r="R354"/>
  <c r="S354" s="1"/>
  <c r="R356"/>
  <c r="S356" s="1"/>
  <c r="R358"/>
  <c r="S358" s="1"/>
  <c r="R360"/>
  <c r="S360" s="1"/>
  <c r="R362"/>
  <c r="S362" s="1"/>
  <c r="R364"/>
  <c r="S364" s="1"/>
  <c r="R366"/>
  <c r="S366" s="1"/>
  <c r="R368"/>
  <c r="S368" s="1"/>
  <c r="R370"/>
  <c r="S370" s="1"/>
  <c r="R372"/>
  <c r="S372" s="1"/>
  <c r="R374"/>
  <c r="S374" s="1"/>
  <c r="R376"/>
  <c r="S376" s="1"/>
  <c r="R378"/>
  <c r="S378" s="1"/>
  <c r="R133"/>
  <c r="S133" s="1"/>
  <c r="R135"/>
  <c r="S135" s="1"/>
  <c r="R137"/>
  <c r="S137" s="1"/>
  <c r="R139"/>
  <c r="S139" s="1"/>
  <c r="R141"/>
  <c r="S141" s="1"/>
  <c r="R143"/>
  <c r="S143" s="1"/>
  <c r="R145"/>
  <c r="S145" s="1"/>
  <c r="R147"/>
  <c r="S147" s="1"/>
  <c r="R149"/>
  <c r="S149" s="1"/>
  <c r="R151"/>
  <c r="S151" s="1"/>
  <c r="R153"/>
  <c r="S153" s="1"/>
  <c r="R155"/>
  <c r="S155" s="1"/>
  <c r="R157"/>
  <c r="S157" s="1"/>
  <c r="R159"/>
  <c r="S159" s="1"/>
  <c r="R161"/>
  <c r="S161" s="1"/>
  <c r="R163"/>
  <c r="S163" s="1"/>
  <c r="R165"/>
  <c r="S165" s="1"/>
  <c r="R167"/>
  <c r="S167" s="1"/>
  <c r="R169"/>
  <c r="S169" s="1"/>
  <c r="R171"/>
  <c r="S171" s="1"/>
  <c r="R173"/>
  <c r="S173" s="1"/>
  <c r="R175"/>
  <c r="S175" s="1"/>
  <c r="R177"/>
  <c r="S177" s="1"/>
  <c r="R179"/>
  <c r="S179" s="1"/>
  <c r="R181"/>
  <c r="S181" s="1"/>
  <c r="R183"/>
  <c r="S183" s="1"/>
  <c r="R185"/>
  <c r="S185" s="1"/>
  <c r="R187"/>
  <c r="S187" s="1"/>
  <c r="R189"/>
  <c r="S189" s="1"/>
  <c r="R191"/>
  <c r="S191" s="1"/>
  <c r="R193"/>
  <c r="S193" s="1"/>
  <c r="R195"/>
  <c r="S195" s="1"/>
  <c r="R197"/>
  <c r="S197" s="1"/>
  <c r="R199"/>
  <c r="S199" s="1"/>
  <c r="R201"/>
  <c r="S201" s="1"/>
  <c r="R203"/>
  <c r="S203" s="1"/>
  <c r="R205"/>
  <c r="S205" s="1"/>
  <c r="R207"/>
  <c r="S207" s="1"/>
  <c r="R209"/>
  <c r="S209" s="1"/>
  <c r="R211"/>
  <c r="S211" s="1"/>
  <c r="R213"/>
  <c r="S213" s="1"/>
  <c r="R215"/>
  <c r="S215" s="1"/>
  <c r="R217"/>
  <c r="S217" s="1"/>
  <c r="R219"/>
  <c r="S219" s="1"/>
  <c r="R221"/>
  <c r="S221" s="1"/>
  <c r="R223"/>
  <c r="S223" s="1"/>
  <c r="R225"/>
  <c r="S225" s="1"/>
  <c r="R227"/>
  <c r="S227" s="1"/>
  <c r="R229"/>
  <c r="S229" s="1"/>
  <c r="R231"/>
  <c r="S231" s="1"/>
  <c r="R233"/>
  <c r="S233" s="1"/>
  <c r="R235"/>
  <c r="S235" s="1"/>
  <c r="R237"/>
  <c r="S237" s="1"/>
  <c r="R239"/>
  <c r="S239" s="1"/>
  <c r="R241"/>
  <c r="S241" s="1"/>
  <c r="R243"/>
  <c r="S243" s="1"/>
  <c r="R245"/>
  <c r="S245" s="1"/>
  <c r="R247"/>
  <c r="S247" s="1"/>
  <c r="R249"/>
  <c r="S249" s="1"/>
  <c r="R251"/>
  <c r="S251" s="1"/>
  <c r="R253"/>
  <c r="S253" s="1"/>
  <c r="R255"/>
  <c r="S255" s="1"/>
  <c r="R257"/>
  <c r="S257" s="1"/>
  <c r="R259"/>
  <c r="S259" s="1"/>
  <c r="R261"/>
  <c r="S261" s="1"/>
  <c r="R263"/>
  <c r="S263" s="1"/>
  <c r="R265"/>
  <c r="S265" s="1"/>
  <c r="R267"/>
  <c r="S267" s="1"/>
  <c r="R269"/>
  <c r="S269" s="1"/>
  <c r="R271"/>
  <c r="S271" s="1"/>
  <c r="R273"/>
  <c r="S273" s="1"/>
  <c r="R275"/>
  <c r="S275" s="1"/>
  <c r="R277"/>
  <c r="S277" s="1"/>
  <c r="R279"/>
  <c r="S279" s="1"/>
  <c r="R281"/>
  <c r="S281" s="1"/>
  <c r="R283"/>
  <c r="S283" s="1"/>
  <c r="R285"/>
  <c r="S285" s="1"/>
  <c r="R287"/>
  <c r="S287" s="1"/>
  <c r="R289"/>
  <c r="S289" s="1"/>
  <c r="R291"/>
  <c r="S291" s="1"/>
  <c r="R293"/>
  <c r="S293" s="1"/>
  <c r="R295"/>
  <c r="S295" s="1"/>
  <c r="R297"/>
  <c r="S297" s="1"/>
  <c r="R299"/>
  <c r="S299" s="1"/>
  <c r="R301"/>
  <c r="S301" s="1"/>
  <c r="R303"/>
  <c r="S303" s="1"/>
  <c r="R305"/>
  <c r="S305" s="1"/>
  <c r="R307"/>
  <c r="S307" s="1"/>
  <c r="R309"/>
  <c r="S309" s="1"/>
  <c r="R311"/>
  <c r="S311" s="1"/>
  <c r="R313"/>
  <c r="S313" s="1"/>
  <c r="R315"/>
  <c r="S315" s="1"/>
  <c r="R317"/>
  <c r="S317" s="1"/>
  <c r="R319"/>
  <c r="S319" s="1"/>
  <c r="R321"/>
  <c r="S321" s="1"/>
  <c r="R323"/>
  <c r="S323" s="1"/>
  <c r="R325"/>
  <c r="S325" s="1"/>
  <c r="R327"/>
  <c r="S327" s="1"/>
  <c r="R329"/>
  <c r="S329" s="1"/>
  <c r="R331"/>
  <c r="S331" s="1"/>
  <c r="R333"/>
  <c r="S333" s="1"/>
  <c r="R335"/>
  <c r="S335" s="1"/>
  <c r="R337"/>
  <c r="S337" s="1"/>
  <c r="R339"/>
  <c r="S339" s="1"/>
  <c r="R341"/>
  <c r="S341" s="1"/>
  <c r="R343"/>
  <c r="S343" s="1"/>
  <c r="R345"/>
  <c r="S345" s="1"/>
  <c r="R347"/>
  <c r="S347" s="1"/>
  <c r="R349"/>
  <c r="S349" s="1"/>
  <c r="R351"/>
  <c r="S351" s="1"/>
  <c r="R353"/>
  <c r="S353" s="1"/>
  <c r="R355"/>
  <c r="S355" s="1"/>
  <c r="R357"/>
  <c r="S357" s="1"/>
  <c r="R359"/>
  <c r="S359" s="1"/>
  <c r="R361"/>
  <c r="S361" s="1"/>
  <c r="R363"/>
  <c r="S363" s="1"/>
  <c r="R365"/>
  <c r="S365" s="1"/>
  <c r="R367"/>
  <c r="S367" s="1"/>
  <c r="R369"/>
  <c r="S369" s="1"/>
  <c r="R371"/>
  <c r="S371" s="1"/>
  <c r="R373"/>
  <c r="S373" s="1"/>
  <c r="R375"/>
  <c r="S375" s="1"/>
  <c r="R377"/>
  <c r="S377" s="1"/>
  <c r="S24"/>
  <c r="R128"/>
  <c r="S128" s="1"/>
  <c r="R124"/>
  <c r="S124" s="1"/>
  <c r="R120"/>
  <c r="S120" s="1"/>
  <c r="R116"/>
  <c r="S116" s="1"/>
  <c r="R112"/>
  <c r="S112" s="1"/>
  <c r="R108"/>
  <c r="S108" s="1"/>
  <c r="R104"/>
  <c r="S104" s="1"/>
  <c r="R100"/>
  <c r="S100" s="1"/>
  <c r="R96"/>
  <c r="S96" s="1"/>
  <c r="R92"/>
  <c r="S92" s="1"/>
  <c r="R88"/>
  <c r="S88" s="1"/>
  <c r="R84"/>
  <c r="S84" s="1"/>
  <c r="R80"/>
  <c r="S80" s="1"/>
  <c r="R76"/>
  <c r="S76" s="1"/>
  <c r="R72"/>
  <c r="S72" s="1"/>
  <c r="R68"/>
  <c r="S68" s="1"/>
  <c r="R64"/>
  <c r="S64" s="1"/>
  <c r="R60"/>
  <c r="S60" s="1"/>
  <c r="R56"/>
  <c r="S56" s="1"/>
  <c r="R52"/>
  <c r="S52" s="1"/>
  <c r="R48"/>
  <c r="S48" s="1"/>
  <c r="R44"/>
  <c r="S44" s="1"/>
  <c r="R40"/>
  <c r="S40" s="1"/>
  <c r="R36"/>
  <c r="S36" s="1"/>
  <c r="R32"/>
  <c r="S32" s="1"/>
  <c r="R28"/>
  <c r="S28" s="1"/>
  <c r="R131"/>
  <c r="S131" s="1"/>
  <c r="R127"/>
  <c r="S127" s="1"/>
  <c r="R123"/>
  <c r="S123" s="1"/>
  <c r="R119"/>
  <c r="S119" s="1"/>
  <c r="R115"/>
  <c r="S115" s="1"/>
  <c r="R111"/>
  <c r="S111" s="1"/>
  <c r="R107"/>
  <c r="S107" s="1"/>
  <c r="R103"/>
  <c r="S103" s="1"/>
  <c r="R99"/>
  <c r="S99" s="1"/>
  <c r="R95"/>
  <c r="S95" s="1"/>
  <c r="R91"/>
  <c r="S91" s="1"/>
  <c r="R87"/>
  <c r="S87" s="1"/>
  <c r="R83"/>
  <c r="S83" s="1"/>
  <c r="R79"/>
  <c r="S79" s="1"/>
  <c r="R75"/>
  <c r="S75" s="1"/>
  <c r="R71"/>
  <c r="S71" s="1"/>
  <c r="R67"/>
  <c r="S67" s="1"/>
  <c r="R63"/>
  <c r="S63" s="1"/>
  <c r="R59"/>
  <c r="S59" s="1"/>
  <c r="R55"/>
  <c r="S55" s="1"/>
  <c r="R51"/>
  <c r="S51" s="1"/>
  <c r="R47"/>
  <c r="S47" s="1"/>
  <c r="R43"/>
  <c r="S43" s="1"/>
  <c r="R39"/>
  <c r="S39" s="1"/>
  <c r="R35"/>
  <c r="S35" s="1"/>
  <c r="R31"/>
  <c r="S31" s="1"/>
  <c r="R27"/>
  <c r="S27" s="1"/>
  <c r="R130"/>
  <c r="S130" s="1"/>
  <c r="R126"/>
  <c r="S126" s="1"/>
  <c r="R122"/>
  <c r="S122" s="1"/>
  <c r="R118"/>
  <c r="S118" s="1"/>
  <c r="R114"/>
  <c r="S114" s="1"/>
  <c r="R110"/>
  <c r="S110" s="1"/>
  <c r="R106"/>
  <c r="S106" s="1"/>
  <c r="R102"/>
  <c r="S102" s="1"/>
  <c r="R98"/>
  <c r="S98" s="1"/>
  <c r="R94"/>
  <c r="S94" s="1"/>
  <c r="R90"/>
  <c r="S90" s="1"/>
  <c r="R86"/>
  <c r="S86" s="1"/>
  <c r="R82"/>
  <c r="S82" s="1"/>
  <c r="R78"/>
  <c r="S78" s="1"/>
  <c r="R74"/>
  <c r="S74" s="1"/>
  <c r="R70"/>
  <c r="S70" s="1"/>
  <c r="R66"/>
  <c r="S66" s="1"/>
  <c r="R62"/>
  <c r="S62" s="1"/>
  <c r="R58"/>
  <c r="S58" s="1"/>
  <c r="R54"/>
  <c r="S54" s="1"/>
  <c r="R50"/>
  <c r="S50" s="1"/>
  <c r="R46"/>
  <c r="S46" s="1"/>
  <c r="R42"/>
  <c r="S42" s="1"/>
  <c r="R38"/>
  <c r="S38" s="1"/>
  <c r="R34"/>
  <c r="S34" s="1"/>
  <c r="R30"/>
  <c r="S30" s="1"/>
  <c r="R26"/>
  <c r="S26" s="1"/>
  <c r="R129"/>
  <c r="S129" s="1"/>
  <c r="R125"/>
  <c r="S125" s="1"/>
  <c r="R121"/>
  <c r="S121" s="1"/>
  <c r="R117"/>
  <c r="S117" s="1"/>
  <c r="R113"/>
  <c r="S113" s="1"/>
  <c r="R109"/>
  <c r="S109" s="1"/>
  <c r="R105"/>
  <c r="S105" s="1"/>
  <c r="R101"/>
  <c r="S101" s="1"/>
  <c r="R97"/>
  <c r="S97" s="1"/>
  <c r="R93"/>
  <c r="S93" s="1"/>
  <c r="R89"/>
  <c r="S89" s="1"/>
  <c r="R85"/>
  <c r="S85" s="1"/>
  <c r="R81"/>
  <c r="S81" s="1"/>
  <c r="R77"/>
  <c r="S77" s="1"/>
  <c r="R73"/>
  <c r="S73" s="1"/>
  <c r="R69"/>
  <c r="S69" s="1"/>
  <c r="R65"/>
  <c r="S65" s="1"/>
  <c r="R61"/>
  <c r="S61" s="1"/>
  <c r="R57"/>
  <c r="S57" s="1"/>
  <c r="R53"/>
  <c r="S53" s="1"/>
  <c r="R49"/>
  <c r="S49" s="1"/>
  <c r="R45"/>
  <c r="S45" s="1"/>
  <c r="R41"/>
  <c r="S41" s="1"/>
  <c r="R37"/>
  <c r="S37" s="1"/>
  <c r="R33"/>
  <c r="S33" s="1"/>
  <c r="R29"/>
  <c r="S29" s="1"/>
  <c r="R25"/>
  <c r="S25" s="1"/>
  <c r="C48" i="39"/>
  <c r="C47"/>
  <c r="E51"/>
  <c r="F51" s="1"/>
  <c r="E52"/>
  <c r="F52" s="1"/>
  <c r="I52"/>
  <c r="J52" s="1"/>
  <c r="S22" i="31" l="1"/>
  <c r="U23" s="1"/>
  <c r="D15" i="74" s="1"/>
  <c r="G15" s="1"/>
  <c r="B61" i="39"/>
  <c r="F61" s="1"/>
  <c r="B60"/>
  <c r="F60" s="1"/>
  <c r="B56"/>
  <c r="F56" s="1"/>
  <c r="B58"/>
  <c r="F58" s="1"/>
  <c r="B59"/>
  <c r="F59" s="1"/>
  <c r="B64"/>
  <c r="F64" s="1"/>
  <c r="B65"/>
  <c r="F65" s="1"/>
  <c r="B57"/>
  <c r="F57" s="1"/>
  <c r="B63"/>
  <c r="F63" s="1"/>
  <c r="B62"/>
  <c r="F62" s="1"/>
  <c r="F15" i="74" l="1"/>
  <c r="E15"/>
  <c r="R22" i="31"/>
  <c r="B20"/>
  <c r="F66" i="39"/>
  <c r="B2" s="1"/>
  <c r="B3" s="1"/>
  <c r="D35" i="9"/>
  <c r="B21" i="31" l="1"/>
  <c r="C35" i="9"/>
  <c r="C34" l="1"/>
  <c r="H112" l="1"/>
  <c r="D21" i="53" s="1"/>
  <c r="B39" i="72" s="1"/>
  <c r="H111" i="9"/>
  <c r="D126" s="1"/>
  <c r="D19" i="53"/>
  <c r="D59" i="9"/>
  <c r="M55"/>
  <c r="B38" i="72" l="1"/>
  <c r="D20" i="53"/>
  <c r="B40" i="72" s="1"/>
  <c r="I14" i="74"/>
  <c r="B8" s="1"/>
  <c r="D127" i="9"/>
  <c r="D13" i="52" s="1"/>
  <c r="D12"/>
  <c r="F118" i="9"/>
  <c r="G118" s="1"/>
  <c r="G4" i="52" s="1"/>
  <c r="D118" i="9"/>
  <c r="D119" s="1"/>
  <c r="D5" i="52" s="1"/>
  <c r="H118" i="9"/>
  <c r="C104" s="1"/>
  <c r="B49" i="72" l="1"/>
  <c r="B52"/>
  <c r="D8" i="74"/>
  <c r="C8"/>
  <c r="H101" i="9"/>
  <c r="M48" s="1"/>
  <c r="I118"/>
  <c r="C105" s="1"/>
  <c r="H119"/>
  <c r="H5" i="52" s="1"/>
  <c r="F4"/>
  <c r="F119" i="9"/>
  <c r="F5" i="52" s="1"/>
  <c r="D14" i="74"/>
  <c r="H4" i="52"/>
  <c r="D4"/>
  <c r="H107" i="9"/>
  <c r="M49" s="1"/>
  <c r="B53" i="72" l="1"/>
  <c r="B47"/>
  <c r="B51"/>
  <c r="L68" i="9"/>
  <c r="M68" s="1"/>
  <c r="L65"/>
  <c r="M65" s="1"/>
  <c r="L64"/>
  <c r="M64" s="1"/>
  <c r="L67"/>
  <c r="M67" s="1"/>
  <c r="L63"/>
  <c r="M63" s="1"/>
  <c r="L66"/>
  <c r="M66" s="1"/>
  <c r="D45"/>
  <c r="D53" s="1"/>
  <c r="I4" i="52"/>
  <c r="D5" i="53"/>
  <c r="H102" i="9"/>
  <c r="D7" i="53" s="1"/>
  <c r="E118" i="9"/>
  <c r="E4" i="52" s="1"/>
  <c r="D122" i="9"/>
  <c r="H108"/>
  <c r="D15" i="53" s="1"/>
  <c r="D13"/>
  <c r="E14" i="74"/>
  <c r="B5"/>
  <c r="F14"/>
  <c r="B31" i="72" l="1"/>
  <c r="B48"/>
  <c r="B20"/>
  <c r="B21"/>
  <c r="M69" i="9"/>
  <c r="N69" s="1"/>
  <c r="C93"/>
  <c r="C86" s="1"/>
  <c r="D52"/>
  <c r="C78"/>
  <c r="C73" s="1"/>
  <c r="C85"/>
  <c r="C72"/>
  <c r="D55"/>
  <c r="M53" s="1"/>
  <c r="C64"/>
  <c r="C63" s="1"/>
  <c r="D6" i="53"/>
  <c r="D5" i="74"/>
  <c r="C5"/>
  <c r="D14" i="53"/>
  <c r="B30" i="72"/>
  <c r="G14" i="74"/>
  <c r="B6" s="1"/>
  <c r="D123" i="9"/>
  <c r="D9" i="52" s="1"/>
  <c r="D8"/>
  <c r="B22" i="72" l="1"/>
  <c r="B32"/>
  <c r="C95" i="9"/>
  <c r="C67"/>
  <c r="C68" s="1"/>
  <c r="D54" s="1"/>
  <c r="C79"/>
  <c r="D6" i="74"/>
  <c r="C6"/>
  <c r="C96" i="9" l="1"/>
  <c r="E96" s="1"/>
  <c r="E97" s="1"/>
  <c r="C80"/>
  <c r="E80" s="1"/>
  <c r="E81" s="1"/>
  <c r="C81" l="1"/>
  <c r="C97"/>
  <c r="D58" s="1"/>
  <c r="D56" s="1"/>
  <c r="M54" s="1"/>
  <c r="N57" s="1"/>
  <c r="N58" l="1"/>
  <c r="N59"/>
  <c r="P57"/>
  <c r="AD3" i="71"/>
  <c r="P21" i="43" s="1"/>
  <c r="N61" i="9" l="1"/>
  <c r="N60"/>
  <c r="P22" i="43"/>
  <c r="P2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<sst xmlns="http://schemas.openxmlformats.org/spreadsheetml/2006/main" count="8635" uniqueCount="3522">
  <si>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</si>
  <si>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</si>
  <si>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</si>
  <si>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</si>
  <si>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</si>
  <si>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</si>
  <si>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</si>
  <si>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</si>
  <si>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</si>
  <si>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</si>
  <si>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</si>
  <si>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</si>
  <si>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</si>
  <si>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</si>
  <si>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</si>
  <si>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</si>
  <si>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</si>
  <si>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</si>
  <si>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</si>
  <si>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</si>
  <si>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</si>
  <si>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</si>
  <si>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</si>
  <si>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</si>
  <si>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</si>
  <si>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</si>
  <si>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</si>
  <si>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</si>
  <si>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</si>
  <si>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</si>
  <si>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</si>
  <si>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</si>
  <si>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</si>
  <si>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</si>
  <si>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</si>
  <si>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</si>
  <si>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</si>
  <si>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</si>
  <si>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</si>
  <si>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</si>
  <si>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</si>
  <si>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</si>
  <si>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</si>
  <si>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</si>
  <si>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</si>
  <si>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</si>
  <si>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</si>
  <si>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</si>
  <si>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</si>
  <si>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</si>
  <si>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</si>
  <si>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</si>
  <si>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</si>
  <si>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</si>
  <si>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</si>
  <si>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</si>
  <si>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</si>
  <si>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</si>
  <si>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</si>
  <si>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</si>
  <si>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</si>
  <si>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</si>
  <si>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</si>
  <si>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</si>
  <si>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</si>
  <si>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</si>
  <si>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</si>
  <si>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</si>
  <si>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</si>
  <si>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</si>
  <si>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</si>
  <si>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</si>
  <si>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</si>
  <si>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</si>
  <si>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</si>
  <si>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</si>
  <si>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</si>
  <si>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</si>
  <si>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</si>
  <si>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</si>
  <si>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</si>
  <si>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</si>
  <si>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</si>
  <si>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</si>
  <si>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</si>
  <si>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</si>
  <si>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</si>
  <si>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</si>
  <si>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</si>
  <si>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</si>
  <si>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</si>
  <si>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</si>
  <si>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</si>
  <si>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</si>
  <si>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</si>
  <si>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</si>
  <si>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</si>
  <si>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</si>
  <si>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</si>
  <si>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</si>
  <si>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</si>
  <si>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</si>
  <si>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</si>
  <si>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</si>
  <si>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</si>
  <si>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</si>
  <si>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</si>
  <si>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</si>
  <si>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</si>
  <si>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</si>
  <si>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</si>
  <si>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</si>
  <si>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</si>
  <si>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</si>
  <si>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</si>
  <si>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</si>
  <si>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</si>
  <si>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</si>
  <si>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</si>
  <si>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</si>
  <si>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</si>
  <si>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</si>
  <si>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</si>
  <si>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</si>
  <si>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</si>
  <si>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</si>
  <si>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</si>
  <si>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</si>
  <si>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</si>
  <si>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</si>
  <si>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</si>
  <si>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</si>
  <si>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</si>
  <si>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</si>
  <si>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</si>
  <si>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</si>
  <si>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</si>
  <si>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</si>
  <si>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</si>
  <si>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</si>
  <si>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</si>
  <si>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</si>
  <si>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</si>
  <si>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</si>
  <si>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</si>
  <si>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</si>
  <si>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</si>
  <si>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</si>
  <si>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</si>
  <si>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</si>
  <si>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</si>
  <si>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</si>
  <si>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</si>
  <si>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</si>
  <si>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</si>
  <si>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</si>
  <si>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</si>
  <si>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</si>
  <si>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</si>
  <si>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</si>
  <si>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</si>
  <si>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</si>
  <si>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</si>
  <si>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</si>
  <si>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</si>
  <si>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</si>
  <si>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</si>
  <si>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</si>
  <si>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</si>
  <si>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</si>
  <si>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</si>
  <si>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</si>
  <si>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</si>
  <si>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</si>
  <si>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</si>
  <si>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</si>
  <si>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</si>
  <si>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</si>
  <si>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</si>
  <si>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</si>
  <si>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</si>
  <si>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</si>
  <si>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</si>
  <si>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</si>
  <si>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</si>
  <si>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</si>
  <si>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</si>
  <si>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</si>
  <si>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</si>
  <si>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</si>
  <si>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</si>
  <si>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</si>
  <si>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</si>
  <si>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</si>
  <si>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</si>
  <si>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</si>
  <si>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</si>
  <si>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</si>
  <si>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</si>
  <si>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</si>
  <si>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</si>
  <si>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</si>
  <si>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</si>
  <si>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</si>
  <si>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</si>
  <si>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</si>
  <si>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</si>
  <si>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</si>
  <si>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</si>
  <si>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</si>
  <si>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</si>
  <si>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</si>
  <si>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</si>
  <si>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</si>
  <si>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</si>
  <si>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</si>
  <si>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</si>
  <si>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</si>
  <si>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</si>
  <si>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</si>
  <si>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</si>
  <si>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</si>
  <si>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</si>
  <si>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</si>
  <si>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</si>
  <si>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</si>
  <si>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</si>
  <si>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</si>
  <si>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</si>
  <si>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</si>
  <si>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</si>
  <si>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</si>
  <si>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</si>
  <si>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</si>
  <si>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</si>
  <si>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</si>
  <si>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</si>
  <si>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</si>
  <si>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</si>
  <si>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</si>
  <si>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</si>
  <si>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</si>
  <si>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</si>
  <si>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</si>
  <si>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</si>
  <si>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</si>
  <si>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</si>
  <si>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</si>
  <si>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</si>
  <si>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</si>
  <si>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</si>
  <si>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</si>
  <si>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</si>
  <si>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</si>
  <si>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</si>
  <si>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</si>
  <si>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</si>
  <si>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</si>
  <si>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</si>
  <si>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</si>
  <si>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</si>
  <si>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</si>
  <si>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</si>
  <si>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</si>
  <si>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</si>
  <si>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</si>
  <si>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</si>
  <si>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</si>
  <si>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</si>
  <si>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</si>
  <si>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</si>
  <si>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</si>
  <si>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</si>
  <si>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</si>
  <si>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</si>
  <si>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</si>
  <si>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</si>
  <si>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</si>
  <si>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</si>
  <si>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</si>
  <si>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</si>
  <si>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</si>
  <si>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</si>
  <si>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</si>
  <si>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</si>
  <si>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</si>
  <si>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</si>
  <si>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</si>
  <si>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</si>
  <si>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</si>
  <si>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</si>
  <si>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</si>
  <si>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</si>
  <si>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</si>
  <si>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</si>
  <si>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</si>
  <si>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</si>
  <si>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</si>
  <si>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</si>
  <si>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</si>
  <si>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</si>
  <si>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</si>
  <si>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</si>
  <si>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</si>
  <si>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</si>
  <si>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</si>
  <si>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</si>
  <si>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</si>
  <si>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</si>
  <si>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</si>
  <si>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</si>
  <si>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</si>
  <si>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</si>
  <si>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</si>
  <si>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</si>
  <si>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</si>
  <si>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</si>
  <si>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</si>
  <si>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</si>
  <si>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</si>
  <si>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</si>
  <si>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</si>
  <si>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</si>
  <si>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</si>
  <si>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</si>
  <si>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</si>
  <si>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</si>
  <si>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</si>
  <si>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</si>
  <si>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</si>
  <si>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</si>
  <si>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</si>
  <si>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</si>
  <si>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</si>
  <si>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</si>
  <si>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</si>
  <si>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</si>
  <si>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</si>
  <si>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</si>
  <si>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</si>
  <si>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</si>
  <si>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</si>
  <si>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</si>
  <si>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</si>
  <si>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</si>
  <si>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</si>
  <si>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</si>
  <si>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</si>
  <si>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</si>
  <si>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</si>
  <si>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</si>
  <si>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</si>
  <si>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</si>
  <si>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</si>
  <si>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</si>
  <si>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</si>
  <si>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</si>
  <si>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</si>
  <si>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</si>
  <si>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</si>
  <si>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</si>
  <si>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</si>
  <si>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</si>
  <si>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</si>
  <si>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</si>
  <si>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</si>
  <si>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</si>
  <si>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</si>
  <si>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</si>
  <si>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</si>
  <si>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</si>
  <si>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</si>
  <si>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</si>
  <si>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</si>
  <si>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</si>
  <si>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</si>
  <si>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</si>
  <si>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</si>
  <si>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</si>
  <si>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</si>
  <si>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</si>
  <si>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</si>
  <si>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</si>
  <si>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</si>
  <si>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</si>
  <si>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</si>
  <si>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</si>
  <si>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</si>
  <si>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</si>
  <si>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</si>
  <si>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</si>
  <si>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</si>
  <si>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</si>
  <si>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</si>
  <si>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</si>
  <si>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</si>
  <si>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</si>
  <si>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</si>
  <si>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</si>
  <si>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</si>
  <si>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</si>
  <si>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</si>
  <si>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</si>
  <si>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</si>
  <si>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</si>
  <si>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</si>
  <si>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</si>
  <si>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</si>
  <si>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</si>
  <si>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</si>
  <si>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</si>
  <si>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</si>
  <si>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</si>
  <si>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</si>
  <si>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</si>
  <si>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</si>
  <si>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</si>
  <si>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</si>
  <si>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</si>
  <si>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</si>
  <si>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</si>
  <si>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</si>
  <si>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</si>
  <si>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</si>
  <si>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</si>
  <si>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</si>
  <si>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</si>
  <si>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</si>
  <si>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</si>
  <si>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</si>
  <si>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</si>
  <si>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</si>
  <si>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</si>
  <si>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</si>
  <si>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</si>
  <si>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</si>
  <si>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</si>
  <si>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</si>
  <si>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</si>
  <si>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</si>
  <si>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</si>
  <si>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</si>
  <si>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</si>
  <si>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</si>
  <si>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</si>
  <si>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</si>
  <si>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</si>
  <si>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</si>
  <si>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</si>
  <si>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</si>
  <si>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</si>
  <si>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</si>
  <si>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</si>
  <si>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</si>
  <si>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</si>
  <si>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</si>
  <si>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</si>
  <si>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</si>
  <si>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</si>
  <si>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</si>
  <si>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</si>
  <si>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</si>
  <si>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</si>
  <si>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</si>
  <si>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</si>
  <si>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</si>
  <si>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</si>
  <si>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</si>
  <si>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</si>
  <si>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</si>
  <si>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</si>
  <si>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</si>
  <si>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</si>
  <si>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</si>
  <si>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</si>
  <si>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</si>
  <si>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</si>
  <si>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</si>
  <si>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</si>
  <si>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</si>
  <si>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</si>
  <si>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</si>
  <si>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</si>
  <si>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</si>
  <si>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</si>
  <si>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</si>
  <si>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</si>
  <si>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</si>
  <si>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</si>
  <si>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</si>
  <si>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</si>
  <si>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</si>
  <si>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</si>
  <si>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</si>
  <si>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</si>
  <si>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</si>
  <si>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</si>
  <si>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</si>
  <si>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</si>
  <si>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</si>
  <si>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</si>
  <si>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</si>
  <si>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</si>
  <si>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</si>
  <si>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</si>
  <si>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</si>
  <si>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</si>
  <si>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</si>
  <si>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</si>
  <si>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</si>
  <si>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</si>
  <si>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</si>
  <si>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</si>
  <si>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</si>
  <si>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</si>
  <si>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</si>
  <si>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</si>
  <si>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</si>
  <si>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</si>
  <si>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</si>
  <si>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</si>
  <si>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</si>
  <si>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</si>
  <si>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</si>
  <si>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</si>
  <si>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</si>
  <si>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</si>
  <si>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</si>
  <si>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</si>
  <si>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</si>
  <si>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</si>
  <si>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</si>
  <si>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</si>
  <si>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</si>
  <si>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</si>
  <si>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</si>
  <si>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</si>
  <si>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</si>
  <si>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</si>
  <si>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</si>
  <si>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</si>
  <si>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</si>
  <si>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</si>
  <si>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</si>
  <si>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</si>
  <si>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</si>
  <si>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</si>
  <si>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</si>
  <si>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</si>
  <si>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</si>
  <si>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</si>
  <si>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</si>
  <si>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</si>
  <si>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</si>
  <si>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</si>
  <si>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</si>
  <si>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</si>
  <si>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</si>
  <si>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</si>
  <si>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</si>
  <si>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</si>
  <si>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</si>
  <si>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</si>
  <si>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</si>
  <si>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</si>
  <si>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</si>
  <si>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</si>
  <si>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</si>
  <si>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</si>
  <si>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</si>
  <si>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</si>
  <si>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</si>
  <si>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</si>
  <si>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</si>
  <si>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</si>
  <si>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</si>
  <si>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</si>
  <si>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</si>
  <si>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</si>
  <si>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</si>
  <si>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</si>
  <si>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</si>
  <si>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</si>
  <si>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</si>
  <si>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</si>
  <si>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</si>
  <si>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</si>
  <si>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</si>
  <si>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</si>
  <si>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</si>
  <si>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</si>
  <si>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</si>
  <si>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</si>
  <si>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</si>
  <si>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</si>
  <si>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</si>
  <si>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</si>
  <si>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</si>
  <si>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</si>
  <si>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</si>
  <si>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</si>
  <si>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</si>
  <si>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</si>
  <si>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</si>
  <si>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</si>
  <si>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</si>
  <si>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</si>
  <si>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</si>
  <si>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</si>
  <si>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</si>
  <si>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</si>
  <si>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</si>
  <si>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</si>
  <si>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</si>
  <si>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</si>
  <si>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</si>
  <si>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</si>
  <si>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</si>
  <si>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</si>
  <si>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</si>
  <si>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</si>
  <si>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</si>
  <si>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</si>
  <si>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</si>
  <si>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</si>
  <si>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</si>
  <si>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</si>
  <si>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</si>
  <si>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</si>
  <si>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</si>
  <si>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</si>
  <si>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</si>
  <si>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</si>
  <si>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</si>
  <si>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</si>
  <si>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</si>
  <si>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</si>
  <si>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</si>
  <si>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</si>
  <si>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</si>
  <si>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</si>
  <si>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</si>
  <si>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</si>
  <si>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</si>
  <si>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</si>
  <si>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</si>
  <si>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</si>
  <si>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</si>
  <si>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</si>
  <si>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</si>
  <si>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</si>
  <si>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</si>
  <si>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</si>
  <si>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</si>
  <si>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</si>
  <si>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</si>
  <si>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</si>
  <si>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</si>
  <si>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</si>
  <si>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</si>
  <si>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</si>
  <si>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</si>
  <si>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</si>
  <si>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</si>
  <si>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</si>
  <si>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</si>
  <si>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</si>
  <si>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</si>
  <si>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</si>
  <si>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</si>
  <si>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</si>
  <si>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</si>
  <si>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</si>
  <si>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</si>
  <si>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</si>
  <si>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</si>
  <si>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</si>
  <si>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</si>
  <si>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</si>
  <si>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</si>
  <si>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</si>
  <si>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</si>
  <si>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</si>
  <si>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</si>
  <si>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</si>
  <si>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</si>
  <si>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</si>
  <si>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</si>
  <si>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</si>
  <si>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</si>
  <si>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</si>
  <si>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</si>
  <si>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</si>
  <si>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</si>
  <si>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</si>
  <si>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</si>
  <si>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</si>
  <si>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</si>
  <si>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</si>
  <si>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</si>
  <si>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</si>
  <si>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</si>
  <si>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</si>
  <si>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</si>
  <si>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</si>
  <si>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</si>
  <si>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</si>
  <si>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</si>
  <si>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</si>
  <si>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</si>
  <si>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</si>
  <si>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</si>
  <si>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</si>
  <si>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</si>
  <si>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</si>
  <si>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</si>
  <si>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</si>
  <si>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</si>
  <si>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</si>
  <si>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</si>
  <si>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</si>
  <si>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</si>
  <si>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</si>
  <si>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</si>
  <si>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</si>
  <si>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</si>
  <si>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</si>
  <si>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</si>
  <si>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</si>
  <si>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</si>
  <si>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</si>
  <si>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</si>
  <si>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</si>
  <si>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</si>
  <si>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</si>
  <si>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</si>
  <si>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</si>
  <si>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</si>
  <si>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</si>
  <si>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</si>
  <si>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</si>
  <si>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</si>
  <si>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</si>
  <si>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</si>
  <si>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</si>
  <si>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</si>
  <si>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</si>
  <si>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</si>
  <si>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</si>
  <si>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</si>
  <si>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</si>
  <si>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</si>
  <si>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</si>
  <si>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</si>
  <si>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</si>
  <si>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</si>
  <si>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</si>
  <si>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</si>
  <si>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</si>
  <si>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</si>
  <si>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</si>
  <si>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</si>
  <si>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</si>
  <si>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</si>
  <si>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</si>
  <si>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</si>
  <si>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</si>
  <si>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</si>
  <si>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</si>
  <si>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</si>
  <si>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</si>
  <si>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</si>
  <si>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</si>
  <si>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</si>
  <si>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</si>
  <si>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</si>
  <si>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</si>
  <si>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</si>
  <si>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</si>
  <si>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</si>
  <si>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</si>
  <si>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</si>
  <si>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</si>
  <si>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</si>
  <si>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</si>
  <si>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</si>
  <si>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</si>
  <si>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</si>
  <si>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</si>
  <si>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</si>
  <si>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</si>
  <si>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</si>
  <si>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</si>
  <si>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</si>
  <si>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</si>
  <si>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</si>
  <si>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</si>
  <si>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</si>
  <si>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</si>
  <si>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</si>
  <si>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</si>
  <si>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</si>
  <si>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</si>
  <si>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</si>
  <si>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</si>
  <si>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</si>
  <si>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</si>
  <si>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</si>
  <si>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</si>
  <si>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</si>
  <si>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</si>
  <si>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</si>
  <si>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</si>
  <si>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</si>
  <si>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</si>
  <si>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</si>
  <si>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</si>
  <si>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</si>
  <si>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</si>
  <si>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</si>
  <si>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</si>
  <si>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</si>
  <si>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</si>
  <si>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</si>
  <si>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</si>
  <si>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</si>
  <si>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</si>
  <si>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</si>
  <si>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</si>
  <si>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</si>
  <si>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</si>
  <si>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</si>
  <si>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</si>
  <si>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</si>
  <si>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</si>
  <si>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</si>
  <si>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</si>
  <si>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</si>
  <si>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</si>
  <si>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</si>
  <si>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</si>
  <si>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</si>
  <si>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</si>
  <si>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</si>
  <si>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</si>
  <si>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</si>
  <si>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</si>
  <si>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</si>
  <si>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</si>
  <si>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</si>
  <si>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</si>
  <si>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</si>
  <si>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</si>
  <si>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</si>
  <si>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</si>
  <si>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</si>
  <si>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</si>
  <si>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</si>
  <si>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</si>
  <si>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</si>
  <si>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</si>
  <si>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</si>
  <si>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</si>
  <si>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</si>
  <si>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</si>
  <si>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</si>
  <si>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</si>
  <si>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</si>
  <si>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</si>
  <si>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</si>
  <si>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</si>
  <si>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</si>
  <si>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</si>
  <si>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</si>
  <si>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</si>
  <si>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</si>
  <si>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</si>
  <si>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</si>
  <si>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</si>
  <si>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</si>
  <si>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</si>
  <si>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</si>
  <si>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</si>
  <si>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</si>
  <si>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</si>
  <si>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</si>
  <si>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</si>
  <si>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</si>
  <si>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</si>
  <si>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</si>
  <si>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</si>
  <si>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</si>
  <si>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</si>
  <si>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</si>
  <si>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</si>
  <si>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</si>
  <si>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</si>
  <si>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</si>
  <si>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</si>
  <si>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</si>
  <si>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</si>
  <si>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</si>
  <si>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</si>
  <si>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</si>
  <si>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</si>
  <si>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</si>
  <si>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</si>
  <si>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</si>
  <si>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</si>
  <si>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</si>
  <si>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</si>
  <si>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</si>
  <si>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</si>
  <si>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</si>
  <si>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</si>
  <si>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</si>
  <si>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</si>
  <si>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</si>
  <si>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</si>
  <si>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</si>
  <si>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</si>
  <si>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</si>
  <si>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</si>
  <si>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</si>
  <si>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</si>
  <si>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</si>
  <si>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</si>
  <si>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</si>
  <si>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</si>
  <si>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</si>
  <si>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</si>
  <si>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</si>
  <si>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</si>
  <si>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</si>
  <si>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</si>
  <si>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</si>
  <si>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</si>
  <si>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</si>
  <si>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</si>
  <si>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</si>
  <si>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</si>
  <si>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</si>
  <si>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</si>
  <si>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</si>
  <si>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</si>
  <si>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</si>
  <si>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</si>
  <si>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</si>
  <si>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</si>
  <si>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</si>
  <si>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</si>
  <si>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</si>
  <si>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</si>
  <si>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</si>
  <si>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</si>
  <si>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</si>
  <si>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</si>
  <si>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</si>
  <si>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</si>
  <si>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</si>
  <si>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</si>
  <si>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</si>
  <si>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</si>
  <si>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</si>
  <si>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</si>
  <si>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</si>
  <si>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</si>
  <si>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</si>
  <si>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</si>
  <si>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</si>
  <si>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</si>
  <si>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</si>
  <si>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</si>
  <si>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</si>
  <si>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</si>
  <si>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</si>
  <si>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</si>
  <si>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</si>
  <si>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</si>
  <si>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</si>
  <si>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</si>
  <si>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</si>
  <si>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</si>
  <si>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</si>
  <si>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</si>
  <si>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</si>
  <si>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</si>
  <si>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</si>
  <si>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</si>
  <si>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</si>
  <si>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</si>
  <si>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</si>
  <si>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</si>
  <si>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</si>
  <si>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</si>
  <si>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</si>
  <si>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</si>
  <si>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</si>
  <si>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</si>
  <si>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</si>
  <si>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</si>
  <si>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</si>
  <si>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</si>
  <si>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</si>
  <si>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</si>
  <si>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</si>
  <si>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</si>
  <si>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</si>
  <si>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</si>
  <si>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</si>
  <si>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</si>
  <si>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</si>
  <si>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</si>
  <si>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</si>
  <si>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</si>
  <si>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</si>
  <si>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</si>
  <si>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</si>
  <si>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</si>
  <si>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</si>
  <si>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</si>
  <si>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</si>
  <si>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</si>
  <si>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</si>
  <si>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</si>
  <si>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</si>
  <si>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</si>
  <si>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</si>
  <si>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</si>
  <si>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</si>
  <si>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</si>
  <si>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</si>
  <si>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</si>
  <si>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</si>
  <si>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</si>
  <si>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</si>
  <si>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</si>
  <si>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</si>
  <si>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</si>
  <si>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</si>
  <si>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</si>
  <si>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</si>
  <si>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</si>
  <si>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</si>
  <si>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</si>
  <si>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</si>
  <si>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</si>
  <si>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</si>
  <si>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</si>
  <si>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</si>
  <si>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</si>
  <si>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</si>
  <si>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</si>
  <si>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</si>
  <si>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</si>
  <si>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</si>
  <si>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</si>
  <si>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</si>
  <si>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</si>
  <si>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</si>
  <si>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</si>
  <si>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</si>
  <si>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</si>
  <si>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</si>
  <si>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</si>
  <si>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</si>
  <si>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</si>
  <si>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</si>
  <si>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</si>
  <si>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</si>
  <si>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</si>
  <si>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</si>
  <si>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</si>
  <si>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</si>
  <si>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</si>
  <si>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</si>
  <si>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</si>
  <si>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</si>
  <si>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</si>
  <si>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</si>
  <si>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</si>
  <si>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</si>
  <si>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</si>
  <si>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</si>
  <si>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</si>
  <si>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</si>
  <si>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</si>
  <si>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</si>
  <si>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</si>
  <si>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</si>
  <si>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</si>
  <si>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</si>
  <si>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</si>
  <si>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</si>
  <si>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</si>
  <si>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</si>
  <si>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</si>
  <si>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</si>
  <si>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</si>
  <si>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</si>
  <si>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</si>
  <si>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</si>
  <si>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</si>
  <si>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</si>
  <si>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</si>
  <si>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</si>
  <si>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</si>
  <si>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</si>
  <si>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</si>
  <si>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</si>
  <si>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</si>
  <si>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</si>
  <si>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</si>
  <si>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</si>
  <si>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</si>
  <si>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</si>
  <si>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</si>
  <si>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</si>
  <si>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</si>
  <si>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</si>
  <si>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</si>
  <si>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</si>
  <si>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</si>
  <si>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</si>
  <si>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</si>
  <si>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</si>
  <si>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</si>
  <si>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</si>
  <si>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</si>
  <si>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</si>
  <si>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</si>
  <si>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</si>
  <si>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</si>
  <si>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</si>
  <si>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</si>
  <si>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</si>
  <si>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</si>
  <si>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</si>
  <si>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</si>
  <si>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</si>
  <si>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</si>
  <si>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</si>
  <si>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</si>
  <si>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</si>
  <si>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</si>
  <si>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</si>
  <si>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</si>
  <si>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</si>
  <si>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</si>
  <si>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</si>
  <si>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</si>
  <si>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</si>
  <si>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</si>
  <si>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</si>
  <si>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</si>
  <si>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</si>
  <si>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</si>
  <si>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</si>
  <si>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</si>
  <si>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</si>
  <si>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</si>
  <si>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</si>
  <si>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</si>
  <si>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</si>
  <si>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</si>
  <si>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</si>
  <si>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</si>
  <si>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</si>
  <si>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</si>
  <si>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</si>
  <si>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</si>
  <si>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</si>
  <si>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</si>
  <si>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</si>
  <si>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</si>
  <si>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</si>
  <si>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</si>
  <si>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</si>
  <si>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</si>
  <si>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</si>
  <si>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</si>
  <si>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</si>
  <si>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</si>
  <si>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</si>
  <si>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</si>
  <si>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</si>
  <si>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</si>
  <si>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</si>
  <si>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</si>
  <si>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</si>
  <si>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</si>
  <si>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</si>
  <si>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</si>
  <si>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</si>
  <si>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</si>
  <si>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</si>
  <si>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</si>
  <si>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</si>
  <si>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</si>
  <si>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</si>
  <si>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</si>
  <si>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</si>
  <si>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</si>
  <si>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</si>
  <si>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</si>
  <si>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</si>
  <si>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</si>
  <si>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</si>
  <si>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</si>
  <si>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</si>
  <si>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</si>
  <si>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</si>
  <si>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</si>
  <si>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</si>
  <si>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</si>
  <si>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</si>
  <si>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</si>
  <si>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</si>
  <si>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</si>
  <si>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</si>
  <si>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</si>
  <si>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</si>
  <si>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</si>
  <si>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</si>
  <si>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</si>
  <si>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</si>
  <si>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</si>
  <si>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</si>
  <si>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</si>
  <si>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</si>
  <si>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</si>
  <si>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</si>
  <si>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</si>
  <si>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</si>
  <si>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</si>
  <si>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</si>
  <si>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</si>
  <si>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</si>
  <si>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</si>
  <si>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</si>
  <si>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</si>
  <si>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</si>
  <si>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</si>
  <si>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</si>
  <si>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</si>
  <si>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</si>
  <si>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</si>
  <si>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</si>
  <si>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</si>
  <si>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</si>
  <si>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</si>
  <si>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</si>
  <si>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</si>
  <si>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</si>
  <si>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</si>
  <si>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</si>
  <si>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</si>
  <si>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</si>
  <si>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</si>
  <si>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</si>
  <si>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</si>
  <si>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</si>
  <si>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</si>
  <si>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</si>
  <si>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</si>
  <si>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</si>
  <si>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</si>
  <si>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</si>
  <si>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</si>
  <si>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</si>
  <si>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</si>
  <si>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</si>
  <si>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</si>
  <si>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</si>
  <si>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</si>
  <si>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</si>
  <si>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</si>
  <si>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</si>
  <si>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</si>
  <si>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</si>
  <si>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</si>
  <si>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</si>
  <si>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</si>
  <si>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</si>
  <si>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</si>
  <si>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</si>
  <si>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</si>
  <si>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</si>
  <si>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</si>
  <si>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</si>
  <si>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</si>
  <si>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</si>
  <si>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</si>
  <si>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</si>
  <si>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</si>
  <si>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</si>
  <si>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</si>
  <si>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</si>
  <si>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</si>
  <si>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</si>
  <si>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</si>
  <si>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</si>
  <si>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</si>
  <si>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</si>
  <si>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</si>
  <si>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</si>
  <si>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</si>
  <si>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</si>
  <si>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</si>
  <si>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</si>
  <si>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</si>
  <si>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</si>
  <si>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</si>
  <si>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</si>
  <si>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</si>
  <si>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</si>
  <si>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</si>
  <si>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</si>
  <si>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</si>
  <si>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</si>
  <si>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</si>
  <si>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</si>
  <si>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</si>
  <si>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</si>
  <si>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</si>
  <si>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</si>
  <si>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</si>
  <si>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</si>
  <si>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</si>
  <si>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</si>
  <si>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</si>
  <si>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</si>
  <si>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</si>
  <si>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</si>
  <si>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</si>
  <si>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</si>
  <si>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</si>
  <si>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</si>
  <si>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</si>
  <si>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</si>
  <si>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</si>
  <si>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</si>
  <si>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</si>
  <si>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</si>
  <si>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</si>
  <si>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</si>
  <si>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</si>
  <si>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</si>
  <si>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</si>
  <si>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</si>
  <si>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</si>
  <si>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</si>
  <si>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</si>
  <si>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</si>
  <si>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</si>
  <si>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</si>
  <si>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</si>
  <si>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</si>
  <si>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</si>
  <si>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</si>
  <si>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</si>
  <si>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</si>
  <si>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</si>
  <si>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</si>
  <si>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</si>
  <si>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</si>
  <si>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</si>
  <si>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</si>
  <si>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</si>
  <si>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</si>
  <si>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</si>
  <si>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</si>
  <si>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</si>
  <si>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</si>
  <si>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</si>
  <si>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</si>
  <si>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</si>
  <si>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</si>
  <si>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</si>
  <si>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</si>
  <si>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</si>
  <si>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</si>
  <si>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</si>
  <si>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</si>
  <si>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</si>
  <si>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</si>
  <si>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</si>
  <si>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</si>
  <si>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</si>
  <si>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</si>
  <si>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</si>
  <si>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</si>
  <si>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</si>
  <si>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</si>
  <si>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</si>
  <si>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</si>
  <si>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</si>
  <si>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</si>
  <si>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</si>
  <si>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</si>
  <si>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</si>
  <si>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</si>
  <si>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</si>
  <si>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</si>
  <si>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</si>
  <si>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</si>
  <si>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</si>
  <si>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</si>
  <si>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</si>
  <si>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</si>
  <si>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</si>
  <si>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</si>
  <si>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</si>
  <si>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</si>
  <si>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</si>
  <si>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</si>
  <si>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</si>
  <si>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</si>
  <si>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</si>
  <si>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</si>
  <si>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</si>
  <si>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</si>
  <si>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</si>
  <si>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</si>
  <si>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</si>
  <si>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</si>
  <si>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</si>
  <si>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</si>
  <si>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</si>
  <si>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</si>
  <si>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</si>
  <si>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</si>
  <si>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</si>
  <si>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</si>
  <si>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</si>
  <si>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</si>
  <si>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</si>
  <si>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</si>
  <si>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</si>
  <si>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</si>
  <si>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</si>
  <si>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</si>
  <si>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</si>
  <si>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</si>
  <si>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</si>
  <si>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</si>
  <si>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</si>
  <si>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</si>
  <si>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</si>
  <si>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</si>
  <si>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</si>
  <si>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</si>
  <si>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</si>
  <si>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</si>
  <si>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</si>
  <si>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</si>
  <si>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</si>
  <si>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</si>
  <si>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</si>
  <si>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</si>
  <si>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</si>
  <si>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</si>
  <si>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</si>
  <si>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</si>
  <si>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</si>
  <si>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</si>
  <si>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</si>
  <si>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</si>
  <si>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</si>
  <si>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</si>
  <si>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</si>
  <si>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</si>
  <si>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</si>
  <si>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</si>
  <si>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</si>
  <si>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</si>
  <si>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</si>
  <si>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</si>
  <si>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</si>
  <si>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</si>
  <si>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</si>
  <si>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</si>
  <si>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</si>
  <si>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</si>
  <si>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</si>
  <si>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</si>
  <si>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</si>
  <si>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</si>
  <si>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</si>
  <si>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</si>
  <si>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</si>
  <si>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</si>
  <si>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</si>
  <si>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</si>
  <si>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</si>
  <si>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</si>
  <si>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</si>
  <si>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</si>
  <si>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</si>
  <si>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</si>
  <si>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</si>
  <si>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</si>
  <si>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</si>
  <si>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</si>
  <si>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</si>
  <si>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</si>
  <si>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</si>
  <si>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</si>
  <si>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</si>
  <si>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</si>
  <si>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</si>
  <si>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</si>
  <si>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</si>
  <si>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</si>
  <si>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</si>
  <si>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</si>
  <si>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</si>
  <si>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</si>
  <si>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</si>
  <si>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</si>
  <si>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</si>
  <si>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</si>
  <si>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</si>
  <si>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</si>
  <si>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</si>
  <si>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</si>
  <si>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</si>
  <si>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</si>
  <si>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</si>
  <si>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</si>
  <si>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</si>
  <si>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</si>
  <si>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</si>
  <si>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</si>
  <si>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</si>
  <si>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</si>
  <si>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</si>
  <si>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</si>
  <si>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</si>
  <si>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</si>
  <si>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</si>
  <si>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</si>
  <si>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</si>
  <si>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</si>
  <si>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</si>
  <si>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</si>
  <si>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</si>
  <si>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</si>
  <si>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</si>
  <si>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</si>
  <si>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</si>
  <si>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</si>
  <si>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</si>
  <si>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</si>
  <si>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</si>
  <si>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</si>
  <si>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</si>
  <si>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</si>
  <si>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</si>
  <si>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</si>
  <si>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</si>
  <si>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</si>
  <si>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</si>
  <si>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</si>
  <si>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</si>
  <si>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</si>
  <si>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</si>
  <si>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</si>
  <si>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</si>
  <si>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</si>
  <si>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</si>
  <si>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</si>
  <si>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</si>
  <si>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</si>
  <si>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</si>
  <si>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</si>
  <si>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</si>
  <si>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</si>
  <si>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</si>
  <si>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</si>
  <si>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</si>
  <si>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</si>
  <si>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</si>
  <si>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</si>
  <si>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</si>
  <si>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</si>
  <si>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</si>
  <si>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</si>
  <si>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</si>
  <si>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</si>
  <si>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</si>
  <si>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</si>
  <si>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</si>
  <si>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</si>
  <si>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</si>
  <si>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</si>
  <si>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</si>
  <si>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</si>
  <si>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</si>
  <si>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</si>
  <si>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</si>
  <si>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</si>
  <si>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</si>
  <si>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</si>
  <si>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</si>
  <si>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</si>
  <si>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</si>
  <si>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</si>
  <si>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</si>
  <si>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</si>
  <si>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</si>
  <si>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</si>
  <si>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</si>
  <si>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</si>
  <si>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</si>
  <si>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</si>
  <si>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</si>
  <si>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</si>
  <si>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</si>
  <si>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</si>
  <si>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</si>
  <si>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</si>
  <si>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</si>
  <si>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</si>
  <si>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</si>
  <si>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</si>
  <si>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</si>
  <si>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</si>
  <si>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</si>
  <si>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</si>
  <si>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</si>
  <si>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</si>
  <si>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</si>
  <si>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</si>
  <si>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</si>
  <si>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</si>
  <si>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</si>
  <si>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</si>
  <si>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</si>
  <si>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</si>
  <si>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</si>
  <si>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</si>
  <si>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</si>
  <si>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</si>
  <si>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</si>
  <si>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</si>
  <si>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</si>
  <si>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</si>
  <si>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</si>
  <si>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</si>
  <si>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</si>
  <si>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</si>
  <si>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</si>
  <si>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</si>
  <si>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</si>
  <si>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</si>
  <si>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</si>
  <si>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</si>
  <si>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</si>
  <si>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</si>
  <si>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</si>
  <si>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</si>
  <si>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</si>
  <si>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</si>
  <si>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</si>
  <si>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</si>
  <si>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</si>
  <si>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</si>
  <si>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</si>
  <si>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</si>
  <si>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</si>
  <si>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</si>
  <si>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</si>
  <si>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</si>
  <si>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</si>
  <si>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</si>
  <si>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</si>
  <si>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</si>
  <si>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</si>
  <si>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</si>
  <si>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</si>
  <si>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</si>
  <si>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</si>
  <si>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</si>
  <si>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</si>
  <si>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</si>
  <si>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</si>
  <si>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</si>
  <si>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</si>
  <si>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</si>
  <si>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</si>
  <si>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</si>
  <si>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</si>
  <si>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</si>
  <si>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</si>
  <si>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</si>
  <si>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</si>
  <si>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</si>
  <si>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</si>
  <si>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</si>
  <si>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</si>
  <si>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</si>
  <si>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</si>
  <si>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</si>
  <si>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</si>
  <si>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</si>
  <si>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</si>
  <si>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</si>
  <si>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</si>
  <si>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</si>
  <si>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</si>
  <si>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</si>
  <si>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</si>
  <si>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</si>
  <si>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</si>
  <si>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</si>
  <si>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</si>
  <si>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</si>
  <si>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</si>
  <si>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</si>
  <si>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</si>
  <si>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</si>
  <si>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</si>
  <si>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</si>
  <si>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</si>
  <si>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</si>
  <si>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</si>
  <si>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</si>
  <si>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</si>
  <si>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</si>
  <si>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</si>
  <si>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</si>
  <si>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</si>
  <si>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</si>
  <si>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</si>
  <si>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</si>
  <si>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</si>
  <si>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</si>
  <si>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</si>
  <si>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</si>
  <si>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</si>
  <si>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</si>
  <si>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</si>
  <si>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</si>
  <si>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</si>
  <si>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</si>
  <si>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</si>
  <si>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</si>
  <si>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</si>
  <si>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</si>
  <si>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</si>
  <si>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</si>
  <si>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</si>
  <si>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</si>
  <si>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</si>
  <si>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</si>
  <si>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</si>
  <si>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</si>
  <si>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</si>
  <si>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</si>
  <si>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</si>
  <si>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</si>
  <si>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</si>
  <si>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</si>
  <si>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</si>
  <si>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</si>
  <si>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</si>
  <si>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</si>
  <si>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</si>
  <si>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</si>
  <si>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</si>
  <si>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</si>
  <si>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</si>
  <si>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</si>
  <si>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</si>
  <si>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</si>
  <si>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</si>
  <si>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</si>
  <si>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</si>
  <si>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</si>
  <si>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</si>
  <si>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</si>
  <si>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</si>
  <si>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</si>
  <si>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</si>
  <si>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</si>
  <si>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</si>
  <si>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</si>
  <si>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</si>
  <si>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</si>
  <si>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</si>
  <si>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</si>
  <si>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</si>
  <si>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</si>
  <si>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</si>
  <si>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</si>
  <si>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</si>
  <si>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</si>
  <si>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</si>
  <si>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</si>
  <si>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</si>
  <si>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</si>
  <si>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</si>
  <si>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</si>
  <si>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</si>
  <si>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</si>
  <si>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</si>
  <si>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</si>
  <si>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</si>
  <si>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</si>
  <si>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</si>
  <si>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</si>
  <si>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</si>
  <si>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</si>
  <si>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</si>
  <si>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</si>
  <si>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</si>
  <si>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</si>
  <si>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</si>
  <si>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</si>
  <si>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</si>
  <si>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</si>
  <si>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</si>
  <si>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</si>
  <si>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</si>
  <si>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</si>
  <si>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</si>
  <si>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</si>
  <si>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</si>
  <si>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</si>
  <si>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</si>
  <si>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</si>
  <si>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</si>
  <si>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</si>
  <si>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</si>
  <si>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</si>
  <si>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</si>
  <si>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</si>
  <si>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</si>
  <si>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</si>
  <si>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</si>
  <si>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</si>
  <si>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</si>
  <si>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</si>
  <si>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</si>
  <si>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</si>
  <si>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</si>
  <si>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</si>
  <si>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</si>
  <si>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</si>
  <si>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</si>
  <si>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</si>
  <si>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</si>
  <si>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</si>
  <si>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</si>
  <si>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</si>
  <si>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</si>
  <si>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</si>
  <si>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</si>
  <si>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</si>
  <si>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</si>
  <si>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</si>
  <si>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</si>
  <si>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</si>
  <si>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</si>
  <si>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</si>
  <si>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</si>
  <si>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</si>
  <si>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</si>
  <si>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</si>
  <si>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</si>
  <si>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</si>
  <si>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</si>
  <si>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</si>
  <si>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</si>
  <si>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</si>
  <si>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</si>
  <si>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</si>
  <si>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</si>
  <si>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</si>
  <si>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</si>
  <si>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</si>
  <si>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</si>
  <si>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</si>
  <si>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</si>
  <si>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</si>
  <si>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</si>
  <si>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</si>
  <si>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</si>
  <si>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</si>
  <si>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</si>
  <si>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</si>
  <si>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</si>
  <si>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</si>
  <si>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</si>
  <si>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</si>
  <si>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</si>
  <si>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</si>
  <si>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</si>
  <si>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</si>
  <si>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</si>
  <si>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</si>
  <si>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</si>
  <si>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</si>
  <si>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</si>
  <si>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</si>
  <si>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</si>
  <si>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</si>
  <si>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</si>
  <si>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</si>
  <si>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</si>
  <si>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</si>
  <si>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</si>
  <si>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</si>
  <si>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</si>
  <si>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</si>
  <si>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</si>
  <si>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</si>
  <si>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</si>
  <si>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</si>
  <si>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</si>
  <si>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</si>
  <si>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</si>
  <si>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</si>
  <si>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</si>
  <si>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</si>
  <si>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</si>
  <si>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</si>
  <si>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</si>
  <si>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</si>
  <si>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</si>
  <si>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</si>
  <si>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</si>
  <si>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</si>
  <si>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</si>
  <si>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</si>
  <si>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</si>
  <si>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</si>
  <si>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</si>
  <si>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</si>
  <si>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</si>
  <si>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</si>
  <si>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</si>
  <si>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</si>
  <si>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</si>
  <si>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</si>
  <si>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</si>
  <si>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</si>
  <si>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</si>
  <si>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</si>
  <si>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</si>
  <si>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</si>
  <si>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</si>
  <si>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</si>
  <si>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</si>
  <si>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</si>
  <si>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</si>
  <si>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</si>
  <si>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</si>
  <si>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</si>
  <si>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</si>
  <si>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</si>
  <si>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</si>
  <si>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</si>
  <si>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</si>
  <si>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</si>
  <si>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</si>
  <si>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</si>
  <si>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</si>
  <si>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</si>
  <si>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</si>
  <si>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</si>
  <si>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</si>
  <si>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</si>
  <si>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</si>
  <si>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</si>
  <si>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</si>
  <si>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</si>
  <si>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</si>
  <si>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</si>
  <si>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</si>
  <si>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</si>
  <si>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</si>
  <si>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</si>
  <si>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</si>
  <si>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</si>
  <si>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</si>
  <si>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</si>
  <si>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</si>
  <si>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</si>
  <si>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</si>
  <si>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</si>
  <si>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</si>
  <si>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</si>
  <si>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</si>
  <si>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</si>
  <si>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</si>
  <si>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</si>
  <si>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</si>
  <si>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</si>
  <si>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</si>
  <si>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</si>
  <si>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</si>
  <si>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</si>
  <si>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</si>
  <si>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</si>
  <si>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</si>
  <si>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</si>
  <si>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</si>
  <si>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</si>
  <si>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</si>
  <si>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</si>
  <si>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</si>
  <si>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</si>
  <si>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</si>
  <si>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</si>
  <si>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</si>
  <si>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</si>
  <si>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</si>
  <si>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</si>
  <si>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</si>
  <si>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</si>
  <si>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</si>
  <si>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</si>
  <si>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</si>
  <si>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</si>
  <si>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</si>
  <si>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</si>
  <si>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</si>
  <si>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</si>
  <si>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</si>
  <si>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</si>
  <si>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</si>
  <si>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</si>
  <si>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</si>
  <si>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</si>
  <si>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</si>
  <si>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</si>
  <si>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</si>
  <si>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</si>
  <si>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</si>
  <si>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</si>
  <si>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</si>
  <si>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</si>
  <si>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</si>
  <si>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</si>
  <si>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</si>
  <si>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</si>
  <si>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</si>
  <si>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</si>
  <si>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</si>
  <si>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</si>
  <si>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</si>
  <si>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</si>
  <si>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</si>
  <si>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</si>
  <si>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</si>
  <si>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</si>
  <si>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</si>
  <si>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</si>
  <si>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</si>
  <si>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</si>
  <si>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</si>
  <si>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</si>
  <si>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</si>
  <si>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</si>
  <si>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</si>
  <si>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</si>
  <si>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</si>
  <si>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</si>
  <si>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</si>
  <si>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</si>
  <si>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</si>
  <si>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</si>
  <si>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</si>
  <si>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</si>
  <si>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</si>
  <si>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</si>
  <si>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</si>
  <si>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</si>
  <si>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</si>
  <si>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</si>
  <si>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</si>
  <si>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</si>
  <si>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</si>
  <si>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</si>
  <si>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</si>
  <si>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</si>
  <si>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</si>
  <si>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</si>
  <si>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</si>
  <si>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</si>
  <si>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</si>
  <si>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</si>
  <si>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</si>
  <si>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</si>
  <si>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</si>
  <si>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</si>
  <si>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</si>
  <si>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</si>
  <si>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</si>
  <si>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</si>
  <si>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</si>
  <si>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</si>
  <si>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</si>
  <si>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</si>
  <si>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</si>
  <si>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</si>
  <si>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</si>
  <si>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</si>
  <si>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</si>
  <si>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</si>
  <si>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</si>
  <si>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</si>
  <si>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</si>
  <si>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</si>
  <si>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</si>
  <si>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</si>
  <si>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</si>
  <si>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</si>
  <si>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</si>
  <si>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</si>
  <si>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</si>
  <si>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</si>
  <si>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</si>
  <si>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</si>
  <si>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</si>
  <si>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</si>
  <si>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</si>
  <si>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</si>
  <si>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</si>
  <si>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</si>
  <si>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</si>
  <si>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</si>
  <si>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</si>
  <si>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</si>
  <si>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</si>
  <si>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</si>
  <si>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</si>
  <si>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</si>
  <si>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</si>
  <si>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</si>
  <si>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</si>
  <si>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</si>
  <si>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</si>
  <si>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</si>
  <si>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</si>
  <si>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</si>
  <si>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</si>
  <si>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</si>
  <si>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</si>
  <si>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</si>
  <si>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</si>
  <si>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</si>
  <si>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</si>
  <si>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</si>
  <si>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</si>
  <si>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</si>
  <si>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</si>
  <si>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</si>
  <si>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</si>
  <si>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</si>
  <si>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</si>
  <si>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</si>
  <si>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</si>
  <si>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</si>
  <si>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</si>
  <si>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</si>
  <si>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</si>
  <si>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</si>
  <si>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</si>
  <si>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</si>
  <si>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</si>
  <si>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</si>
  <si>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</si>
  <si>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</si>
  <si>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</si>
  <si>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</si>
  <si>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</si>
  <si>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</si>
  <si>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</si>
  <si>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</si>
  <si>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</si>
  <si>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</si>
  <si>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</si>
  <si>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</si>
  <si>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</si>
  <si>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</si>
  <si>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</si>
  <si>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</si>
  <si>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</si>
  <si>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</si>
  <si>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</si>
  <si>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</si>
  <si>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</si>
  <si>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</si>
  <si>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</si>
  <si>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</si>
  <si>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</si>
  <si>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</si>
  <si>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</si>
  <si>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</si>
  <si>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</si>
  <si>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</si>
  <si>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</si>
  <si>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</si>
  <si>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</si>
  <si>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</si>
  <si>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</si>
  <si>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</si>
  <si>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</si>
  <si>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</si>
  <si>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</si>
  <si>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</si>
  <si>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</si>
  <si>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</si>
  <si>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</si>
  <si>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</si>
  <si>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</si>
  <si>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</si>
  <si>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</si>
  <si>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</si>
  <si>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</si>
  <si>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</si>
  <si>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</si>
  <si>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</si>
  <si>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</si>
  <si>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</si>
  <si>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</si>
  <si>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</si>
  <si>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</si>
  <si>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</si>
  <si>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</si>
  <si>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</si>
  <si>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</si>
  <si>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</si>
  <si>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</si>
  <si>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</si>
  <si>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</si>
  <si>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</si>
  <si>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</si>
  <si>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</si>
  <si>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</si>
  <si>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</si>
  <si>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</si>
  <si>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</si>
  <si>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</si>
  <si>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</si>
  <si>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</si>
  <si>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</si>
  <si>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</si>
  <si>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</si>
  <si>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</si>
  <si>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</si>
  <si>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</si>
  <si>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</si>
  <si>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</si>
  <si>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</si>
  <si>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</si>
  <si>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</si>
  <si>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</si>
  <si>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</si>
  <si>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</si>
  <si>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</si>
  <si>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</si>
  <si>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</si>
  <si>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</si>
  <si>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</si>
  <si>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</si>
  <si>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</si>
  <si>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</si>
  <si>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</si>
  <si>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</si>
  <si>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</si>
  <si>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</si>
  <si>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</si>
  <si>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</si>
  <si>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</si>
  <si>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</si>
  <si>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</si>
  <si>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</si>
  <si>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</si>
  <si>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</si>
  <si>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</si>
  <si>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</si>
  <si>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</si>
  <si>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</si>
  <si>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</si>
  <si>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</si>
  <si>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</si>
  <si>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</si>
  <si>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</si>
  <si>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</si>
  <si>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</si>
  <si>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</si>
  <si>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</si>
  <si>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</si>
  <si>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</si>
  <si>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</si>
  <si>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</si>
  <si>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</si>
  <si>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</si>
  <si>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</si>
  <si>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</si>
  <si>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</si>
  <si>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</si>
  <si>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</si>
  <si>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</si>
  <si>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</si>
  <si>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</si>
  <si>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</si>
  <si>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</si>
  <si>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</si>
  <si>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</si>
  <si>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</si>
  <si>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</si>
  <si>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</si>
  <si>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</si>
  <si>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</si>
  <si>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</si>
  <si>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</si>
  <si>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</si>
  <si>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</si>
  <si>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</si>
  <si>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</si>
  <si>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</si>
  <si>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</si>
  <si>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</si>
  <si>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</si>
  <si>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</si>
  <si>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</si>
  <si>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</si>
  <si>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</si>
  <si>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</si>
  <si>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</si>
  <si>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</si>
  <si>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</si>
  <si>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</si>
  <si>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</si>
  <si>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</si>
  <si>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</si>
  <si>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</si>
  <si>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</si>
  <si>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</si>
  <si>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</si>
  <si>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</si>
  <si>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</si>
  <si>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</si>
  <si>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</si>
  <si>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</si>
  <si>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</si>
  <si>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</si>
  <si>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</si>
  <si>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</si>
  <si>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</si>
  <si>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</si>
  <si>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</si>
  <si>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</si>
  <si>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</si>
  <si>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</si>
  <si>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</si>
  <si>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</si>
  <si>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</si>
  <si>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</si>
  <si>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</si>
  <si>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</si>
  <si>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</si>
  <si>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</si>
  <si>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</si>
  <si>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</si>
  <si>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</si>
  <si>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</si>
  <si>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</si>
  <si>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</si>
  <si>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</si>
  <si>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</si>
  <si>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</si>
  <si>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</si>
  <si>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</si>
  <si>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</si>
  <si>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</si>
  <si>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</si>
  <si>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</si>
  <si>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</si>
  <si>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</si>
  <si>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</si>
  <si>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</si>
  <si>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</si>
  <si>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</si>
  <si>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</si>
  <si>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</si>
  <si>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</si>
  <si>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</si>
  <si>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</si>
  <si>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</si>
  <si>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</si>
  <si>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</si>
  <si>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</si>
  <si>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</si>
  <si>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</si>
  <si>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</si>
  <si>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</si>
  <si>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</si>
  <si>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</si>
  <si>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</si>
  <si>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</si>
  <si>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</si>
  <si>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</si>
  <si>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</si>
  <si>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</si>
  <si>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</si>
  <si>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</si>
  <si>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</si>
  <si>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</si>
  <si>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</si>
  <si>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</si>
  <si>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</si>
  <si>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</si>
  <si>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</si>
  <si>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</si>
  <si>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</si>
  <si>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</si>
  <si>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</si>
  <si>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</si>
  <si>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</si>
  <si>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</si>
  <si>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</si>
  <si>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</si>
  <si>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</si>
  <si>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</si>
  <si>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</si>
  <si>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</si>
  <si>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</si>
  <si>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</si>
  <si>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</si>
  <si>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</si>
  <si>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</si>
  <si>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</si>
  <si>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</si>
  <si>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</si>
  <si>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</si>
  <si>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</si>
  <si>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</si>
  <si>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</si>
  <si>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</si>
  <si>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</si>
  <si>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</si>
  <si>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</si>
  <si>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</si>
  <si>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</si>
  <si>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</si>
  <si>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</si>
  <si>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</si>
  <si>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</si>
  <si>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</si>
  <si>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</si>
  <si>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</si>
  <si>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</si>
  <si>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</si>
  <si>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</si>
  <si>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</si>
  <si>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</si>
  <si>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</si>
  <si>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</si>
  <si>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</si>
  <si>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</si>
  <si>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</si>
  <si>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</si>
  <si>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</si>
  <si>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</si>
  <si>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</si>
  <si>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</si>
  <si>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</si>
  <si>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</si>
  <si>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</si>
  <si>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</si>
  <si>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</si>
  <si>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</si>
  <si>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</si>
  <si>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</si>
  <si>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</si>
  <si>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</si>
  <si>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</si>
  <si>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</si>
  <si>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</si>
  <si>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</si>
  <si>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</si>
  <si>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</si>
  <si>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</si>
  <si>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</si>
  <si>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</si>
  <si>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</si>
  <si>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</si>
  <si>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</si>
  <si>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</si>
  <si>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</si>
  <si>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</si>
  <si>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</si>
  <si>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</si>
  <si>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</si>
  <si>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</si>
  <si>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</si>
  <si>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</si>
  <si>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</si>
  <si>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</si>
  <si>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</si>
  <si>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</si>
  <si>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</si>
  <si>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</si>
  <si>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</si>
  <si>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</si>
  <si>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</si>
  <si>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</si>
  <si>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</si>
  <si>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</si>
  <si>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</si>
  <si>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</si>
  <si>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</si>
  <si>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</si>
  <si>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</si>
  <si>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</si>
  <si>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</si>
  <si>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</si>
  <si>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</si>
  <si>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</si>
  <si>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</si>
  <si>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</si>
  <si>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</si>
  <si>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</si>
  <si>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</si>
  <si>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</si>
  <si>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</si>
  <si>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</si>
  <si>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</si>
  <si>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</si>
  <si>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</si>
  <si>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</si>
  <si>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</si>
  <si>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</si>
  <si>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</si>
  <si>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</si>
  <si>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</si>
  <si>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</si>
  <si>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</si>
  <si>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</si>
  <si>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</si>
  <si>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</si>
  <si>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</si>
  <si>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</si>
  <si>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</si>
  <si>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</si>
  <si>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</si>
  <si>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</si>
  <si>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</si>
  <si>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</si>
  <si>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</si>
  <si>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</si>
  <si>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</si>
  <si>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</si>
  <si>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</si>
  <si>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</si>
  <si>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</si>
  <si>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</si>
  <si>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</si>
  <si>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</si>
  <si>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</si>
  <si>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</si>
  <si>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</si>
  <si>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</si>
  <si>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</si>
  <si>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</si>
  <si>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</si>
  <si>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</si>
  <si>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</si>
  <si>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</si>
  <si>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</si>
  <si>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</si>
  <si>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</si>
  <si>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</si>
  <si>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</si>
  <si>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</si>
  <si>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</si>
  <si>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</si>
  <si>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</si>
  <si>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</si>
  <si>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</si>
  <si>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</si>
  <si>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</si>
  <si>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</si>
  <si>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</si>
  <si>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</si>
  <si>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</si>
  <si>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</si>
  <si>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</si>
  <si>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</si>
  <si>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</si>
  <si>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</si>
  <si>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</si>
  <si>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</si>
  <si>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</si>
  <si>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</si>
  <si>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</si>
  <si>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</si>
  <si>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</si>
  <si>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</si>
  <si>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</si>
  <si>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</si>
  <si>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</si>
  <si>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</si>
  <si>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</si>
  <si>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</si>
  <si>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</si>
  <si>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</si>
  <si>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</si>
  <si>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</si>
  <si>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</si>
  <si>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</si>
  <si>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</si>
  <si>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</si>
  <si>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</si>
  <si>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</si>
  <si>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</si>
  <si>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</si>
  <si>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</si>
  <si>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</si>
  <si>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</si>
  <si>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</si>
  <si>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</si>
  <si>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</si>
  <si>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</si>
  <si>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</si>
  <si>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</si>
  <si>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</si>
  <si>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</si>
  <si>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</si>
  <si>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</si>
  <si>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</si>
  <si>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</si>
  <si>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</si>
  <si>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</si>
  <si>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</si>
  <si>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</si>
  <si>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</si>
  <si>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</si>
  <si>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</si>
  <si>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</si>
  <si>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</si>
  <si>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</si>
  <si>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</si>
  <si>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</si>
  <si>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</si>
  <si>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</si>
  <si>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</si>
  <si>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</si>
  <si>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</si>
  <si>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</si>
  <si>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</si>
  <si>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</si>
  <si>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</si>
  <si>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</si>
  <si>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</si>
  <si>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</si>
  <si>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</si>
  <si>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</si>
  <si>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</si>
  <si>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</si>
  <si>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</si>
  <si>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</si>
  <si>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</si>
  <si>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</si>
  <si>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</si>
  <si>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</si>
  <si>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</si>
  <si>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</si>
  <si>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</si>
  <si>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</si>
  <si>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</si>
  <si>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</si>
  <si>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</si>
  <si>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</si>
  <si>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</si>
  <si>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</si>
  <si>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</si>
  <si>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</si>
  <si>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</si>
  <si>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</si>
  <si>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</si>
  <si>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</si>
  <si>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</si>
  <si>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</si>
  <si>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</si>
  <si>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</si>
  <si>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</si>
  <si>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</si>
  <si>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</si>
  <si>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</si>
  <si>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</si>
  <si>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</si>
  <si>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</si>
  <si>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</si>
  <si>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</si>
  <si>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</si>
  <si>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</si>
  <si>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</si>
  <si>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</si>
  <si>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</si>
  <si>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</si>
  <si>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</si>
  <si>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</si>
  <si>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</si>
  <si>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</si>
  <si>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</si>
  <si>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</si>
  <si>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</si>
  <si>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</si>
  <si>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</si>
  <si>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</si>
  <si>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</si>
  <si>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</si>
  <si>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</si>
  <si>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</si>
  <si>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</si>
  <si>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</si>
  <si>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</si>
  <si>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</si>
  <si>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</si>
  <si>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</si>
  <si>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</si>
  <si>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</si>
  <si>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</si>
  <si>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</si>
  <si>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</si>
  <si>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</si>
  <si>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</si>
  <si>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</si>
  <si>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</si>
  <si>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</si>
  <si>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</si>
  <si>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</si>
  <si>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</si>
  <si>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</si>
  <si>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</si>
  <si>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</si>
  <si>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</si>
  <si>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</si>
  <si>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</si>
  <si>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</si>
  <si>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</si>
  <si>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</si>
  <si>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</si>
  <si>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</si>
  <si>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</si>
  <si>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</si>
  <si>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</si>
  <si>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</si>
  <si>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</si>
  <si>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</si>
  <si>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</si>
  <si>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</si>
  <si>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</si>
  <si>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</si>
  <si>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</si>
  <si>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</si>
  <si>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</si>
  <si>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</si>
  <si>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</si>
  <si>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</si>
  <si>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</si>
  <si>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</si>
  <si>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</si>
  <si>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</si>
  <si>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</si>
  <si>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</si>
  <si>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</si>
  <si>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</si>
  <si>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</si>
  <si>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</si>
  <si>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</si>
  <si>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</si>
  <si>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</si>
  <si>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</si>
  <si>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</si>
  <si>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</si>
  <si>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</si>
  <si>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</si>
  <si>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</si>
  <si>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</si>
  <si>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</si>
  <si>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</si>
  <si>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</si>
  <si>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</si>
  <si>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</si>
  <si>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</si>
  <si>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</si>
  <si>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</si>
  <si>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</si>
  <si>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</si>
  <si>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</si>
  <si>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</si>
  <si>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</si>
  <si>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</si>
  <si>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</si>
  <si>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</si>
  <si>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</si>
  <si>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</si>
  <si>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</si>
  <si>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</si>
  <si>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</si>
  <si>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</si>
  <si>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</si>
  <si>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</si>
  <si>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</si>
  <si>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</si>
  <si>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</si>
  <si>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</si>
  <si>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</si>
  <si>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</si>
  <si>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</si>
  <si>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</si>
  <si>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</si>
  <si>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</si>
  <si>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</si>
  <si>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</si>
  <si>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</si>
  <si>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</si>
  <si>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</si>
  <si>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</si>
  <si>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</si>
  <si>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</si>
  <si>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</si>
  <si>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</si>
  <si>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</si>
  <si>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</si>
  <si>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</si>
  <si>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</si>
  <si>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</si>
  <si>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</si>
  <si>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</si>
  <si>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</si>
  <si>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</si>
  <si>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</si>
  <si>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</si>
  <si>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</si>
  <si>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</si>
  <si>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</si>
  <si>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</si>
  <si>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</si>
  <si>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</si>
  <si>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</si>
  <si>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</si>
  <si>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</si>
  <si>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</si>
  <si>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</si>
  <si>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</si>
  <si>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</si>
  <si>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</si>
  <si>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</si>
  <si>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</si>
  <si>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</si>
  <si>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</si>
  <si>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</si>
  <si>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</si>
  <si>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</si>
  <si>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</si>
  <si>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</si>
  <si>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</si>
  <si>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</si>
  <si>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</si>
  <si>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</si>
  <si>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</si>
  <si>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</si>
  <si>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</si>
  <si>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</si>
  <si>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</si>
  <si>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</si>
  <si>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</si>
  <si>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</si>
  <si>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</si>
  <si>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</si>
  <si>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</si>
  <si>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</si>
  <si>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</si>
  <si>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</si>
  <si>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</si>
  <si>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</si>
  <si>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</si>
  <si>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</si>
  <si>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</si>
  <si>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</si>
  <si>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</si>
  <si>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</si>
  <si>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</si>
  <si>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</si>
  <si>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</si>
  <si>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</si>
  <si>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</si>
  <si>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</si>
  <si>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</si>
  <si>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</si>
  <si>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</si>
  <si>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</si>
  <si>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</si>
  <si>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</si>
  <si>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</si>
  <si>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</si>
  <si>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</si>
  <si>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</si>
  <si>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</si>
  <si>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</si>
  <si>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</si>
  <si>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</si>
  <si>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</si>
  <si>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</si>
  <si>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</si>
  <si>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</si>
  <si>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</si>
  <si>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</si>
  <si>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</si>
  <si>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</si>
  <si>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</si>
  <si>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</si>
  <si>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</si>
  <si>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</si>
  <si>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</si>
  <si>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</si>
  <si>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</si>
  <si>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</si>
  <si>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</si>
  <si>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</si>
  <si>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</si>
  <si>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</si>
  <si>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</si>
  <si>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</si>
  <si>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</si>
  <si>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</si>
  <si>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</si>
  <si>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</si>
  <si>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</si>
  <si>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</si>
  <si>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</si>
  <si>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</si>
  <si>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</si>
  <si>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</si>
  <si>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</si>
  <si>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</si>
  <si>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</si>
  <si>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</si>
  <si>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</si>
  <si>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</si>
  <si>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</si>
  <si>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</si>
  <si>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</si>
  <si>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</si>
  <si>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</si>
  <si>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</si>
  <si>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</si>
  <si>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</si>
  <si>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</si>
  <si>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</si>
  <si>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</si>
  <si>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</si>
  <si>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</si>
  <si>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</si>
  <si>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</si>
  <si>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</si>
  <si>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</si>
  <si>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</si>
  <si>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</si>
  <si>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</si>
  <si>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</si>
  <si>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</si>
  <si>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</si>
  <si>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</si>
  <si>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</si>
  <si>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</si>
  <si>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</si>
  <si>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</si>
  <si>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</si>
  <si>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</si>
  <si>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</si>
  <si>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</si>
  <si>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</si>
  <si>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</si>
  <si>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</si>
  <si>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</si>
  <si>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</si>
  <si>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</si>
  <si>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</si>
  <si>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</si>
  <si>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</si>
  <si>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</si>
  <si>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</si>
  <si>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</si>
  <si>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</si>
  <si>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</si>
  <si>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</si>
  <si>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</si>
  <si>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</si>
  <si>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</si>
  <si>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</si>
  <si>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</si>
  <si>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</si>
  <si>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</si>
  <si>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</si>
  <si>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</si>
  <si>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</si>
  <si>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</si>
  <si>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</si>
  <si>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</si>
  <si>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</si>
  <si>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</si>
  <si>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</si>
  <si>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</si>
  <si>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</si>
  <si>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</si>
  <si>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</si>
  <si>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</si>
  <si>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</si>
  <si>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</si>
  <si>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</si>
  <si>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</si>
  <si>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</si>
  <si>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</si>
  <si>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</si>
  <si>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</si>
  <si>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</si>
  <si>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</si>
  <si>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</si>
  <si>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</si>
  <si>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</si>
  <si>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</si>
  <si>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</si>
  <si>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</si>
  <si>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</si>
  <si>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</si>
  <si>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</si>
  <si>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</si>
  <si>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</si>
  <si>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</si>
  <si>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</si>
  <si>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</si>
  <si>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</si>
  <si>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</si>
  <si>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郑燚</t>
  </si>
  <si>
    <t>王萌</t>
  </si>
  <si>
    <t>抵押</t>
  </si>
  <si>
    <t>房地产抵押价值</t>
  </si>
  <si>
    <t>其他：</t>
  </si>
  <si>
    <t>企业</t>
  </si>
  <si>
    <t>出让</t>
  </si>
  <si>
    <t>商业</t>
    <phoneticPr fontId="6" type="noConversion"/>
  </si>
  <si>
    <t>否</t>
  </si>
  <si>
    <t>原件</t>
  </si>
  <si>
    <t>商业项目</t>
  </si>
  <si>
    <t>商场</t>
  </si>
  <si>
    <t>现房</t>
  </si>
  <si>
    <t>通路</t>
  </si>
  <si>
    <t>通电</t>
  </si>
  <si>
    <t>通讯</t>
  </si>
  <si>
    <t>通上水</t>
  </si>
  <si>
    <t>通下水</t>
  </si>
  <si>
    <t>燃气</t>
  </si>
  <si>
    <t>平整</t>
  </si>
  <si>
    <t>宿迁市城镇土地使用税税率表</t>
    <phoneticPr fontId="3" type="noConversion"/>
  </si>
  <si>
    <t>是</t>
  </si>
  <si>
    <t>地上</t>
  </si>
  <si>
    <t>楼层</t>
    <phoneticPr fontId="143" type="noConversion"/>
  </si>
  <si>
    <t>典型户型商业</t>
  </si>
  <si>
    <t>典型户型商业</t>
    <phoneticPr fontId="7" type="noConversion"/>
  </si>
  <si>
    <t>商业剩余</t>
    <phoneticPr fontId="7" type="noConversion"/>
  </si>
  <si>
    <t>成新度</t>
  </si>
  <si>
    <t>收益法</t>
  </si>
  <si>
    <t>钢混</t>
  </si>
  <si>
    <t>非生产用房</t>
  </si>
  <si>
    <t>收益还原</t>
  </si>
  <si>
    <t>售价</t>
  </si>
  <si>
    <t>比较法-商业</t>
  </si>
  <si>
    <t>用世.水韵城</t>
    <phoneticPr fontId="3" type="noConversion"/>
  </si>
  <si>
    <t>正常</t>
  </si>
  <si>
    <t>商业</t>
    <phoneticPr fontId="31" type="noConversion"/>
  </si>
  <si>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</si>
  <si>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</si>
  <si>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</si>
  <si>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</si>
  <si>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</si>
  <si>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</si>
  <si>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</si>
  <si>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</si>
  <si>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</si>
  <si>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</si>
  <si>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</si>
  <si>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</si>
  <si>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</si>
  <si>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</si>
  <si>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</si>
  <si>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r>
      <t>3</t>
    </r>
    <r>
      <rPr>
        <sz val="11"/>
        <color indexed="8"/>
        <rFont val="宋体"/>
        <family val="3"/>
        <charset val="134"/>
      </rPr>
      <t>层</t>
    </r>
    <phoneticPr fontId="31" type="noConversion"/>
  </si>
  <si>
    <t>综合体商业</t>
    <phoneticPr fontId="31" type="noConversion"/>
  </si>
  <si>
    <t>商业街商业</t>
    <phoneticPr fontId="31" type="noConversion"/>
  </si>
  <si>
    <t>独栋商业楼</t>
    <phoneticPr fontId="31" type="noConversion"/>
  </si>
  <si>
    <t>住宅底商</t>
  </si>
  <si>
    <t>住宅底商</t>
    <phoneticPr fontId="31" type="noConversion"/>
  </si>
  <si>
    <t>钢</t>
    <phoneticPr fontId="31" type="noConversion"/>
  </si>
  <si>
    <t>钢混</t>
    <phoneticPr fontId="31" type="noConversion"/>
  </si>
  <si>
    <t>混合</t>
    <phoneticPr fontId="31" type="noConversion"/>
  </si>
  <si>
    <t>砖</t>
    <phoneticPr fontId="31" type="noConversion"/>
  </si>
  <si>
    <t>精装修</t>
    <phoneticPr fontId="31" type="noConversion"/>
  </si>
  <si>
    <t>普通装修</t>
  </si>
  <si>
    <t>普通装修</t>
    <phoneticPr fontId="31" type="noConversion"/>
  </si>
  <si>
    <t>毛坯</t>
  </si>
  <si>
    <t>毛坯</t>
    <phoneticPr fontId="31" type="noConversion"/>
  </si>
  <si>
    <t>六通</t>
    <phoneticPr fontId="31" type="noConversion"/>
  </si>
  <si>
    <t>五通</t>
    <phoneticPr fontId="31" type="noConversion"/>
  </si>
  <si>
    <t>四通</t>
    <phoneticPr fontId="31" type="noConversion"/>
  </si>
  <si>
    <t>三通</t>
    <phoneticPr fontId="31" type="noConversion"/>
  </si>
  <si>
    <t>七通</t>
    <phoneticPr fontId="31" type="noConversion"/>
  </si>
  <si>
    <t>综合性商业</t>
    <phoneticPr fontId="31" type="noConversion"/>
  </si>
  <si>
    <t>专业性市场</t>
    <phoneticPr fontId="31" type="noConversion"/>
  </si>
  <si>
    <t>社区零售商业</t>
  </si>
  <si>
    <t>社区零售商业</t>
    <phoneticPr fontId="31" type="noConversion"/>
  </si>
  <si>
    <t>挑高层高</t>
  </si>
  <si>
    <t>挑高层高</t>
    <phoneticPr fontId="31" type="noConversion"/>
  </si>
  <si>
    <t>标准层高</t>
    <phoneticPr fontId="31" type="noConversion"/>
  </si>
  <si>
    <t>1层</t>
  </si>
  <si>
    <t>项目局部</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</si>
  <si>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</si>
  <si>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</si>
  <si>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</si>
  <si>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2层</t>
  </si>
  <si>
    <t>3层</t>
  </si>
  <si>
    <t>成本法</t>
  </si>
  <si>
    <t>30-40（含）</t>
  </si>
  <si>
    <t>按租金收入计税</t>
  </si>
  <si>
    <t>比较因素</t>
  </si>
  <si>
    <t>估价对象</t>
  </si>
  <si>
    <r>
      <t>案例：</t>
    </r>
    <r>
      <rPr>
        <sz val="9"/>
        <color theme="1"/>
        <rFont val="Arial"/>
        <family val="2"/>
      </rPr>
      <t>A</t>
    </r>
  </si>
  <si>
    <r>
      <t>案例：</t>
    </r>
    <r>
      <rPr>
        <sz val="9"/>
        <color theme="1"/>
        <rFont val="Arial"/>
        <family val="2"/>
      </rPr>
      <t>B</t>
    </r>
  </si>
  <si>
    <r>
      <t>案例：</t>
    </r>
    <r>
      <rPr>
        <sz val="9"/>
        <color theme="1"/>
        <rFont val="Arial"/>
        <family val="2"/>
      </rPr>
      <t>C</t>
    </r>
  </si>
  <si>
    <t>交易时间</t>
  </si>
  <si>
    <t>市场状况</t>
  </si>
  <si>
    <t>土地使用年限（年）</t>
  </si>
  <si>
    <t>区位状况</t>
  </si>
  <si>
    <t>公共配套设施</t>
  </si>
  <si>
    <t>区域基础设施水平</t>
  </si>
  <si>
    <t>实物状况</t>
  </si>
  <si>
    <t>建筑结构</t>
  </si>
  <si>
    <t>公共部分装修</t>
  </si>
  <si>
    <t>成新率</t>
  </si>
  <si>
    <t>市政基础设施</t>
  </si>
  <si>
    <t>内部装修</t>
  </si>
  <si>
    <t>内部装修维护状况</t>
  </si>
  <si>
    <t>30-40（含）</t>
    <phoneticPr fontId="143" type="noConversion"/>
  </si>
  <si>
    <t>权益状况</t>
  </si>
  <si>
    <t>权益状况</t>
    <phoneticPr fontId="143" type="noConversion"/>
  </si>
  <si>
    <t>容积率</t>
    <phoneticPr fontId="143" type="noConversion"/>
  </si>
  <si>
    <t>交通便捷度</t>
    <phoneticPr fontId="143" type="noConversion"/>
  </si>
  <si>
    <t>自然及人文环境</t>
    <phoneticPr fontId="143" type="noConversion"/>
  </si>
  <si>
    <t>临街状况</t>
    <phoneticPr fontId="143" type="noConversion"/>
  </si>
  <si>
    <t>单面临街</t>
    <phoneticPr fontId="143" type="noConversion"/>
  </si>
  <si>
    <t>可视性</t>
    <phoneticPr fontId="143" type="noConversion"/>
  </si>
  <si>
    <t>较好</t>
    <phoneticPr fontId="143" type="noConversion"/>
  </si>
  <si>
    <t>人流量</t>
    <phoneticPr fontId="143" type="noConversion"/>
  </si>
  <si>
    <t>1层</t>
    <phoneticPr fontId="143" type="noConversion"/>
  </si>
  <si>
    <t>商业类型</t>
    <phoneticPr fontId="143" type="noConversion"/>
  </si>
  <si>
    <t>住宅底商</t>
    <phoneticPr fontId="143" type="noConversion"/>
  </si>
  <si>
    <t>普通装修</t>
    <phoneticPr fontId="143" type="noConversion"/>
  </si>
  <si>
    <t>业态</t>
    <phoneticPr fontId="143" type="noConversion"/>
  </si>
  <si>
    <t>社区零售商业</t>
    <phoneticPr fontId="143" type="noConversion"/>
  </si>
  <si>
    <t>层高</t>
    <phoneticPr fontId="143" type="noConversion"/>
  </si>
  <si>
    <t>挑高层高</t>
    <phoneticPr fontId="143" type="noConversion"/>
  </si>
  <si>
    <t>进深比</t>
    <phoneticPr fontId="143" type="noConversion"/>
  </si>
  <si>
    <t>较好</t>
    <phoneticPr fontId="143" type="noConversion"/>
  </si>
  <si>
    <t>毛坯</t>
    <phoneticPr fontId="143" type="noConversion"/>
  </si>
  <si>
    <t>商业</t>
    <phoneticPr fontId="143" type="noConversion"/>
  </si>
  <si>
    <t>单套建筑面积（平方米）</t>
    <phoneticPr fontId="143" type="noConversion"/>
  </si>
  <si>
    <t>交易情况</t>
  </si>
  <si>
    <t>100/</t>
  </si>
  <si>
    <t>销售价格（元/平方米）</t>
  </si>
  <si>
    <t>比较价值（元/平方米）</t>
  </si>
  <si>
    <t>中信信托有限责任公司</t>
    <phoneticPr fontId="6" type="noConversion"/>
  </si>
  <si>
    <t>武汉统建</t>
    <phoneticPr fontId="6" type="noConversion"/>
  </si>
  <si>
    <t>湖北省武汉市</t>
    <phoneticPr fontId="6" type="noConversion"/>
  </si>
  <si>
    <t>底商</t>
  </si>
  <si>
    <t>请录依据文件名称：</t>
    <phoneticPr fontId="3" type="noConversion"/>
  </si>
  <si>
    <t>押一</t>
  </si>
  <si>
    <t>一般</t>
  </si>
  <si>
    <r>
      <t>1-2</t>
    </r>
    <r>
      <rPr>
        <sz val="10"/>
        <color indexed="8"/>
        <rFont val="宋体"/>
        <family val="3"/>
        <charset val="134"/>
      </rPr>
      <t>层</t>
    </r>
    <phoneticPr fontId="25" type="noConversion"/>
  </si>
  <si>
    <r>
      <t>4</t>
    </r>
    <r>
      <rPr>
        <sz val="10"/>
        <color indexed="8"/>
        <rFont val="宋体"/>
        <family val="3"/>
        <charset val="134"/>
      </rPr>
      <t>层</t>
    </r>
    <phoneticPr fontId="25" type="noConversion"/>
  </si>
  <si>
    <t>1-2层</t>
  </si>
  <si>
    <t>武汉市东湖高新技术开发区光谷一路与南湖大道交汇处</t>
    <phoneticPr fontId="3" type="noConversion"/>
  </si>
  <si>
    <t>武汉市东湖高新技术开发区关山一路</t>
    <phoneticPr fontId="3" type="noConversion"/>
  </si>
  <si>
    <t>武汉市东湖高新技术开发区光谷一路和高新二路交汇处</t>
    <phoneticPr fontId="3" type="noConversion"/>
  </si>
  <si>
    <t>天成美景</t>
    <phoneticPr fontId="143" type="noConversion"/>
  </si>
  <si>
    <t>湖北省武汉市洪山区天成美景项目1#商1号等100套商业用房房地产</t>
    <phoneticPr fontId="143" type="noConversion"/>
  </si>
  <si>
    <t>顺民34789</t>
    <phoneticPr fontId="143" type="noConversion"/>
  </si>
  <si>
    <t>武汉市东湖高新技术开发区光谷一路与南湖大道交汇处</t>
    <phoneticPr fontId="143" type="noConversion"/>
  </si>
  <si>
    <t>武汉市东湖高新技术开发区关山一路</t>
    <phoneticPr fontId="143" type="noConversion"/>
  </si>
  <si>
    <t>武汉市东湖高新技术开发区光谷一路和高新二路交汇处</t>
    <phoneticPr fontId="143" type="noConversion"/>
  </si>
  <si>
    <t>周边有天成美景、天成美雅、金地太阳城等项目，商业繁华度一般；</t>
    <phoneticPr fontId="143" type="noConversion"/>
  </si>
  <si>
    <t>周边有顺民34789、天成美雅、金地太阳城等项目，商业繁华度一般；</t>
    <phoneticPr fontId="143" type="noConversion"/>
  </si>
  <si>
    <t>估价对象周边路网密集度一般、停车较便捷、周边有301、756、913路等多条公共线路经过，交通状况一般；</t>
    <phoneticPr fontId="143" type="noConversion"/>
  </si>
  <si>
    <t>估价对象周边1公里内的公共服务配套设施齐备，有超市（兴隆超市等）、银行（华夏银行、汉口银行等）、学校（华中科技大学、武汉应用技术学校等）、餐饮（亮亮龙虾城、鸽子土灶台等）；</t>
    <phoneticPr fontId="143" type="noConversion"/>
  </si>
  <si>
    <t>周边有2公里无公园、博物馆、音乐厅等设施，环境状况一般；</t>
    <phoneticPr fontId="143" type="noConversion"/>
  </si>
  <si>
    <t>一般</t>
    <phoneticPr fontId="143" type="noConversion"/>
  </si>
  <si>
    <t>金地太阳城</t>
    <phoneticPr fontId="143" type="noConversion"/>
  </si>
  <si>
    <t>佳源花都</t>
    <phoneticPr fontId="143" type="noConversion"/>
  </si>
  <si>
    <t>建筑面积</t>
    <phoneticPr fontId="143" type="noConversion"/>
  </si>
  <si>
    <t>分摊土地面积</t>
    <phoneticPr fontId="143" type="noConversion"/>
  </si>
  <si>
    <t>序号</t>
    <phoneticPr fontId="143" type="noConversion"/>
  </si>
  <si>
    <t>坐落</t>
    <phoneticPr fontId="143" type="noConversion"/>
  </si>
  <si>
    <t>建筑面积</t>
    <phoneticPr fontId="143" type="noConversion"/>
  </si>
  <si>
    <t>分摊土地面积</t>
    <phoneticPr fontId="143" type="noConversion"/>
  </si>
  <si>
    <t>备注</t>
    <phoneticPr fontId="143" type="noConversion"/>
  </si>
  <si>
    <t>天成美景</t>
    <phoneticPr fontId="143" type="noConversion"/>
  </si>
  <si>
    <t>东湖新技术开发区光谷一路38号天成美景S1、S2栋S1单元1-2层01商号</t>
    <phoneticPr fontId="143" type="noConversion"/>
  </si>
  <si>
    <t>0015004</t>
    <phoneticPr fontId="143" type="noConversion"/>
  </si>
  <si>
    <t>东湖新技术开发区光谷一路38号天成美景S1、S2栋S2单元1层01商号</t>
    <phoneticPr fontId="143" type="noConversion"/>
  </si>
  <si>
    <t>东湖新技术开发区光谷一路38号天成美景S1、S2栋S2单元1层02商号</t>
  </si>
  <si>
    <t>0014866</t>
    <phoneticPr fontId="143" type="noConversion"/>
  </si>
  <si>
    <t>东湖新技术开发区光谷一路38号天成美景S1、S2栋S2单元1-2层03商号</t>
    <phoneticPr fontId="143" type="noConversion"/>
  </si>
  <si>
    <t>0014864</t>
    <phoneticPr fontId="143" type="noConversion"/>
  </si>
  <si>
    <t>东湖新技术开发区光谷一路38号天成美景S1、S2栋S2单元1-2层04商号</t>
  </si>
  <si>
    <t>0014681</t>
    <phoneticPr fontId="143" type="noConversion"/>
  </si>
  <si>
    <t>东湖新技术开发区光谷一路38号天成美景S1、S2栋S2单元1-2层05商号</t>
  </si>
  <si>
    <t>0014875</t>
    <phoneticPr fontId="143" type="noConversion"/>
  </si>
  <si>
    <t>东湖新技术开发区光谷一路38号天成美景S1、S2栋S2单元1层06商号</t>
    <phoneticPr fontId="143" type="noConversion"/>
  </si>
  <si>
    <t>0014862</t>
    <phoneticPr fontId="143" type="noConversion"/>
  </si>
  <si>
    <t>东湖新技术开发区光谷一路38号天成美景S1、S2栋S2单元1层07商号</t>
  </si>
  <si>
    <t>0014923</t>
    <phoneticPr fontId="143" type="noConversion"/>
  </si>
  <si>
    <t>东湖新技术开发区光谷一路38号天成美景S1、S2栋S2单元1层08商号</t>
  </si>
  <si>
    <t>0014927</t>
    <phoneticPr fontId="143" type="noConversion"/>
  </si>
  <si>
    <t>东湖新技术开发区光谷一路38号天成美景S1、S2栋S2单元1层09商号</t>
  </si>
  <si>
    <t>0014912</t>
    <phoneticPr fontId="143" type="noConversion"/>
  </si>
  <si>
    <t>东湖新技术开发区光谷一路38号天成美景S1、S2栋S2单元1层10商号</t>
  </si>
  <si>
    <t>0014919</t>
    <phoneticPr fontId="143" type="noConversion"/>
  </si>
  <si>
    <t>东湖新技术开发区光谷一路38号天成美景S1、S2栋S2单元1层11商号</t>
  </si>
  <si>
    <t>0018559</t>
    <phoneticPr fontId="143" type="noConversion"/>
  </si>
  <si>
    <t>东湖新技术开发区光谷一路38号天成美景S1、S2栋S2单元1层12商号</t>
  </si>
  <si>
    <t>0014877</t>
    <phoneticPr fontId="143" type="noConversion"/>
  </si>
  <si>
    <t>东湖新技术开发区光谷一路38号天成美景S1、S2栋S2单元1层13商号</t>
  </si>
  <si>
    <t>0014868</t>
    <phoneticPr fontId="143" type="noConversion"/>
  </si>
  <si>
    <t>东湖新技术开发区光谷一路38号天成美景S1、S2栋S2单元1层14商号</t>
  </si>
  <si>
    <t>0014869</t>
    <phoneticPr fontId="143" type="noConversion"/>
  </si>
  <si>
    <t>东湖新技术开发区光谷一路38号天成美景S1、S2栋S2单元1层15商号</t>
  </si>
  <si>
    <t>0014886</t>
    <phoneticPr fontId="143" type="noConversion"/>
  </si>
  <si>
    <t>东湖新技术开发区光谷一路38号天成美景S1、S2栋S2单元1层16商号</t>
  </si>
  <si>
    <t>0017685</t>
    <phoneticPr fontId="143" type="noConversion"/>
  </si>
  <si>
    <t>东湖新技术开发区光谷一路38号天成美景S1、S2栋S2单元1层17商号</t>
  </si>
  <si>
    <t>0015112</t>
    <phoneticPr fontId="143" type="noConversion"/>
  </si>
  <si>
    <t>东湖新技术开发区光谷一路38号天成美景S1、S2栋S2单元1层18商号</t>
  </si>
  <si>
    <t>0015113</t>
    <phoneticPr fontId="143" type="noConversion"/>
  </si>
  <si>
    <t>东湖新技术开发区光谷一路38号天成美景S1、S2栋S2单元1层19商号</t>
  </si>
  <si>
    <t>0015114</t>
    <phoneticPr fontId="143" type="noConversion"/>
  </si>
  <si>
    <t>东湖新技术开发区光谷一路38号天成美景S1、S2栋S2单元1层20商号</t>
  </si>
  <si>
    <t>0014899</t>
    <phoneticPr fontId="143" type="noConversion"/>
  </si>
  <si>
    <t>东湖新技术开发区光谷一路38号天成美景S1、S2栋S2单元1层21商号</t>
  </si>
  <si>
    <t>0014910</t>
    <phoneticPr fontId="143" type="noConversion"/>
  </si>
  <si>
    <t>东湖新技术开发区光谷一路38号天成美景S1、S2栋S2单元1层22商号</t>
  </si>
  <si>
    <t>0014773</t>
    <phoneticPr fontId="143" type="noConversion"/>
  </si>
  <si>
    <t>东湖新技术开发区光谷一路38号天成美景S1、S2栋S2单元1层23商号</t>
  </si>
  <si>
    <t>0017694</t>
    <phoneticPr fontId="143" type="noConversion"/>
  </si>
  <si>
    <t>东湖新技术开发区光谷一路38号天成美景S1、S2栋S2单元1层24商号</t>
  </si>
  <si>
    <t>0017696</t>
    <phoneticPr fontId="143" type="noConversion"/>
  </si>
  <si>
    <t>东湖新技术开发区光谷一路38号天成美景S1、S2栋S2单元1层25商号</t>
    <phoneticPr fontId="143" type="noConversion"/>
  </si>
  <si>
    <t>0017708</t>
    <phoneticPr fontId="143" type="noConversion"/>
  </si>
  <si>
    <t>东湖新技术开发区光谷一路38号天成美景S1、S2栋S2单元1层26商号</t>
  </si>
  <si>
    <t>0017690</t>
    <phoneticPr fontId="143" type="noConversion"/>
  </si>
  <si>
    <t>东湖新技术开发区光谷一路38号天成美景S1、S2栋S2单元1层27商号</t>
  </si>
  <si>
    <t>0017697</t>
    <phoneticPr fontId="143" type="noConversion"/>
  </si>
  <si>
    <t>东湖新技术开发区光谷一路38号天成美景S1、S2栋S2单元1层28商号</t>
  </si>
  <si>
    <t>0017691</t>
    <phoneticPr fontId="143" type="noConversion"/>
  </si>
  <si>
    <t>东湖新技术开发区光谷一路38号天成美景S1、S2栋S2单元1层29商号</t>
  </si>
  <si>
    <t>0017698</t>
    <phoneticPr fontId="143" type="noConversion"/>
  </si>
  <si>
    <t>东湖新技术开发区光谷一路38号天成美景S1、S2栋S2单元1层30商号</t>
    <phoneticPr fontId="143" type="noConversion"/>
  </si>
  <si>
    <t>0014882</t>
    <phoneticPr fontId="143" type="noConversion"/>
  </si>
  <si>
    <t>东湖新技术开发区光谷一路38号天成美景S1、S2栋S2单元1层31商号</t>
  </si>
  <si>
    <t>0014879</t>
    <phoneticPr fontId="143" type="noConversion"/>
  </si>
  <si>
    <t>东湖新技术开发区光谷一路38号天成美景S1、S2栋S2单元1层32商号</t>
  </si>
  <si>
    <t>0014909</t>
    <phoneticPr fontId="143" type="noConversion"/>
  </si>
  <si>
    <t>东湖新技术开发区光谷一路38号天成美景S1、S2栋S2单元1层33商号</t>
  </si>
  <si>
    <t>0014780</t>
    <phoneticPr fontId="143" type="noConversion"/>
  </si>
  <si>
    <t>东湖新技术开发区光谷一路38号天成美景S1、S2栋S2单元1层34商号</t>
  </si>
  <si>
    <t>0014779</t>
    <phoneticPr fontId="143" type="noConversion"/>
  </si>
  <si>
    <t>东湖新技术开发区光谷一路38号天成美景S1、S2栋S2单元1层35商号</t>
  </si>
  <si>
    <t>0014777</t>
    <phoneticPr fontId="143" type="noConversion"/>
  </si>
  <si>
    <t>东湖新技术开发区光谷一路38号天成美景S1、S2栋S2单元1层36商号</t>
  </si>
  <si>
    <t>0014775</t>
    <phoneticPr fontId="143" type="noConversion"/>
  </si>
  <si>
    <t>东湖新技术开发区光谷一路38号天成美景S1、S2栋S2单元1层37商号</t>
  </si>
  <si>
    <t>0014895</t>
    <phoneticPr fontId="143" type="noConversion"/>
  </si>
  <si>
    <t>东湖新技术开发区光谷一路38号天成美景S1、S2栋S2单元2层01商号</t>
    <phoneticPr fontId="143" type="noConversion"/>
  </si>
  <si>
    <t>0017689</t>
    <phoneticPr fontId="143" type="noConversion"/>
  </si>
  <si>
    <t>东湖新技术开发区光谷一路38号天成美景S1、S2栋S2单元2层02商号</t>
  </si>
  <si>
    <t>0017687</t>
    <phoneticPr fontId="143" type="noConversion"/>
  </si>
  <si>
    <t>东湖新技术开发区光谷一路38号天成美景S1、S2栋S2单元2层03商号</t>
  </si>
  <si>
    <t>0017686</t>
    <phoneticPr fontId="143" type="noConversion"/>
  </si>
  <si>
    <t>东湖新技术开发区光谷一路38号天成美景S1、S2栋S2单元2层04商号</t>
  </si>
  <si>
    <t>0017681</t>
    <phoneticPr fontId="143" type="noConversion"/>
  </si>
  <si>
    <t>东湖新技术开发区光谷一路38号天成美景S1、S2栋S2单元2层05商号</t>
  </si>
  <si>
    <t>0017680</t>
    <phoneticPr fontId="143" type="noConversion"/>
  </si>
  <si>
    <t>东湖新技术开发区光谷一路38号天成美景S1、S2栋S2单元2层06商号</t>
  </si>
  <si>
    <t>0017683</t>
    <phoneticPr fontId="143" type="noConversion"/>
  </si>
  <si>
    <t>东湖新技术开发区光谷一路38号天成美景S1、S2栋S2单元2层07商号</t>
  </si>
  <si>
    <t>0017679</t>
    <phoneticPr fontId="143" type="noConversion"/>
  </si>
  <si>
    <t>东湖新技术开发区光谷一路38号天成美景S1、S2栋S2单元2层08商号</t>
  </si>
  <si>
    <t>0014852</t>
    <phoneticPr fontId="143" type="noConversion"/>
  </si>
  <si>
    <t>东湖新技术开发区光谷一路38号天成美景S1、S2栋S2单元2层09商号</t>
  </si>
  <si>
    <t>0014854</t>
    <phoneticPr fontId="143" type="noConversion"/>
  </si>
  <si>
    <t>东湖新技术开发区光谷一路38号天成美景S1、S2栋S2单元2层10商号</t>
  </si>
  <si>
    <t>0014774</t>
    <phoneticPr fontId="143" type="noConversion"/>
  </si>
  <si>
    <t>东湖新技术开发区光谷一路38号天成美景S1、S2栋S2单元2层11商号</t>
  </si>
  <si>
    <t>0014776</t>
    <phoneticPr fontId="143" type="noConversion"/>
  </si>
  <si>
    <t>东湖新技术开发区光谷一路38号天成美景S1、S2栋S2单元2层12商号</t>
  </si>
  <si>
    <t>0014778</t>
    <phoneticPr fontId="143" type="noConversion"/>
  </si>
  <si>
    <t>东湖新技术开发区光谷一路38号天成美景S1、S2栋S2单元2层13商号</t>
  </si>
  <si>
    <t>0014883</t>
    <phoneticPr fontId="143" type="noConversion"/>
  </si>
  <si>
    <t>东湖新技术开发区光谷一路38号天成美景S1、S2栋S2单元2层14商号</t>
  </si>
  <si>
    <t>0014873</t>
    <phoneticPr fontId="143" type="noConversion"/>
  </si>
  <si>
    <t>东湖新技术开发区光谷一路38号天成美景S1、S2栋S2单元2层15商号</t>
  </si>
  <si>
    <t>0018555</t>
    <phoneticPr fontId="143" type="noConversion"/>
  </si>
  <si>
    <t>东湖新技术开发区光谷一路38号天成美景S1、S2栋S2单元2层16商号</t>
  </si>
  <si>
    <t>0017695</t>
    <phoneticPr fontId="143" type="noConversion"/>
  </si>
  <si>
    <t>东湖新技术开发区光谷一路38号天成美景S1、S2栋S2单元2层17商号</t>
  </si>
  <si>
    <t>0018551</t>
    <phoneticPr fontId="143" type="noConversion"/>
  </si>
  <si>
    <t>东湖新技术开发区光谷一路38号天成美景S1、S2栋S2单元2层18商号</t>
  </si>
  <si>
    <t>0018553</t>
    <phoneticPr fontId="143" type="noConversion"/>
  </si>
  <si>
    <t>东湖新技术开发区光谷一路38号天成美景S1、S2栋S2单元2层19商号</t>
  </si>
  <si>
    <t>0018558</t>
    <phoneticPr fontId="143" type="noConversion"/>
  </si>
  <si>
    <t>东湖新技术开发区光谷一路38号天成美景S1、S2栋S2单元2层20商号</t>
  </si>
  <si>
    <t>0015117</t>
    <phoneticPr fontId="143" type="noConversion"/>
  </si>
  <si>
    <t>东湖新技术开发区光谷一路38号天成美景S1、S2栋S2单元2层21商号</t>
  </si>
  <si>
    <t>0018541</t>
    <phoneticPr fontId="143" type="noConversion"/>
  </si>
  <si>
    <t>东湖新技术开发区光谷一路38号天成美景S1、S2栋S2单元2层22商号</t>
  </si>
  <si>
    <t>0017692</t>
    <phoneticPr fontId="143" type="noConversion"/>
  </si>
  <si>
    <t>东湖新技术开发区光谷一路38号天成美景S1、S2栋S2单元2层23商号</t>
    <phoneticPr fontId="143" type="noConversion"/>
  </si>
  <si>
    <t>0017688</t>
    <phoneticPr fontId="143" type="noConversion"/>
  </si>
  <si>
    <t>东湖新技术开发区光谷一路38号天成美景S1、S2栋S2单元2层24商号</t>
  </si>
  <si>
    <t>0018557</t>
    <phoneticPr fontId="143" type="noConversion"/>
  </si>
  <si>
    <t>东湖新技术开发区光谷一路38号天成美景S1、S2栋S2单元2层25商号</t>
  </si>
  <si>
    <t>0017677</t>
    <phoneticPr fontId="143" type="noConversion"/>
  </si>
  <si>
    <t>东湖新技术开发区光谷一路38号天成美景S1、S2栋S2单元2层26商号</t>
  </si>
  <si>
    <t>0017675</t>
    <phoneticPr fontId="143" type="noConversion"/>
  </si>
  <si>
    <t>东湖新技术开发区光谷一路38号天成美景S1、S2栋S2单元2层27商号</t>
  </si>
  <si>
    <t>0017674</t>
    <phoneticPr fontId="143" type="noConversion"/>
  </si>
  <si>
    <t>东湖新技术开发区光谷一路38号天成美景S1、S2栋S2单元2层28商号</t>
  </si>
  <si>
    <t>0017672</t>
    <phoneticPr fontId="143" type="noConversion"/>
  </si>
  <si>
    <t>东湖新技术开发区光谷一路38号天成美景S1、S2栋S2单元2层29商号</t>
  </si>
  <si>
    <t>0017684</t>
    <phoneticPr fontId="143" type="noConversion"/>
  </si>
  <si>
    <t>东湖新技术开发区光谷一路38号天成美景S1、S2栋S2单元2层30商号</t>
  </si>
  <si>
    <t>0017699</t>
    <phoneticPr fontId="143" type="noConversion"/>
  </si>
  <si>
    <t>东湖新技术开发区光谷一路38号天成美景S1、S2栋S2单元2层31商号</t>
  </si>
  <si>
    <t>0014901</t>
    <phoneticPr fontId="143" type="noConversion"/>
  </si>
  <si>
    <t>东湖新技术开发区光谷一路38号天成美景S1、S2栋S2单元2层32商号</t>
  </si>
  <si>
    <t>0014889</t>
    <phoneticPr fontId="143" type="noConversion"/>
  </si>
  <si>
    <t>东湖新技术开发区光谷一路38号天成美景S1、S2栋S1单元3层01商号</t>
    <phoneticPr fontId="143" type="noConversion"/>
  </si>
  <si>
    <t>0015011</t>
    <phoneticPr fontId="143" type="noConversion"/>
  </si>
  <si>
    <t>东湖新技术开发区光谷一路38号天成美景S1、S2栋S1单元3层02商号</t>
    <phoneticPr fontId="143" type="noConversion"/>
  </si>
  <si>
    <t>0014850</t>
    <phoneticPr fontId="143" type="noConversion"/>
  </si>
  <si>
    <t>东湖新技术开发区光谷一路38号天成美景S1、S2栋S1单元3层03商号</t>
    <phoneticPr fontId="143" type="noConversion"/>
  </si>
  <si>
    <t>0015000</t>
    <phoneticPr fontId="143" type="noConversion"/>
  </si>
  <si>
    <t>东湖新技术开发区光谷一路38号天成美景S1、S2栋S1单元3层04商号</t>
    <phoneticPr fontId="143" type="noConversion"/>
  </si>
  <si>
    <t>0014861</t>
    <phoneticPr fontId="143" type="noConversion"/>
  </si>
  <si>
    <t>东湖新技术开发区光谷一路38号天成美景S1、S2栋S1单元3层05商号</t>
    <phoneticPr fontId="143" type="noConversion"/>
  </si>
  <si>
    <t>0014994</t>
    <phoneticPr fontId="143" type="noConversion"/>
  </si>
  <si>
    <t>东湖新技术开发区光谷一路38号天成美景S1、S2栋S1单元3层06商号</t>
    <phoneticPr fontId="143" type="noConversion"/>
  </si>
  <si>
    <t>0017678</t>
    <phoneticPr fontId="143" type="noConversion"/>
  </si>
  <si>
    <t>东湖新技术开发区光谷一路38号天成美景S1、S2栋S1单元3层07商号</t>
    <phoneticPr fontId="143" type="noConversion"/>
  </si>
  <si>
    <t>0014855</t>
    <phoneticPr fontId="143" type="noConversion"/>
  </si>
  <si>
    <t>东湖新技术开发区光谷一路38号天成美景S1、S2栋S1单元3层08商号</t>
    <phoneticPr fontId="143" type="noConversion"/>
  </si>
  <si>
    <t>0015009</t>
    <phoneticPr fontId="143" type="noConversion"/>
  </si>
  <si>
    <t>东湖新技术开发区光谷一路38号天成美景S1、S2栋S1单元3层09商号</t>
    <phoneticPr fontId="143" type="noConversion"/>
  </si>
  <si>
    <t>0014858</t>
    <phoneticPr fontId="143" type="noConversion"/>
  </si>
  <si>
    <t>东湖新技术开发区光谷一路38号天成美景S1、S2栋S2单元3层01商号</t>
    <phoneticPr fontId="143" type="noConversion"/>
  </si>
  <si>
    <t>0015018</t>
    <phoneticPr fontId="143" type="noConversion"/>
  </si>
  <si>
    <t>东湖新技术开发区光谷一路38号天成美景8栋1-2层01商号</t>
    <phoneticPr fontId="143" type="noConversion"/>
  </si>
  <si>
    <t>0014447</t>
    <phoneticPr fontId="143" type="noConversion"/>
  </si>
  <si>
    <t>东湖新技术开发区光谷一路38号天成美景8栋1-2层02商号</t>
  </si>
  <si>
    <t>0014682</t>
    <phoneticPr fontId="143" type="noConversion"/>
  </si>
  <si>
    <t>东湖新技术开发区光谷一路38号天成美景8栋1-2层03商号</t>
  </si>
  <si>
    <t>0014925</t>
    <phoneticPr fontId="143" type="noConversion"/>
  </si>
  <si>
    <t>东湖新技术开发区光谷一路38号天成美景8栋1-2层04商号</t>
  </si>
  <si>
    <t>0014921</t>
    <phoneticPr fontId="143" type="noConversion"/>
  </si>
  <si>
    <t>东湖新技术开发区光谷一路38号天成美景8栋1-2层05商号</t>
  </si>
  <si>
    <t>0014931</t>
    <phoneticPr fontId="143" type="noConversion"/>
  </si>
  <si>
    <t>东湖新技术开发区光谷一路38号天成美景8栋1-2层06商号</t>
  </si>
  <si>
    <t>0014905</t>
    <phoneticPr fontId="143" type="noConversion"/>
  </si>
  <si>
    <t>东湖新技术开发区光谷一路38号天成美景8栋1-2层07商号</t>
  </si>
  <si>
    <t>0014907</t>
    <phoneticPr fontId="143" type="noConversion"/>
  </si>
  <si>
    <t>东湖新技术开发区光谷一路38号天成美景8栋1-2层08商号</t>
  </si>
  <si>
    <t>0015007</t>
    <phoneticPr fontId="143" type="noConversion"/>
  </si>
  <si>
    <t>东湖新技术开发区光谷一路38号天成美景1栋1-2层01商号</t>
    <phoneticPr fontId="143" type="noConversion"/>
  </si>
  <si>
    <t>0014891</t>
    <phoneticPr fontId="143" type="noConversion"/>
  </si>
  <si>
    <t>东湖新技术开发区光谷一路38号天成美景1栋1-2层02商号</t>
    <phoneticPr fontId="143" type="noConversion"/>
  </si>
  <si>
    <t>0014887</t>
    <phoneticPr fontId="143" type="noConversion"/>
  </si>
  <si>
    <t>东湖新技术开发区光谷一路38号天成美景1栋1-2层03商号</t>
    <phoneticPr fontId="143" type="noConversion"/>
  </si>
  <si>
    <t>0014903</t>
    <phoneticPr fontId="143" type="noConversion"/>
  </si>
  <si>
    <t>东湖新技术开发区光谷一路38号天成美景1栋1-2层06商号</t>
    <phoneticPr fontId="143" type="noConversion"/>
  </si>
  <si>
    <t>0014897</t>
    <phoneticPr fontId="143" type="noConversion"/>
  </si>
  <si>
    <t>东湖新技术开发区光谷一路38号天成美景1栋1-2层07商号</t>
    <phoneticPr fontId="143" type="noConversion"/>
  </si>
  <si>
    <t>0014929</t>
    <phoneticPr fontId="143" type="noConversion"/>
  </si>
  <si>
    <t>东湖新技术开发区光谷一路38号天成美景1栋1-2层08商号</t>
    <phoneticPr fontId="143" type="noConversion"/>
  </si>
  <si>
    <t>0014916</t>
    <phoneticPr fontId="143" type="noConversion"/>
  </si>
  <si>
    <t>东湖新技术开发区光谷一路38号天成美景1栋1-2层09商号</t>
    <phoneticPr fontId="143" type="noConversion"/>
  </si>
  <si>
    <t>0014914</t>
    <phoneticPr fontId="143" type="noConversion"/>
  </si>
  <si>
    <t>东湖新技术开发区光谷一路38号天成美景1栋1-2层10商号</t>
    <phoneticPr fontId="143" type="noConversion"/>
  </si>
  <si>
    <t>0015016</t>
    <phoneticPr fontId="143" type="noConversion"/>
  </si>
  <si>
    <t>东湖新技术开发区光谷一路38号天成美景1栋1-2层11商号</t>
    <phoneticPr fontId="143" type="noConversion"/>
  </si>
  <si>
    <t>0014998</t>
    <phoneticPr fontId="143" type="noConversion"/>
  </si>
  <si>
    <t>东湖新技术开发区光谷一路38号天成美景1栋1-2层12商号</t>
    <phoneticPr fontId="143" type="noConversion"/>
  </si>
  <si>
    <t>0014996</t>
    <phoneticPr fontId="143" type="noConversion"/>
  </si>
  <si>
    <t>东湖新技术开发区光谷一路38号天成美景1栋1-2层13商号</t>
    <phoneticPr fontId="143" type="noConversion"/>
  </si>
  <si>
    <t>0015014</t>
    <phoneticPr fontId="143" type="noConversion"/>
  </si>
  <si>
    <t>东湖新技术开发区光谷一路38号天成美景1栋1-2层14商号</t>
    <phoneticPr fontId="143" type="noConversion"/>
  </si>
  <si>
    <t>0015110</t>
    <phoneticPr fontId="143" type="noConversion"/>
  </si>
  <si>
    <t>小计</t>
    <phoneticPr fontId="143" type="noConversion"/>
  </si>
  <si>
    <t>天成美景</t>
    <phoneticPr fontId="3" type="noConversion"/>
  </si>
  <si>
    <t>不动产权证号</t>
    <phoneticPr fontId="143" type="noConversion"/>
  </si>
  <si>
    <t>天成美景未售资产统计表</t>
    <phoneticPr fontId="143" type="noConversion"/>
  </si>
  <si>
    <r>
      <t>鄂（2018</t>
    </r>
    <r>
      <rPr>
        <sz val="11"/>
        <color theme="1"/>
        <rFont val="宋体"/>
        <family val="3"/>
        <charset val="134"/>
        <scheme val="minor"/>
      </rPr>
      <t>）武汉市东开不动产权第0014893号</t>
    </r>
    <phoneticPr fontId="143" type="noConversion"/>
  </si>
  <si>
    <t>鄂（2018）武汉市东开不动产权第0014893号</t>
    <phoneticPr fontId="143" type="noConversion"/>
  </si>
  <si>
    <t>鄂（2018）武汉市东开不动产权第0015004号</t>
    <phoneticPr fontId="143" type="noConversion"/>
  </si>
  <si>
    <t>鄂（2018）武汉市东开不动产权第0014866号</t>
    <phoneticPr fontId="143" type="noConversion"/>
  </si>
  <si>
    <t>鄂（2018）武汉市东开不动产权第0014864号</t>
    <phoneticPr fontId="143" type="noConversion"/>
  </si>
  <si>
    <t>鄂（2018）武汉市东开不动产权第0014681号</t>
    <phoneticPr fontId="143" type="noConversion"/>
  </si>
  <si>
    <t>鄂（2018）武汉市东开不动产权第0014875号</t>
    <phoneticPr fontId="143" type="noConversion"/>
  </si>
  <si>
    <t>鄂（2018）武汉市东开不动产权第0014862号</t>
    <phoneticPr fontId="143" type="noConversion"/>
  </si>
  <si>
    <t>鄂（2018）武汉市东开不动产权第0014923号</t>
    <phoneticPr fontId="143" type="noConversion"/>
  </si>
  <si>
    <r>
      <t>鄂（2018</t>
    </r>
    <r>
      <rPr>
        <sz val="11"/>
        <color theme="1"/>
        <rFont val="宋体"/>
        <family val="3"/>
        <charset val="134"/>
        <scheme val="minor"/>
      </rPr>
      <t>）武汉市东开不动产权第</t>
    </r>
    <r>
      <rPr>
        <sz val="11"/>
        <color theme="1"/>
        <rFont val="宋体"/>
        <family val="3"/>
        <charset val="134"/>
        <scheme val="minor"/>
      </rPr>
      <t>0014927</t>
    </r>
    <r>
      <rPr>
        <sz val="11"/>
        <color theme="1"/>
        <rFont val="宋体"/>
        <family val="3"/>
        <charset val="134"/>
        <scheme val="minor"/>
      </rPr>
      <t>号</t>
    </r>
    <phoneticPr fontId="143" type="noConversion"/>
  </si>
  <si>
    <t>鄂（2018）武汉市东开不动产权第0014912号</t>
    <phoneticPr fontId="143" type="noConversion"/>
  </si>
  <si>
    <t>鄂（2018）武汉市东开不动产权第0014919号</t>
    <phoneticPr fontId="143" type="noConversion"/>
  </si>
  <si>
    <t>鄂（2018）武汉市东开不动产权第0018559号</t>
    <phoneticPr fontId="143" type="noConversion"/>
  </si>
  <si>
    <t>鄂（2018）武汉市东开不动产权第0014877号</t>
    <phoneticPr fontId="143" type="noConversion"/>
  </si>
  <si>
    <t>鄂（2018）武汉市东开不动产权第0014868号</t>
    <phoneticPr fontId="143" type="noConversion"/>
  </si>
  <si>
    <t>鄂（2018）武汉市东开不动产权第0014869号</t>
    <phoneticPr fontId="143" type="noConversion"/>
  </si>
  <si>
    <t>鄂（2018）武汉市东开不动产权第0014886号</t>
    <phoneticPr fontId="143" type="noConversion"/>
  </si>
  <si>
    <t>鄂（2018）武汉市东开不动产权第0015110号</t>
    <phoneticPr fontId="143" type="noConversion"/>
  </si>
  <si>
    <t>鄂（2018）武汉市东开不动产权第0015014号</t>
    <phoneticPr fontId="143" type="noConversion"/>
  </si>
  <si>
    <t>鄂（2018）武汉市东开不动产权第0014996号</t>
    <phoneticPr fontId="143" type="noConversion"/>
  </si>
  <si>
    <t>鄂（2018）武汉市东开不动产权第0014998号</t>
    <phoneticPr fontId="143" type="noConversion"/>
  </si>
  <si>
    <t>鄂（2018）武汉市东开不动产权第0015016号</t>
    <phoneticPr fontId="143" type="noConversion"/>
  </si>
  <si>
    <t>鄂（2018）武汉市东开不动产权第0014914号</t>
    <phoneticPr fontId="143" type="noConversion"/>
  </si>
  <si>
    <t>鄂（2018）武汉市东开不动产权第0014916号</t>
    <phoneticPr fontId="143" type="noConversion"/>
  </si>
  <si>
    <t>鄂（2018）武汉市东开不动产权第0014929号</t>
    <phoneticPr fontId="143" type="noConversion"/>
  </si>
  <si>
    <t>鄂（2018）武汉市东开不动产权第0014897号</t>
    <phoneticPr fontId="143" type="noConversion"/>
  </si>
  <si>
    <t>鄂（2018）武汉市东开不动产权第0014903号</t>
    <phoneticPr fontId="143" type="noConversion"/>
  </si>
  <si>
    <t>鄂（2018）武汉市东开不动产权第0014887号</t>
    <phoneticPr fontId="143" type="noConversion"/>
  </si>
  <si>
    <r>
      <t>鄂（2018</t>
    </r>
    <r>
      <rPr>
        <sz val="11"/>
        <color theme="1"/>
        <rFont val="宋体"/>
        <family val="3"/>
        <charset val="134"/>
        <scheme val="minor"/>
      </rPr>
      <t>）武汉市东开不动产权第</t>
    </r>
    <r>
      <rPr>
        <sz val="11"/>
        <color theme="1"/>
        <rFont val="宋体"/>
        <family val="3"/>
        <charset val="134"/>
        <scheme val="minor"/>
      </rPr>
      <t>0014891</t>
    </r>
    <r>
      <rPr>
        <sz val="11"/>
        <color theme="1"/>
        <rFont val="宋体"/>
        <family val="3"/>
        <charset val="134"/>
        <scheme val="minor"/>
      </rPr>
      <t>号</t>
    </r>
    <phoneticPr fontId="143" type="noConversion"/>
  </si>
  <si>
    <t>鄂（2018）武汉市东开不动产权第0015007号</t>
    <phoneticPr fontId="143" type="noConversion"/>
  </si>
  <si>
    <t>鄂（2018）武汉市东开不动产权第0014907号</t>
    <phoneticPr fontId="143" type="noConversion"/>
  </si>
  <si>
    <t>鄂（2018）武汉市东开不动产权第0014905号</t>
    <phoneticPr fontId="143" type="noConversion"/>
  </si>
  <si>
    <t>鄂（2018）武汉市东开不动产权第0014931号</t>
    <phoneticPr fontId="143" type="noConversion"/>
  </si>
  <si>
    <t>鄂（2018）武汉市东开不动产权第0014921号</t>
    <phoneticPr fontId="143" type="noConversion"/>
  </si>
  <si>
    <t>鄂（2018）武汉市东开不动产权第0014925号</t>
    <phoneticPr fontId="143" type="noConversion"/>
  </si>
  <si>
    <t>鄂（2018）武汉市东开不动产权第0014682号</t>
    <phoneticPr fontId="143" type="noConversion"/>
  </si>
  <si>
    <r>
      <t>鄂（2018</t>
    </r>
    <r>
      <rPr>
        <sz val="11"/>
        <color theme="1"/>
        <rFont val="宋体"/>
        <family val="3"/>
        <charset val="134"/>
        <scheme val="minor"/>
      </rPr>
      <t>）武汉市东开不动产权第</t>
    </r>
    <r>
      <rPr>
        <sz val="11"/>
        <color theme="1"/>
        <rFont val="宋体"/>
        <family val="3"/>
        <charset val="134"/>
        <scheme val="minor"/>
      </rPr>
      <t>0014447</t>
    </r>
    <r>
      <rPr>
        <sz val="11"/>
        <color theme="1"/>
        <rFont val="宋体"/>
        <family val="3"/>
        <charset val="134"/>
        <scheme val="minor"/>
      </rPr>
      <t>号</t>
    </r>
    <phoneticPr fontId="143" type="noConversion"/>
  </si>
  <si>
    <t>鄂（2018）武汉市东开不动产权第0015018号</t>
    <phoneticPr fontId="143" type="noConversion"/>
  </si>
  <si>
    <t>鄂（2018）武汉市东开不动产权第0014858号</t>
    <phoneticPr fontId="143" type="noConversion"/>
  </si>
  <si>
    <t>鄂（2018）武汉市东开不动产权第0015009号</t>
    <phoneticPr fontId="143" type="noConversion"/>
  </si>
  <si>
    <t>鄂（2018）武汉市东开不动产权第0014855号</t>
    <phoneticPr fontId="143" type="noConversion"/>
  </si>
  <si>
    <t>鄂（2018）武汉市东开不动产权第0017678号</t>
    <phoneticPr fontId="143" type="noConversion"/>
  </si>
  <si>
    <t>鄂（2018）武汉市东开不动产权第0014994号</t>
    <phoneticPr fontId="143" type="noConversion"/>
  </si>
  <si>
    <t>鄂（2018）武汉市东开不动产权第0014861号</t>
    <phoneticPr fontId="143" type="noConversion"/>
  </si>
  <si>
    <r>
      <t>鄂（2018</t>
    </r>
    <r>
      <rPr>
        <sz val="11"/>
        <color theme="1"/>
        <rFont val="宋体"/>
        <family val="3"/>
        <charset val="134"/>
        <scheme val="minor"/>
      </rPr>
      <t>）武汉市东开不动产权第</t>
    </r>
    <r>
      <rPr>
        <sz val="11"/>
        <color theme="1"/>
        <rFont val="宋体"/>
        <family val="3"/>
        <charset val="134"/>
        <scheme val="minor"/>
      </rPr>
      <t>0015000</t>
    </r>
    <r>
      <rPr>
        <sz val="11"/>
        <color theme="1"/>
        <rFont val="宋体"/>
        <family val="3"/>
        <charset val="134"/>
        <scheme val="minor"/>
      </rPr>
      <t>号</t>
    </r>
    <phoneticPr fontId="143" type="noConversion"/>
  </si>
  <si>
    <t>鄂（2018）武汉市东开不动产权第0014850号</t>
    <phoneticPr fontId="143" type="noConversion"/>
  </si>
  <si>
    <t>鄂（2018）武汉市东开不动产权第0015011号</t>
    <phoneticPr fontId="143" type="noConversion"/>
  </si>
  <si>
    <t>鄂（2018）武汉市东开不动产权第0014889号</t>
    <phoneticPr fontId="143" type="noConversion"/>
  </si>
  <si>
    <t>鄂（2018）武汉市东开不动产权第0014901号</t>
    <phoneticPr fontId="143" type="noConversion"/>
  </si>
  <si>
    <t>鄂（2018）武汉市东开不动产权第0017699号</t>
    <phoneticPr fontId="143" type="noConversion"/>
  </si>
  <si>
    <t>鄂（2018）武汉市东开不动产权第0017684号</t>
    <phoneticPr fontId="143" type="noConversion"/>
  </si>
  <si>
    <t>鄂（2018）武汉市东开不动产权第0017672号</t>
    <phoneticPr fontId="143" type="noConversion"/>
  </si>
  <si>
    <r>
      <t>鄂（2018</t>
    </r>
    <r>
      <rPr>
        <sz val="11"/>
        <color theme="1"/>
        <rFont val="宋体"/>
        <family val="3"/>
        <charset val="134"/>
        <scheme val="minor"/>
      </rPr>
      <t>）武汉市东开不动产权第</t>
    </r>
    <r>
      <rPr>
        <sz val="11"/>
        <color theme="1"/>
        <rFont val="宋体"/>
        <family val="3"/>
        <charset val="134"/>
        <scheme val="minor"/>
      </rPr>
      <t>0017674</t>
    </r>
    <r>
      <rPr>
        <sz val="11"/>
        <color theme="1"/>
        <rFont val="宋体"/>
        <family val="3"/>
        <charset val="134"/>
        <scheme val="minor"/>
      </rPr>
      <t>号</t>
    </r>
    <phoneticPr fontId="143" type="noConversion"/>
  </si>
  <si>
    <t>鄂（2018）武汉市东开不动产权第0017675号</t>
    <phoneticPr fontId="143" type="noConversion"/>
  </si>
  <si>
    <t>鄂（2018）武汉市东开不动产权第0017677号</t>
    <phoneticPr fontId="143" type="noConversion"/>
  </si>
  <si>
    <t>鄂（2018）武汉市东开不动产权第0018557号</t>
    <phoneticPr fontId="143" type="noConversion"/>
  </si>
  <si>
    <t>鄂（2018）武汉市东开不动产权第0017688号</t>
    <phoneticPr fontId="143" type="noConversion"/>
  </si>
  <si>
    <t>鄂（2018）武汉市东开不动产权第0017692号</t>
    <phoneticPr fontId="143" type="noConversion"/>
  </si>
  <si>
    <t>鄂（2018）武汉市东开不动产权第0018541号</t>
    <phoneticPr fontId="143" type="noConversion"/>
  </si>
  <si>
    <t>鄂（2018）武汉市东开不动产权第0015117号</t>
    <phoneticPr fontId="143" type="noConversion"/>
  </si>
  <si>
    <r>
      <t>鄂（2018</t>
    </r>
    <r>
      <rPr>
        <sz val="11"/>
        <color theme="1"/>
        <rFont val="宋体"/>
        <family val="3"/>
        <charset val="134"/>
        <scheme val="minor"/>
      </rPr>
      <t>）武汉市东开不动产权第</t>
    </r>
    <r>
      <rPr>
        <sz val="11"/>
        <color theme="1"/>
        <rFont val="宋体"/>
        <family val="3"/>
        <charset val="134"/>
        <scheme val="minor"/>
      </rPr>
      <t>0018558</t>
    </r>
    <r>
      <rPr>
        <sz val="11"/>
        <color theme="1"/>
        <rFont val="宋体"/>
        <family val="3"/>
        <charset val="134"/>
        <scheme val="minor"/>
      </rPr>
      <t>号</t>
    </r>
    <phoneticPr fontId="143" type="noConversion"/>
  </si>
  <si>
    <t>鄂（2018）武汉市东开不动产权第0018553号</t>
    <phoneticPr fontId="143" type="noConversion"/>
  </si>
  <si>
    <t>鄂（2018）武汉市东开不动产权第0018551号</t>
    <phoneticPr fontId="143" type="noConversion"/>
  </si>
  <si>
    <t>鄂（2018）武汉市东开不动产权第0017695号</t>
    <phoneticPr fontId="143" type="noConversion"/>
  </si>
  <si>
    <t>鄂（2018）武汉市东开不动产权第0018555号</t>
    <phoneticPr fontId="143" type="noConversion"/>
  </si>
  <si>
    <t>鄂（2018）武汉市东开不动产权第0014873号</t>
    <phoneticPr fontId="143" type="noConversion"/>
  </si>
  <si>
    <t>鄂（2018）武汉市东开不动产权第0014883号</t>
    <phoneticPr fontId="143" type="noConversion"/>
  </si>
  <si>
    <t>鄂（2018）武汉市东开不动产权第0014778号</t>
    <phoneticPr fontId="143" type="noConversion"/>
  </si>
  <si>
    <r>
      <t>鄂（2018</t>
    </r>
    <r>
      <rPr>
        <sz val="11"/>
        <color theme="1"/>
        <rFont val="宋体"/>
        <family val="3"/>
        <charset val="134"/>
        <scheme val="minor"/>
      </rPr>
      <t>）武汉市东开不动产权第</t>
    </r>
    <r>
      <rPr>
        <sz val="11"/>
        <color theme="1"/>
        <rFont val="宋体"/>
        <family val="3"/>
        <charset val="134"/>
        <scheme val="minor"/>
      </rPr>
      <t>0014776</t>
    </r>
    <r>
      <rPr>
        <sz val="11"/>
        <color theme="1"/>
        <rFont val="宋体"/>
        <family val="3"/>
        <charset val="134"/>
        <scheme val="minor"/>
      </rPr>
      <t>号</t>
    </r>
    <phoneticPr fontId="143" type="noConversion"/>
  </si>
  <si>
    <t>鄂（2018）武汉市东开不动产权第0014774号</t>
    <phoneticPr fontId="143" type="noConversion"/>
  </si>
  <si>
    <t>鄂（2018）武汉市东开不动产权第0014854号</t>
    <phoneticPr fontId="143" type="noConversion"/>
  </si>
  <si>
    <t>鄂（2018）武汉市东开不动产权第0014852号</t>
    <phoneticPr fontId="143" type="noConversion"/>
  </si>
  <si>
    <t>鄂（2018）武汉市东开不动产权第0017679号</t>
    <phoneticPr fontId="143" type="noConversion"/>
  </si>
  <si>
    <t>鄂（2018）武汉市东开不动产权第0017683号</t>
    <phoneticPr fontId="143" type="noConversion"/>
  </si>
  <si>
    <t>鄂（2018）武汉市东开不动产权第0017680号</t>
    <phoneticPr fontId="143" type="noConversion"/>
  </si>
  <si>
    <t>鄂（2018）武汉市东开不动产权第0017681号</t>
    <phoneticPr fontId="143" type="noConversion"/>
  </si>
  <si>
    <r>
      <t>鄂（2018</t>
    </r>
    <r>
      <rPr>
        <sz val="11"/>
        <color theme="1"/>
        <rFont val="宋体"/>
        <family val="3"/>
        <charset val="134"/>
        <scheme val="minor"/>
      </rPr>
      <t>）武汉市东开不动产权第</t>
    </r>
    <r>
      <rPr>
        <sz val="11"/>
        <color theme="1"/>
        <rFont val="宋体"/>
        <family val="3"/>
        <charset val="134"/>
        <scheme val="minor"/>
      </rPr>
      <t>0017686</t>
    </r>
    <r>
      <rPr>
        <sz val="11"/>
        <color theme="1"/>
        <rFont val="宋体"/>
        <family val="3"/>
        <charset val="134"/>
        <scheme val="minor"/>
      </rPr>
      <t>号</t>
    </r>
    <phoneticPr fontId="143" type="noConversion"/>
  </si>
  <si>
    <t>鄂（2018）武汉市东开不动产权第0017687号</t>
    <phoneticPr fontId="143" type="noConversion"/>
  </si>
  <si>
    <t>鄂（2018）武汉市东开不动产权第0017689号</t>
    <phoneticPr fontId="143" type="noConversion"/>
  </si>
  <si>
    <t>鄂（2018）武汉市东开不动产权第0014895号</t>
    <phoneticPr fontId="143" type="noConversion"/>
  </si>
  <si>
    <t>鄂（2018）武汉市东开不动产权第0014775号</t>
    <phoneticPr fontId="143" type="noConversion"/>
  </si>
  <si>
    <t>鄂（2018）武汉市东开不动产权第0014777号</t>
    <phoneticPr fontId="143" type="noConversion"/>
  </si>
  <si>
    <t>鄂（2018）武汉市东开不动产权第0014779号</t>
    <phoneticPr fontId="143" type="noConversion"/>
  </si>
  <si>
    <t>鄂（2018）武汉市东开不动产权第0014780号</t>
    <phoneticPr fontId="143" type="noConversion"/>
  </si>
  <si>
    <r>
      <t>鄂（2018</t>
    </r>
    <r>
      <rPr>
        <sz val="11"/>
        <color theme="1"/>
        <rFont val="宋体"/>
        <family val="3"/>
        <charset val="134"/>
        <scheme val="minor"/>
      </rPr>
      <t>）武汉市东开不动产权第</t>
    </r>
    <r>
      <rPr>
        <sz val="11"/>
        <color theme="1"/>
        <rFont val="宋体"/>
        <family val="3"/>
        <charset val="134"/>
        <scheme val="minor"/>
      </rPr>
      <t>0014909</t>
    </r>
    <r>
      <rPr>
        <sz val="11"/>
        <color theme="1"/>
        <rFont val="宋体"/>
        <family val="3"/>
        <charset val="134"/>
        <scheme val="minor"/>
      </rPr>
      <t>号</t>
    </r>
    <phoneticPr fontId="143" type="noConversion"/>
  </si>
  <si>
    <t>鄂（2018）武汉市东开不动产权第0014879号</t>
    <phoneticPr fontId="143" type="noConversion"/>
  </si>
  <si>
    <t>鄂（2018）武汉市东开不动产权第0014882号</t>
    <phoneticPr fontId="143" type="noConversion"/>
  </si>
  <si>
    <t>鄂（2018）武汉市东开不动产权第0017698号</t>
    <phoneticPr fontId="143" type="noConversion"/>
  </si>
  <si>
    <t>鄂（2018）武汉市东开不动产权第0017691号</t>
    <phoneticPr fontId="143" type="noConversion"/>
  </si>
  <si>
    <t>鄂（2018）武汉市东开不动产权第0017697号</t>
    <phoneticPr fontId="143" type="noConversion"/>
  </si>
  <si>
    <t>鄂（2018）武汉市东开不动产权第0017690号</t>
    <phoneticPr fontId="143" type="noConversion"/>
  </si>
  <si>
    <t>鄂（2018）武汉市东开不动产权第0017708号</t>
    <phoneticPr fontId="143" type="noConversion"/>
  </si>
  <si>
    <r>
      <t>鄂（2018</t>
    </r>
    <r>
      <rPr>
        <sz val="11"/>
        <color theme="1"/>
        <rFont val="宋体"/>
        <family val="3"/>
        <charset val="134"/>
        <scheme val="minor"/>
      </rPr>
      <t>）武汉市东开不动产权第</t>
    </r>
    <r>
      <rPr>
        <sz val="11"/>
        <color theme="1"/>
        <rFont val="宋体"/>
        <family val="3"/>
        <charset val="134"/>
        <scheme val="minor"/>
      </rPr>
      <t>0017696</t>
    </r>
    <r>
      <rPr>
        <sz val="11"/>
        <color theme="1"/>
        <rFont val="宋体"/>
        <family val="3"/>
        <charset val="134"/>
        <scheme val="minor"/>
      </rPr>
      <t>号</t>
    </r>
    <phoneticPr fontId="143" type="noConversion"/>
  </si>
  <si>
    <t>鄂（2018）武汉市东开不动产权第0017694号</t>
    <phoneticPr fontId="143" type="noConversion"/>
  </si>
  <si>
    <t>鄂（2018）武汉市东开不动产权第0014773号</t>
    <phoneticPr fontId="143" type="noConversion"/>
  </si>
  <si>
    <t>鄂（2018）武汉市东开不动产权第0014910号</t>
    <phoneticPr fontId="143" type="noConversion"/>
  </si>
  <si>
    <t>鄂（2018）武汉市东开不动产权第0014899号</t>
    <phoneticPr fontId="143" type="noConversion"/>
  </si>
  <si>
    <t>鄂（2018）武汉市东开不动产权第0015114号</t>
    <phoneticPr fontId="143" type="noConversion"/>
  </si>
  <si>
    <t>鄂（2018）武汉市东开不动产权第0015113号</t>
    <phoneticPr fontId="143" type="noConversion"/>
  </si>
  <si>
    <t>鄂（2018）武汉市东开不动产权第0015112号</t>
    <phoneticPr fontId="143" type="noConversion"/>
  </si>
  <si>
    <r>
      <t>鄂（2018</t>
    </r>
    <r>
      <rPr>
        <sz val="11"/>
        <color theme="1"/>
        <rFont val="宋体"/>
        <family val="3"/>
        <charset val="134"/>
        <scheme val="minor"/>
      </rPr>
      <t>）武汉市东开不动产权第</t>
    </r>
    <r>
      <rPr>
        <sz val="11"/>
        <color theme="1"/>
        <rFont val="宋体"/>
        <family val="3"/>
        <charset val="134"/>
        <scheme val="minor"/>
      </rPr>
      <t>0017685</t>
    </r>
    <r>
      <rPr>
        <sz val="11"/>
        <color theme="1"/>
        <rFont val="宋体"/>
        <family val="3"/>
        <charset val="134"/>
        <scheme val="minor"/>
      </rPr>
      <t>号</t>
    </r>
    <phoneticPr fontId="143" type="noConversion"/>
  </si>
  <si>
    <t>周边有天成美景、天成美雅、金地太阳城、光谷悦城等项目，商业繁华度一般；</t>
    <phoneticPr fontId="143" type="noConversion"/>
  </si>
  <si>
    <t>容积率</t>
    <phoneticPr fontId="143" type="noConversion"/>
  </si>
  <si>
    <t>顺民34789</t>
    <phoneticPr fontId="3" type="noConversion"/>
  </si>
  <si>
    <t>金地太阳城</t>
    <phoneticPr fontId="3" type="noConversion"/>
  </si>
  <si>
    <t>佳源花都</t>
    <phoneticPr fontId="3"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</si>
</sst>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b/>
      <sz val="18"/>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49" fontId="221" fillId="17" borderId="23" xfId="0" applyNumberFormat="1" applyFont="1" applyFill="1" applyBorder="1" applyAlignment="1" applyProtection="1">
      <alignment horizontal="center" vertical="center" wrapText="1"/>
      <protection locked="0"/>
    </xf>
    <xf numFmtId="49" fontId="221" fillId="17" borderId="3" xfId="0" applyNumberFormat="1" applyFont="1" applyFill="1" applyBorder="1" applyAlignment="1" applyProtection="1">
      <alignment horizontal="center" vertical="center" wrapText="1"/>
      <protection locked="0"/>
    </xf>
    <xf numFmtId="0" fontId="132" fillId="17" borderId="3" xfId="0" applyNumberFormat="1" applyFont="1" applyFill="1" applyBorder="1" applyAlignment="1" applyProtection="1">
      <alignment horizontal="center" vertical="center" wrapText="1"/>
      <protection locked="0"/>
    </xf>
    <xf numFmtId="0" fontId="221" fillId="17" borderId="8" xfId="0" applyNumberFormat="1" applyFont="1" applyFill="1" applyBorder="1" applyAlignment="1" applyProtection="1">
      <alignment horizontal="center" vertical="center" wrapText="1"/>
    </xf>
    <xf numFmtId="0" fontId="221" fillId="17" borderId="4" xfId="0" applyNumberFormat="1" applyFont="1" applyFill="1" applyBorder="1" applyAlignment="1" applyProtection="1">
      <alignment horizontal="center" vertical="center" wrapText="1"/>
    </xf>
    <xf numFmtId="0" fontId="55" fillId="17" borderId="1" xfId="0" applyFont="1" applyFill="1" applyBorder="1" applyAlignment="1" applyProtection="1">
      <alignment horizontal="left" vertical="center" wrapText="1"/>
      <protection locked="0"/>
    </xf>
    <xf numFmtId="0" fontId="148" fillId="5" borderId="1"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254" fillId="0" borderId="156" xfId="0" applyFont="1" applyBorder="1">
      <alignment vertical="center"/>
    </xf>
    <xf numFmtId="0" fontId="255" fillId="0" borderId="156" xfId="0" applyFont="1" applyBorder="1" applyAlignment="1">
      <alignment vertical="center" wrapText="1"/>
    </xf>
    <xf numFmtId="0" fontId="254" fillId="0" borderId="1" xfId="0" applyFont="1" applyBorder="1" applyAlignment="1">
      <alignment vertical="center" wrapText="1"/>
    </xf>
    <xf numFmtId="0" fontId="255" fillId="0" borderId="1" xfId="0" applyFont="1" applyBorder="1" applyAlignment="1">
      <alignment vertical="center" wrapText="1"/>
    </xf>
    <xf numFmtId="0" fontId="254" fillId="0" borderId="1" xfId="0" applyFont="1" applyBorder="1">
      <alignment vertical="center"/>
    </xf>
    <xf numFmtId="0" fontId="255" fillId="0" borderId="162" xfId="0" applyFont="1" applyBorder="1" applyAlignment="1">
      <alignment vertical="center" wrapText="1"/>
    </xf>
    <xf numFmtId="0" fontId="148" fillId="7" borderId="63" xfId="0" applyFont="1" applyFill="1" applyBorder="1" applyAlignment="1" applyProtection="1">
      <alignment vertical="center" wrapText="1"/>
      <protection locked="0"/>
    </xf>
    <xf numFmtId="0" fontId="56" fillId="7" borderId="64" xfId="0" applyFont="1" applyFill="1" applyBorder="1" applyAlignment="1" applyProtection="1">
      <alignment vertical="center" wrapText="1"/>
      <protection locked="0"/>
    </xf>
    <xf numFmtId="0" fontId="56" fillId="7" borderId="65" xfId="0" applyFont="1" applyFill="1" applyBorder="1" applyAlignment="1" applyProtection="1">
      <alignment horizontal="left" vertical="center" wrapText="1"/>
      <protection locked="0"/>
    </xf>
    <xf numFmtId="0" fontId="108" fillId="6" borderId="82" xfId="0" applyFont="1" applyFill="1" applyBorder="1" applyAlignment="1" applyProtection="1">
      <alignment horizontal="center" vertical="center" wrapText="1"/>
    </xf>
    <xf numFmtId="0" fontId="56" fillId="6" borderId="6" xfId="0" applyFont="1" applyFill="1" applyBorder="1" applyAlignment="1" applyProtection="1">
      <alignment vertical="center" wrapText="1"/>
    </xf>
    <xf numFmtId="0" fontId="56" fillId="6" borderId="6" xfId="0" applyFont="1" applyFill="1" applyBorder="1" applyAlignment="1" applyProtection="1">
      <alignment horizontal="left" vertical="center" wrapText="1"/>
      <protection locked="0"/>
    </xf>
    <xf numFmtId="0" fontId="56" fillId="6" borderId="10" xfId="0" applyFont="1" applyFill="1" applyBorder="1" applyAlignment="1" applyProtection="1">
      <alignment horizontal="center" vertical="center" wrapText="1"/>
    </xf>
    <xf numFmtId="0" fontId="105" fillId="5" borderId="24" xfId="0" applyFont="1" applyFill="1" applyBorder="1" applyAlignment="1" applyProtection="1">
      <alignment horizontal="center" wrapText="1"/>
      <protection locked="0"/>
    </xf>
    <xf numFmtId="0" fontId="105" fillId="6" borderId="23" xfId="0" applyFont="1" applyFill="1" applyBorder="1" applyAlignment="1" applyProtection="1">
      <alignment horizontal="left" wrapText="1"/>
      <protection locked="0"/>
    </xf>
    <xf numFmtId="0" fontId="105" fillId="6" borderId="24" xfId="0" applyFont="1" applyFill="1" applyBorder="1" applyAlignment="1" applyProtection="1">
      <alignment horizontal="center" wrapText="1"/>
    </xf>
    <xf numFmtId="49" fontId="56" fillId="6" borderId="23" xfId="0" applyNumberFormat="1" applyFont="1" applyFill="1" applyBorder="1" applyAlignment="1" applyProtection="1">
      <alignment horizontal="left" vertical="center" wrapText="1"/>
    </xf>
    <xf numFmtId="0" fontId="56" fillId="6" borderId="24" xfId="0" applyNumberFormat="1" applyFont="1" applyFill="1" applyBorder="1" applyAlignment="1" applyProtection="1">
      <alignment horizontal="center" vertical="center" wrapText="1"/>
    </xf>
    <xf numFmtId="0" fontId="56" fillId="6" borderId="23" xfId="0" applyFont="1" applyFill="1" applyBorder="1" applyAlignment="1" applyProtection="1">
      <alignment vertical="center" wrapText="1"/>
      <protection locked="0"/>
    </xf>
    <xf numFmtId="195" fontId="56" fillId="6" borderId="24" xfId="0" applyNumberFormat="1" applyFont="1" applyFill="1" applyBorder="1" applyAlignment="1" applyProtection="1">
      <alignment horizontal="center" vertical="center" wrapText="1"/>
    </xf>
    <xf numFmtId="10" fontId="56" fillId="0" borderId="49" xfId="0" applyNumberFormat="1"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wrapText="1"/>
    </xf>
    <xf numFmtId="0" fontId="120" fillId="6" borderId="0" xfId="0" applyFont="1" applyFill="1" applyAlignment="1" applyProtection="1">
      <alignment vertical="center" wrapText="1"/>
      <protection locked="0"/>
    </xf>
    <xf numFmtId="181" fontId="56" fillId="6" borderId="9"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6" fillId="5" borderId="21" xfId="0"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181" fontId="56" fillId="6" borderId="5"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6" fillId="6" borderId="49" xfId="0" applyFont="1" applyFill="1" applyBorder="1" applyAlignment="1" applyProtection="1">
      <alignment horizontal="center" vertical="center" wrapText="1"/>
    </xf>
    <xf numFmtId="0" fontId="5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144" fillId="0" borderId="0" xfId="0" applyFont="1" applyAlignment="1"/>
    <xf numFmtId="0" fontId="0" fillId="0" borderId="1" xfId="0" applyBorder="1" applyAlignment="1"/>
    <xf numFmtId="0" fontId="0" fillId="0" borderId="1" xfId="0" applyBorder="1" applyAlignment="1">
      <alignment horizontal="center"/>
    </xf>
    <xf numFmtId="49" fontId="63" fillId="0" borderId="1" xfId="0" applyNumberFormat="1" applyFont="1" applyFill="1" applyBorder="1" applyAlignment="1" applyProtection="1">
      <alignment horizontal="center" vertical="center"/>
      <protection locked="0"/>
    </xf>
    <xf numFmtId="0" fontId="0" fillId="0" borderId="0" xfId="0" applyFont="1" applyAlignment="1"/>
    <xf numFmtId="0" fontId="63" fillId="0" borderId="1" xfId="0" applyNumberFormat="1" applyFont="1" applyFill="1" applyBorder="1" applyAlignment="1" applyProtection="1">
      <alignment horizontal="center" vertical="center"/>
      <protection locked="0"/>
    </xf>
    <xf numFmtId="176" fontId="104" fillId="0" borderId="44" xfId="0" applyNumberFormat="1" applyFont="1" applyFill="1" applyBorder="1" applyAlignment="1" applyProtection="1">
      <alignment horizontal="center" vertical="center" wrapText="1"/>
      <protection locked="0"/>
    </xf>
    <xf numFmtId="0" fontId="254" fillId="0" borderId="156" xfId="0" applyFont="1" applyBorder="1">
      <alignment vertical="center"/>
    </xf>
    <xf numFmtId="184" fontId="140" fillId="5" borderId="1" xfId="0" applyNumberFormat="1" applyFont="1" applyFill="1" applyBorder="1" applyAlignment="1" applyProtection="1">
      <alignment horizontal="center" vertical="center" shrinkToFit="1"/>
      <protection locked="0"/>
    </xf>
    <xf numFmtId="0" fontId="57" fillId="17" borderId="24" xfId="0" applyFont="1" applyFill="1" applyBorder="1" applyAlignment="1" applyProtection="1">
      <alignment horizontal="center" vertical="center" wrapText="1"/>
      <protection locked="0"/>
    </xf>
    <xf numFmtId="0" fontId="148" fillId="5" borderId="32" xfId="0" applyNumberFormat="1" applyFont="1" applyFill="1" applyBorder="1" applyAlignment="1" applyProtection="1">
      <alignment horizontal="center" vertical="center" wrapText="1"/>
      <protection locked="0"/>
    </xf>
    <xf numFmtId="0" fontId="148" fillId="5" borderId="1" xfId="0" applyNumberFormat="1" applyFont="1" applyFill="1" applyBorder="1" applyAlignment="1" applyProtection="1">
      <alignment horizontal="center" vertical="center"/>
    </xf>
    <xf numFmtId="0" fontId="115" fillId="5" borderId="41" xfId="0" applyNumberFormat="1" applyFont="1" applyFill="1" applyBorder="1" applyAlignment="1" applyProtection="1">
      <alignment horizontal="center" vertical="center" wrapText="1"/>
      <protection locked="0"/>
    </xf>
    <xf numFmtId="0" fontId="115" fillId="5" borderId="29" xfId="0" applyNumberFormat="1" applyFont="1" applyFill="1" applyBorder="1" applyAlignment="1" applyProtection="1">
      <alignment horizontal="center" vertical="center" wrapText="1"/>
    </xf>
    <xf numFmtId="0" fontId="115" fillId="5" borderId="62" xfId="0" applyNumberFormat="1" applyFont="1" applyFill="1" applyBorder="1" applyAlignment="1" applyProtection="1">
      <alignment horizontal="center" vertical="center" wrapText="1"/>
    </xf>
    <xf numFmtId="0" fontId="254" fillId="0" borderId="1" xfId="0" applyFont="1" applyBorder="1" applyAlignment="1">
      <alignment vertical="center" wrapText="1"/>
    </xf>
    <xf numFmtId="179" fontId="0" fillId="0" borderId="1" xfId="0" applyNumberFormat="1" applyBorder="1" applyAlignment="1">
      <alignment horizontal="center"/>
    </xf>
    <xf numFmtId="0" fontId="0" fillId="7" borderId="1" xfId="0" applyFill="1" applyBorder="1" applyAlignment="1"/>
    <xf numFmtId="49" fontId="0" fillId="0" borderId="1" xfId="0" applyNumberFormat="1" applyBorder="1" applyAlignment="1"/>
    <xf numFmtId="0" fontId="0" fillId="5" borderId="1" xfId="0" applyFill="1" applyBorder="1" applyAlignment="1"/>
    <xf numFmtId="49" fontId="0" fillId="5" borderId="1" xfId="0" applyNumberFormat="1" applyFill="1" applyBorder="1" applyAlignment="1"/>
    <xf numFmtId="179" fontId="0" fillId="5" borderId="1" xfId="0" applyNumberFormat="1" applyFill="1" applyBorder="1" applyAlignment="1">
      <alignment horizontal="center"/>
    </xf>
    <xf numFmtId="49" fontId="99" fillId="0" borderId="1" xfId="0" applyNumberFormat="1" applyFont="1" applyBorder="1" applyAlignment="1">
      <alignment horizontal="center"/>
    </xf>
    <xf numFmtId="49" fontId="99" fillId="0" borderId="1" xfId="0" applyNumberFormat="1" applyFont="1" applyBorder="1" applyAlignment="1"/>
    <xf numFmtId="0" fontId="0" fillId="9" borderId="1" xfId="0" applyFill="1" applyBorder="1" applyAlignment="1"/>
    <xf numFmtId="49" fontId="0" fillId="9" borderId="1" xfId="0" applyNumberFormat="1" applyFill="1" applyBorder="1" applyAlignment="1"/>
    <xf numFmtId="179" fontId="0" fillId="9" borderId="1" xfId="0" applyNumberFormat="1" applyFill="1" applyBorder="1" applyAlignment="1">
      <alignment horizontal="center"/>
    </xf>
    <xf numFmtId="0" fontId="0" fillId="9" borderId="0" xfId="0" applyFont="1" applyFill="1" applyAlignment="1"/>
    <xf numFmtId="0" fontId="99" fillId="0" borderId="1" xfId="0" applyFont="1" applyBorder="1" applyAlignment="1"/>
    <xf numFmtId="49" fontId="99" fillId="9" borderId="1" xfId="0" applyNumberFormat="1" applyFont="1" applyFill="1" applyBorder="1" applyAlignment="1"/>
    <xf numFmtId="0" fontId="0" fillId="7" borderId="0" xfId="0" applyFont="1" applyFill="1" applyAlignment="1"/>
    <xf numFmtId="0" fontId="0" fillId="7" borderId="1" xfId="0" applyFill="1" applyBorder="1" applyAlignment="1">
      <alignment horizontal="center"/>
    </xf>
    <xf numFmtId="0" fontId="144" fillId="7" borderId="0" xfId="0" applyFont="1" applyFill="1" applyAlignment="1"/>
    <xf numFmtId="49" fontId="99" fillId="7" borderId="1" xfId="0" applyNumberFormat="1" applyFont="1" applyFill="1" applyBorder="1" applyAlignment="1"/>
    <xf numFmtId="0" fontId="0" fillId="7" borderId="1" xfId="0" applyFill="1" applyBorder="1" applyAlignment="1">
      <alignment horizontal="center" wrapText="1"/>
    </xf>
    <xf numFmtId="49" fontId="99" fillId="7" borderId="1" xfId="0" applyNumberFormat="1" applyFont="1" applyFill="1" applyBorder="1" applyAlignment="1">
      <alignment horizontal="center" wrapText="1"/>
    </xf>
    <xf numFmtId="179" fontId="0" fillId="7" borderId="1" xfId="0" applyNumberFormat="1" applyFill="1" applyBorder="1" applyAlignment="1">
      <alignment horizontal="center" wrapText="1"/>
    </xf>
    <xf numFmtId="0" fontId="99" fillId="7" borderId="1" xfId="0" applyFont="1" applyFill="1" applyBorder="1" applyAlignment="1">
      <alignment wrapText="1"/>
    </xf>
    <xf numFmtId="49" fontId="99" fillId="7" borderId="1" xfId="0" applyNumberFormat="1" applyFont="1" applyFill="1" applyBorder="1" applyAlignment="1">
      <alignment wrapText="1"/>
    </xf>
    <xf numFmtId="0" fontId="0" fillId="7" borderId="1" xfId="0" applyFill="1" applyBorder="1" applyAlignment="1">
      <alignment wrapText="1"/>
    </xf>
    <xf numFmtId="49" fontId="0" fillId="7" borderId="1" xfId="0" applyNumberFormat="1" applyFill="1" applyBorder="1" applyAlignment="1">
      <alignment wrapText="1"/>
    </xf>
    <xf numFmtId="0" fontId="0" fillId="7" borderId="5" xfId="0" applyFill="1" applyBorder="1" applyAlignment="1">
      <alignment vertical="center" wrapText="1"/>
    </xf>
    <xf numFmtId="0" fontId="99" fillId="9" borderId="1" xfId="0" applyFont="1" applyFill="1" applyBorder="1" applyAlignment="1"/>
    <xf numFmtId="0" fontId="254" fillId="0" borderId="1" xfId="0" applyFont="1" applyBorder="1" applyAlignment="1">
      <alignment horizontal="justify" vertical="center" wrapText="1"/>
    </xf>
    <xf numFmtId="0" fontId="254" fillId="0" borderId="1" xfId="0" applyFont="1" applyBorder="1" applyAlignment="1">
      <alignment vertical="top" wrapText="1"/>
    </xf>
    <xf numFmtId="57" fontId="254" fillId="0" borderId="1" xfId="0" applyNumberFormat="1" applyFont="1" applyBorder="1" applyAlignment="1">
      <alignment vertical="center" wrapText="1"/>
    </xf>
    <xf numFmtId="9" fontId="254" fillId="0" borderId="1" xfId="0" applyNumberFormat="1" applyFont="1" applyBorder="1" applyAlignment="1">
      <alignment horizontal="justify"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60" xfId="0" applyFont="1" applyBorder="1" applyAlignment="1">
      <alignment horizontal="center"/>
    </xf>
    <xf numFmtId="0" fontId="0" fillId="0" borderId="1" xfId="0" applyBorder="1" applyAlignment="1">
      <alignment horizontal="center" vertical="center" wrapText="1"/>
    </xf>
    <xf numFmtId="0" fontId="0" fillId="5" borderId="5" xfId="0" applyFill="1" applyBorder="1" applyAlignment="1">
      <alignment horizontal="center" vertical="center" wrapText="1"/>
    </xf>
    <xf numFmtId="0" fontId="0" fillId="5" borderId="3" xfId="0" applyFill="1" applyBorder="1" applyAlignment="1">
      <alignment horizontal="center" vertical="center" wrapText="1"/>
    </xf>
    <xf numFmtId="0" fontId="254" fillId="0" borderId="160" xfId="0" applyFont="1" applyBorder="1" applyAlignment="1">
      <alignment vertical="center" wrapText="1"/>
    </xf>
    <xf numFmtId="0" fontId="254" fillId="0" borderId="157" xfId="0" applyFont="1" applyBorder="1" applyAlignment="1">
      <alignment vertical="center" wrapText="1"/>
    </xf>
    <xf numFmtId="0" fontId="254" fillId="0" borderId="160" xfId="0" applyFont="1" applyBorder="1" applyAlignment="1">
      <alignment horizontal="left" vertical="center"/>
    </xf>
    <xf numFmtId="0" fontId="254" fillId="0" borderId="157" xfId="0" applyFont="1" applyBorder="1" applyAlignment="1">
      <alignment horizontal="left" vertical="center"/>
    </xf>
    <xf numFmtId="0" fontId="254" fillId="0" borderId="161" xfId="0" applyFont="1" applyBorder="1" applyAlignment="1">
      <alignment vertical="center" wrapText="1"/>
    </xf>
    <xf numFmtId="0" fontId="254" fillId="0" borderId="159" xfId="0" applyFont="1" applyBorder="1" applyAlignment="1">
      <alignment vertical="center" wrapText="1"/>
    </xf>
    <xf numFmtId="0" fontId="254" fillId="0" borderId="158" xfId="0" applyFont="1" applyBorder="1" applyAlignment="1">
      <alignment vertical="center" wrapText="1"/>
    </xf>
    <xf numFmtId="0" fontId="254" fillId="0" borderId="160" xfId="0" applyFont="1" applyBorder="1" applyAlignment="1">
      <alignment vertical="top" wrapText="1"/>
    </xf>
    <xf numFmtId="0" fontId="254" fillId="0" borderId="157" xfId="0" applyFont="1" applyBorder="1" applyAlignment="1">
      <alignment vertical="top" wrapText="1"/>
    </xf>
    <xf numFmtId="0" fontId="254" fillId="0" borderId="160" xfId="0" applyFont="1" applyBorder="1" applyAlignment="1"/>
    <xf numFmtId="0" fontId="254" fillId="0" borderId="157" xfId="0" applyFont="1" applyBorder="1" applyAlignment="1"/>
    <xf numFmtId="0" fontId="254" fillId="0" borderId="161" xfId="0" applyFont="1" applyBorder="1" applyAlignment="1">
      <alignment horizontal="center" vertical="center" wrapText="1"/>
    </xf>
    <xf numFmtId="0" fontId="254" fillId="0" borderId="159" xfId="0" applyFont="1" applyBorder="1" applyAlignment="1">
      <alignment horizontal="center" vertical="center" wrapText="1"/>
    </xf>
    <xf numFmtId="0" fontId="254" fillId="0" borderId="160" xfId="0" applyFont="1" applyBorder="1">
      <alignment vertical="center"/>
    </xf>
    <xf numFmtId="0" fontId="254" fillId="0" borderId="157" xfId="0" applyFont="1" applyBorder="1">
      <alignment vertical="center"/>
    </xf>
    <xf numFmtId="0" fontId="254" fillId="0" borderId="1" xfId="0" applyFont="1" applyBorder="1">
      <alignment vertical="center"/>
    </xf>
    <xf numFmtId="0" fontId="254" fillId="0" borderId="1" xfId="0" applyFont="1" applyBorder="1" applyAlignment="1">
      <alignment vertical="center" wrapText="1"/>
    </xf>
    <xf numFmtId="0" fontId="254" fillId="0" borderId="1" xfId="0" applyFont="1" applyBorder="1" applyAlignment="1">
      <alignment horizontal="center" vertical="center" wrapText="1"/>
    </xf>
    <xf numFmtId="0" fontId="256" fillId="7" borderId="60" xfId="0" applyFont="1" applyFill="1" applyBorder="1" applyAlignment="1">
      <alignment horizontal="center"/>
    </xf>
    <xf numFmtId="0" fontId="0" fillId="7" borderId="1" xfId="0" applyFill="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湖北省武汉市房地产抵押价值预评估</v>
      </c>
    </row>
    <row r="3" spans="1:2" s="1595" customFormat="1">
      <c r="A3" s="1593" t="s">
        <v>1221</v>
      </c>
      <c r="B3" s="1594" t="str">
        <f>'预评函-封皮'!B40</f>
        <v>中信信托有限责任公司</v>
      </c>
    </row>
    <row r="4" spans="1:2" s="1595" customFormat="1">
      <c r="A4" s="1593" t="s">
        <v>1222</v>
      </c>
      <c r="B4" s="1594" t="str">
        <f ca="1">'预评函-封皮'!B46</f>
        <v>郑燚（注册号：1120070131)、王萌（注册号：1120130048)</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受贵公司委托，我公司对湖北省武汉市房地产抵押价值进行了预评估。</v>
      </c>
    </row>
    <row r="7" spans="1:2" s="1595" customFormat="1">
      <c r="A7" s="1593" t="s">
        <v>1264</v>
      </c>
      <c r="B7" s="1594" t="str">
        <f>'预评函-1'!A7</f>
        <v>估价对象为湖北省武汉市房地产，为武汉统建所有。根据，估价对象（分摊）出让国有建设用地使用权面积为4361.28平方米，建筑面积为13306.87平方米。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估价对象为湖北省武汉市房地产,属武汉统建开发建设的商业项目，该项目尚在开发建设中。根据，估价对象（分摊）出让国有建设用地使用权面积为4361.28平方米，规划建筑面积为13306.87平方米。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2018年4月19日（评估专业人员实地查勘之日）</v>
      </c>
    </row>
    <row r="13" spans="1:2" s="1595" customFormat="1">
      <c r="A13" s="1593" t="s">
        <v>1227</v>
      </c>
      <c r="B13" s="1594" t="str">
        <f>'预评函-1'!A18</f>
        <v>本次估价的“房地产价值”是指在正常市场情况下，在价值时点2018年4月19日，估价对象规划用途为商业，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本次评估采用的主估价方法为收益法和比较法。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424</v>
      </c>
    </row>
    <row r="21" spans="1:2" s="1595" customFormat="1">
      <c r="A21" s="1593" t="s">
        <v>1235</v>
      </c>
      <c r="B21" s="1594">
        <f ca="1">'预评函-2'!D7</f>
        <v>30471</v>
      </c>
    </row>
    <row r="22" spans="1:2" s="1595" customFormat="1">
      <c r="A22" s="1593" t="s">
        <v>1236</v>
      </c>
      <c r="B22" s="1594" t="str">
        <f ca="1">'预评函-2'!D6</f>
        <v>肆佰贰拾肆万元整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424</v>
      </c>
    </row>
    <row r="31" spans="1:2" s="1595" customFormat="1">
      <c r="A31" s="1593" t="s">
        <v>1274</v>
      </c>
      <c r="B31" s="1594">
        <f ca="1">'预评函-2'!D15</f>
        <v>319</v>
      </c>
    </row>
    <row r="32" spans="1:2" s="1595" customFormat="1">
      <c r="A32" s="1593" t="s">
        <v>1241</v>
      </c>
      <c r="B32" s="1594" t="str">
        <f ca="1">'预评函-2'!D14</f>
        <v>肆佰贰拾肆万元整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湖北省武汉市房地产</v>
      </c>
    </row>
    <row r="42" spans="1:2" s="1595" customFormat="1">
      <c r="A42" s="1593" t="s">
        <v>1288</v>
      </c>
      <c r="B42" s="1594" t="str">
        <f>'预评函-3'!B2</f>
        <v>建筑面积</v>
      </c>
    </row>
    <row r="43" spans="1:2" s="1595" customFormat="1">
      <c r="A43" s="1593" t="s">
        <v>1289</v>
      </c>
      <c r="B43" s="1594">
        <f>'预评函-3'!B4</f>
        <v>13306.869999999999</v>
      </c>
    </row>
    <row r="44" spans="1:2" s="1595" customFormat="1">
      <c r="A44" s="1593" t="s">
        <v>1273</v>
      </c>
      <c r="B44" s="1594" t="str">
        <f>'预评函-3'!C2</f>
        <v>(分摊)土地面积</v>
      </c>
    </row>
    <row r="45" spans="1:2" s="1595" customFormat="1">
      <c r="A45" s="1593" t="s">
        <v>1245</v>
      </c>
      <c r="B45" s="1594">
        <f>'预评函-3'!C4</f>
        <v>4361.28</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王萌</v>
      </c>
    </row>
    <row r="73" spans="1:2" s="1589" customFormat="1" ht="15" thickBot="1">
      <c r="A73" s="1596" t="s">
        <v>1263</v>
      </c>
      <c r="B73" s="1597">
        <f ca="1">'预评函-4'!B5</f>
        <v>1120130048</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8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84"/>
      <c r="B54" s="2024" t="s">
        <v>864</v>
      </c>
      <c r="C54" s="2021" t="s">
        <v>1281</v>
      </c>
    </row>
    <row r="55" spans="1:4">
      <c r="A55" s="3084"/>
      <c r="B55" s="2024" t="s">
        <v>865</v>
      </c>
      <c r="C55" s="2021" t="s">
        <v>1282</v>
      </c>
    </row>
    <row r="56" spans="1:4">
      <c r="A56" s="3084"/>
      <c r="B56" s="2024" t="s">
        <v>866</v>
      </c>
      <c r="C56" s="2021" t="s">
        <v>1286</v>
      </c>
    </row>
    <row r="57" spans="1:4">
      <c r="A57" s="3084"/>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E15" sqref="E1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1775</v>
      </c>
      <c r="B1" s="3085" t="str">
        <f>IF(B10="北京市","北京市",C10)&amp;F10&amp;IF(结果表!G1="在建","出让国有建设用地使用权及在建建筑物",IF(结果表!G1="土地","出让国有建设用地使用权",))&amp;B9&amp;"预评估"</f>
        <v>湖北省武汉市房地产抵押价值预评估</v>
      </c>
      <c r="C1" s="3086"/>
      <c r="D1" s="3086"/>
      <c r="E1" s="3086"/>
      <c r="F1" s="3086"/>
      <c r="G1" s="3086"/>
      <c r="H1" s="3086"/>
      <c r="I1" s="308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湖北省武汉市房地产抵押价值</v>
      </c>
    </row>
    <row r="2" spans="1:19" ht="18" customHeight="1">
      <c r="A2" s="2028" t="s">
        <v>1776</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湖北省武汉市房地产</v>
      </c>
    </row>
    <row r="3" spans="1:19" ht="18" customHeight="1">
      <c r="A3" s="2037" t="s">
        <v>1777</v>
      </c>
      <c r="B3" s="2038">
        <v>43209</v>
      </c>
      <c r="C3" s="2039" t="s">
        <v>1778</v>
      </c>
      <c r="D3" s="2038">
        <f>B3</f>
        <v>43209</v>
      </c>
      <c r="E3" s="2028"/>
      <c r="F3" s="2028"/>
      <c r="G3" s="2028"/>
      <c r="H3" s="2028"/>
      <c r="I3" s="2028"/>
      <c r="J3" s="2028"/>
      <c r="K3" s="2029"/>
      <c r="L3" s="2030"/>
      <c r="M3" s="2030"/>
      <c r="N3" s="2031"/>
      <c r="O3" s="2032"/>
      <c r="P3" s="2031"/>
      <c r="Q3" s="2031"/>
      <c r="R3" s="2031"/>
      <c r="S3" s="2033"/>
    </row>
    <row r="4" spans="1:19" ht="18" customHeight="1" thickBot="1">
      <c r="A4" s="2040" t="s">
        <v>1779</v>
      </c>
      <c r="B4" s="2041" t="s">
        <v>3043</v>
      </c>
      <c r="C4" s="1039">
        <f ca="1">SUMIF(注册房地产估价师,B4,估价师及机构信息!B3:B24)</f>
        <v>1120070131</v>
      </c>
      <c r="D4" s="2041" t="s">
        <v>3044</v>
      </c>
      <c r="E4" s="1040">
        <f ca="1">SUMIF(注册房地产估价师,D4,估价师及机构信息!B3:B24)</f>
        <v>1120130048</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郑燚（注册号：1120070131)、王萌（注册号：1120130048)</v>
      </c>
      <c r="L4" s="2030"/>
      <c r="M4" s="2030"/>
      <c r="N4" s="2031"/>
      <c r="O4" s="2032"/>
      <c r="P4" s="2031"/>
      <c r="Q4" s="2031"/>
      <c r="R4" s="2031"/>
      <c r="S4" s="2033"/>
    </row>
    <row r="5" spans="1:19" ht="18" customHeight="1" thickTop="1" thickBot="1">
      <c r="A5" s="2046" t="s">
        <v>1780</v>
      </c>
      <c r="B5" s="2941" t="s">
        <v>3178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Top="1">
      <c r="A6" s="2049" t="s">
        <v>1781</v>
      </c>
      <c r="B6" s="2941" t="s">
        <v>3178</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942" t="s">
        <v>3179</v>
      </c>
      <c r="C7" s="2050"/>
      <c r="D7" s="2051"/>
      <c r="E7" s="2036"/>
      <c r="F7" s="2044"/>
      <c r="G7" s="2044"/>
      <c r="H7" s="2044"/>
      <c r="I7" s="2044"/>
      <c r="J7" s="2044"/>
      <c r="K7" s="2053"/>
      <c r="L7" s="2030"/>
      <c r="M7" s="2030"/>
      <c r="N7" s="2031"/>
      <c r="O7" s="2032"/>
      <c r="P7" s="2031"/>
      <c r="Q7" s="2031"/>
      <c r="R7" s="2031"/>
    </row>
    <row r="8" spans="1:19" ht="18" customHeight="1">
      <c r="A8" s="2049" t="s">
        <v>1783</v>
      </c>
      <c r="B8" s="2054" t="s">
        <v>3045</v>
      </c>
      <c r="C8" s="2055"/>
      <c r="D8" s="3088" t="s">
        <v>1784</v>
      </c>
      <c r="E8" s="2056" t="s">
        <v>3046</v>
      </c>
      <c r="F8" s="2057"/>
      <c r="G8" s="2028"/>
      <c r="H8" s="2028"/>
      <c r="I8" s="2028"/>
      <c r="J8" s="2044"/>
      <c r="K8" s="2045"/>
      <c r="L8" s="2030"/>
      <c r="M8" s="2030"/>
      <c r="N8" s="2031"/>
      <c r="O8" s="2032"/>
      <c r="P8" s="2031"/>
      <c r="Q8" s="2031"/>
      <c r="R8" s="2031"/>
    </row>
    <row r="9" spans="1:19" ht="18" customHeight="1" thickBot="1">
      <c r="A9" s="2042" t="s">
        <v>1785</v>
      </c>
      <c r="B9" s="2058" t="s">
        <v>3046</v>
      </c>
      <c r="C9" s="2059"/>
      <c r="D9" s="3089"/>
      <c r="E9" s="2058" t="s">
        <v>70</v>
      </c>
      <c r="F9" s="2060"/>
      <c r="G9" s="2061"/>
      <c r="H9" s="2061"/>
      <c r="I9" s="2061"/>
      <c r="J9" s="2044"/>
      <c r="K9" s="2053"/>
      <c r="L9" s="2030"/>
      <c r="M9" s="2030"/>
      <c r="N9" s="2031"/>
      <c r="O9" s="2032"/>
      <c r="P9" s="2031"/>
      <c r="Q9" s="2031"/>
      <c r="R9" s="2031"/>
    </row>
    <row r="10" spans="1:19" ht="26.25" customHeight="1" thickTop="1">
      <c r="A10" s="2062" t="s">
        <v>1786</v>
      </c>
      <c r="B10" s="2063" t="s">
        <v>3047</v>
      </c>
      <c r="C10" s="2943" t="s">
        <v>3180</v>
      </c>
      <c r="D10" s="2048"/>
      <c r="E10" s="2064" t="s">
        <v>1787</v>
      </c>
      <c r="F10" s="2961"/>
      <c r="G10" s="2065"/>
      <c r="H10" s="2066"/>
      <c r="I10" s="2048"/>
      <c r="J10" s="2044"/>
      <c r="K10" s="2053"/>
      <c r="L10" s="2030"/>
      <c r="M10" s="2030"/>
      <c r="N10" s="2031"/>
      <c r="O10" s="2032"/>
      <c r="P10" s="2031"/>
      <c r="Q10" s="2031"/>
      <c r="R10" s="2031"/>
    </row>
    <row r="11" spans="1:19" ht="18" customHeight="1">
      <c r="A11" s="2067" t="s">
        <v>1788</v>
      </c>
      <c r="B11" s="2068" t="s">
        <v>3048</v>
      </c>
      <c r="C11" s="2942" t="s">
        <v>3179</v>
      </c>
      <c r="D11" s="2069"/>
      <c r="E11" s="2044"/>
      <c r="F11" s="2044"/>
      <c r="G11" s="2044"/>
      <c r="H11" s="2044"/>
      <c r="I11" s="2044"/>
      <c r="J11" s="2044"/>
      <c r="K11" s="2053"/>
      <c r="L11" s="2030"/>
      <c r="M11" s="2030"/>
      <c r="N11" s="2031"/>
      <c r="O11" s="2032"/>
      <c r="P11" s="2031"/>
      <c r="Q11" s="2031"/>
      <c r="R11" s="2031"/>
    </row>
    <row r="12" spans="1:19" ht="18" customHeight="1">
      <c r="A12" s="2070" t="s">
        <v>1789</v>
      </c>
      <c r="B12" s="2068" t="s">
        <v>3049</v>
      </c>
      <c r="C12" s="2071" t="s">
        <v>1790</v>
      </c>
      <c r="D12" s="2072" t="s">
        <v>1791</v>
      </c>
      <c r="E12" s="2072" t="s">
        <v>1792</v>
      </c>
      <c r="F12" s="2072" t="s">
        <v>1793</v>
      </c>
      <c r="G12" s="2072" t="s">
        <v>1794</v>
      </c>
      <c r="H12" s="2072" t="s">
        <v>1795</v>
      </c>
      <c r="I12" s="2072" t="s">
        <v>1796</v>
      </c>
      <c r="J12" s="2044"/>
      <c r="K12" s="2053"/>
      <c r="L12" s="2030"/>
      <c r="M12" s="2030"/>
      <c r="N12" s="2031"/>
      <c r="O12" s="2032"/>
      <c r="P12" s="2031"/>
      <c r="Q12" s="2031"/>
      <c r="R12" s="2031"/>
    </row>
    <row r="13" spans="1:19" ht="18" customHeight="1">
      <c r="A13" s="2073"/>
      <c r="B13" s="2074"/>
      <c r="C13" s="2075" t="s">
        <v>1797</v>
      </c>
      <c r="D13" s="2076"/>
      <c r="E13" s="3002">
        <v>54662</v>
      </c>
      <c r="F13" s="2076"/>
      <c r="G13" s="2076"/>
      <c r="H13" s="2076"/>
      <c r="I13" s="1049"/>
      <c r="J13" s="2044"/>
      <c r="K13" s="2053"/>
      <c r="L13" s="2030"/>
      <c r="M13" s="2030"/>
      <c r="N13" s="2031"/>
      <c r="O13" s="2032"/>
      <c r="P13" s="2031"/>
      <c r="Q13" s="2031"/>
      <c r="R13" s="2031"/>
    </row>
    <row r="14" spans="1:19" ht="18" customHeight="1">
      <c r="A14" s="2073"/>
      <c r="B14" s="2074"/>
      <c r="C14" s="2075" t="s">
        <v>1798</v>
      </c>
      <c r="D14" s="1052"/>
      <c r="E14" s="1052">
        <v>40</v>
      </c>
      <c r="F14" s="1052"/>
      <c r="G14" s="1052"/>
      <c r="H14" s="1052"/>
      <c r="I14" s="1052"/>
      <c r="J14" s="2044"/>
      <c r="K14" s="2077"/>
      <c r="L14" s="2030"/>
      <c r="M14" s="2030"/>
      <c r="N14" s="2031"/>
      <c r="O14" s="2032"/>
      <c r="P14" s="2031"/>
      <c r="Q14" s="2031"/>
      <c r="R14" s="2031"/>
    </row>
    <row r="15" spans="1:19" ht="18" customHeight="1">
      <c r="A15" s="2062"/>
      <c r="B15" s="2078"/>
      <c r="C15" s="2075" t="s">
        <v>1799</v>
      </c>
      <c r="D15" s="1051" t="str">
        <f>IF(B12="出让",IF(D13="","",ROUNDDOWN(MIN((D13-$D$3)/365,D14),2)),D14)</f>
        <v/>
      </c>
      <c r="E15" s="1051">
        <f>IF(B12="出让",IF(E13="","",ROUNDDOWN(MIN((E13-$D$3)/365,E14),2)),E14)</f>
        <v>31.37</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79"/>
      <c r="L15" s="2080"/>
      <c r="M15" s="2080"/>
      <c r="N15" s="2081"/>
      <c r="O15" s="2080"/>
      <c r="P15" s="2081"/>
      <c r="Q15" s="2031"/>
      <c r="R15" s="2031"/>
    </row>
    <row r="16" spans="1:19" ht="30.75" customHeight="1">
      <c r="A16" s="2064" t="s">
        <v>1800</v>
      </c>
      <c r="B16" s="3095" t="s">
        <v>3050</v>
      </c>
      <c r="C16" s="3096"/>
      <c r="D16" s="3097"/>
      <c r="E16" s="2082" t="s">
        <v>1801</v>
      </c>
      <c r="F16" s="3098"/>
      <c r="G16" s="3099"/>
      <c r="H16" s="3099"/>
      <c r="I16" s="3100"/>
      <c r="J16" s="2031"/>
      <c r="K16" s="2079"/>
      <c r="L16" s="2080"/>
      <c r="M16" s="2080"/>
      <c r="N16" s="2081"/>
      <c r="O16" s="2080"/>
      <c r="P16" s="2081"/>
      <c r="Q16" s="2031"/>
      <c r="R16" s="2031"/>
    </row>
    <row r="17" spans="1:22" ht="18" customHeight="1">
      <c r="A17" s="2083" t="s">
        <v>1802</v>
      </c>
      <c r="B17" s="2037" t="s">
        <v>1803</v>
      </c>
      <c r="C17" s="1056">
        <f>'数据-汇总表'!E3</f>
        <v>13306.869999999999</v>
      </c>
      <c r="D17" s="2084" t="s">
        <v>1804</v>
      </c>
      <c r="E17" s="3101"/>
      <c r="F17" s="3102"/>
      <c r="G17" s="3102"/>
      <c r="H17" s="3102"/>
      <c r="I17" s="3103"/>
      <c r="J17" s="2031"/>
      <c r="K17" s="2085"/>
      <c r="L17" s="2080"/>
      <c r="M17" s="2080"/>
      <c r="N17" s="2081"/>
      <c r="O17" s="2080"/>
      <c r="P17" s="2081"/>
      <c r="Q17" s="2031"/>
      <c r="R17" s="2031"/>
      <c r="S17" s="2031"/>
      <c r="T17" s="2031"/>
      <c r="U17" s="2031"/>
      <c r="V17" s="2031"/>
    </row>
    <row r="18" spans="1:22" ht="36" customHeight="1" thickBot="1">
      <c r="A18" s="2086" t="s">
        <v>1805</v>
      </c>
      <c r="B18" s="2040" t="s">
        <v>1806</v>
      </c>
      <c r="C18" s="1446">
        <f>'数据-汇总表'!D3</f>
        <v>4361.28</v>
      </c>
      <c r="D18" s="2087" t="s">
        <v>1804</v>
      </c>
      <c r="E18" s="3104"/>
      <c r="F18" s="3105"/>
      <c r="G18" s="3105"/>
      <c r="H18" s="3105"/>
      <c r="I18" s="3106"/>
      <c r="J18" s="2031"/>
      <c r="K18" s="2085"/>
      <c r="L18" s="2080"/>
      <c r="M18" s="2080"/>
      <c r="N18" s="2081"/>
      <c r="O18" s="2080"/>
      <c r="P18" s="2081"/>
      <c r="Q18" s="2031"/>
      <c r="R18" s="2031"/>
      <c r="S18" s="2031"/>
      <c r="T18" s="2031"/>
      <c r="U18" s="2031"/>
      <c r="V18" s="2031"/>
    </row>
    <row r="19" spans="1:22" ht="37.5" customHeight="1" thickTop="1" thickBot="1">
      <c r="A19" s="373" t="s">
        <v>1807</v>
      </c>
      <c r="B19" s="352" t="s">
        <v>1808</v>
      </c>
      <c r="C19" s="2088" t="s">
        <v>3051</v>
      </c>
      <c r="D19" s="2089" t="s">
        <v>1809</v>
      </c>
      <c r="E19" s="2090" t="s">
        <v>70</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1810</v>
      </c>
      <c r="B20" s="3091" t="s">
        <v>1811</v>
      </c>
      <c r="C20" s="3092"/>
      <c r="D20" s="3093" t="s">
        <v>1812</v>
      </c>
      <c r="E20" s="3094"/>
      <c r="F20" s="2094" t="s">
        <v>1813</v>
      </c>
      <c r="G20" s="2044"/>
      <c r="H20" s="2044"/>
      <c r="I20" s="2044"/>
      <c r="J20" s="2044"/>
      <c r="K20" s="3090" t="s">
        <v>1814</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0"/>
      <c r="N20" s="2081"/>
      <c r="O20" s="2080"/>
      <c r="P20" s="2081"/>
      <c r="Q20" s="2031"/>
      <c r="R20" s="2031"/>
      <c r="S20" s="2031"/>
      <c r="T20" s="2031"/>
      <c r="U20" s="2031"/>
      <c r="V20" s="2031"/>
    </row>
    <row r="21" spans="1:22" ht="24.75" customHeight="1">
      <c r="A21" s="2093"/>
      <c r="B21" s="2095" t="s">
        <v>1815</v>
      </c>
      <c r="C21" s="2096" t="s">
        <v>1816</v>
      </c>
      <c r="D21" s="2097"/>
      <c r="E21" s="2098" t="s">
        <v>70</v>
      </c>
      <c r="F21" s="2099"/>
      <c r="G21" s="2044"/>
      <c r="H21" s="2044"/>
      <c r="I21" s="2044"/>
      <c r="J21" s="2044"/>
      <c r="K21" s="309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1"/>
      <c r="O21" s="2080"/>
      <c r="P21" s="2081"/>
      <c r="Q21" s="2031"/>
      <c r="R21" s="2031"/>
      <c r="S21" s="2031"/>
      <c r="T21" s="2031"/>
      <c r="U21" s="2031"/>
      <c r="V21" s="2031"/>
    </row>
    <row r="22" spans="1:22" ht="24.75" customHeight="1" thickBot="1">
      <c r="A22" s="2093"/>
      <c r="B22" s="2100" t="s">
        <v>1817</v>
      </c>
      <c r="C22" s="2096" t="s">
        <v>3052</v>
      </c>
      <c r="D22" s="2028"/>
      <c r="E22" s="2028"/>
      <c r="F22" s="2101"/>
      <c r="G22" s="2044"/>
      <c r="H22" s="2044"/>
      <c r="I22" s="2044"/>
      <c r="J22" s="2044"/>
      <c r="K22" s="309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1818</v>
      </c>
      <c r="B23" s="183" t="s">
        <v>1819</v>
      </c>
      <c r="C23" s="2103"/>
      <c r="D23" s="2104" t="s">
        <v>1819</v>
      </c>
      <c r="E23" s="2105"/>
      <c r="F23" s="2101"/>
      <c r="G23" s="2044"/>
      <c r="H23" s="2044"/>
      <c r="I23" s="2044"/>
      <c r="J23" s="2044"/>
      <c r="K23" s="2106"/>
      <c r="L23" s="747"/>
      <c r="M23" s="2030"/>
      <c r="N23" s="2081"/>
      <c r="O23" s="2080"/>
      <c r="P23" s="2081"/>
      <c r="Q23" s="2031"/>
      <c r="R23" s="2031"/>
      <c r="S23" s="2031"/>
      <c r="T23" s="2031"/>
      <c r="U23" s="2031"/>
      <c r="V23" s="2031"/>
    </row>
    <row r="24" spans="1:22" ht="18" customHeight="1">
      <c r="A24" s="2107"/>
      <c r="B24" s="183" t="s">
        <v>1820</v>
      </c>
      <c r="C24" s="2108"/>
      <c r="D24" s="2102" t="s">
        <v>1820</v>
      </c>
      <c r="E24" s="2109"/>
      <c r="F24" s="2101"/>
      <c r="G24" s="2044"/>
      <c r="H24" s="2044"/>
      <c r="I24" s="2044"/>
      <c r="J24" s="2044"/>
      <c r="K24" s="2106"/>
      <c r="L24" s="747"/>
      <c r="M24" s="2030"/>
      <c r="N24" s="2081"/>
      <c r="O24" s="2080"/>
      <c r="P24" s="2081"/>
      <c r="Q24" s="2031"/>
      <c r="R24" s="2031"/>
      <c r="S24" s="2031"/>
      <c r="T24" s="2031"/>
      <c r="U24" s="2031"/>
      <c r="V24" s="2031"/>
    </row>
    <row r="25" spans="1:22" ht="18" customHeight="1">
      <c r="A25" s="2107"/>
      <c r="B25" s="183" t="s">
        <v>1821</v>
      </c>
      <c r="C25" s="2108"/>
      <c r="D25" s="2102" t="s">
        <v>1821</v>
      </c>
      <c r="E25" s="2109"/>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10"/>
      <c r="B26" s="2111" t="s">
        <v>1822</v>
      </c>
      <c r="C26" s="2112"/>
      <c r="D26" s="2113" t="s">
        <v>1823</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108" t="s">
        <v>1824</v>
      </c>
      <c r="B27" s="2062" t="s">
        <v>1825</v>
      </c>
      <c r="C27" s="2116" t="s">
        <v>3053</v>
      </c>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108"/>
      <c r="B28" s="2037" t="s">
        <v>1826</v>
      </c>
      <c r="C28" s="2118" t="s">
        <v>3054</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108"/>
      <c r="B29" s="2037" t="s">
        <v>1827</v>
      </c>
      <c r="C29" s="2121" t="s">
        <v>3051</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109"/>
      <c r="B30" s="2037" t="s">
        <v>1828</v>
      </c>
      <c r="C30" s="3110"/>
      <c r="D30" s="3111"/>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112" t="s">
        <v>1829</v>
      </c>
      <c r="B31" s="2123" t="s">
        <v>3055</v>
      </c>
      <c r="C31" s="2124" t="str">
        <f>IF(B31="现房","成新及维护状况正常否",IF(B31="在建","工程状态是否正常",IF(B31="土地","是否闲置","-")))</f>
        <v>成新及维护状况正常否</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113"/>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113"/>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1830</v>
      </c>
      <c r="B34" s="2130" t="s">
        <v>3056</v>
      </c>
      <c r="C34" s="2130" t="s">
        <v>3057</v>
      </c>
      <c r="D34" s="2130" t="s">
        <v>3058</v>
      </c>
      <c r="E34" s="2130" t="s">
        <v>3059</v>
      </c>
      <c r="F34" s="2130" t="s">
        <v>3060</v>
      </c>
      <c r="G34" s="2130" t="s">
        <v>3061</v>
      </c>
      <c r="H34" s="2130" t="s">
        <v>3062</v>
      </c>
      <c r="I34" s="2044"/>
      <c r="J34" s="2044"/>
      <c r="K34" s="1797">
        <f>COUNTIF(B34:H34,"——")</f>
        <v>0</v>
      </c>
      <c r="L34" s="2071" t="s">
        <v>1831</v>
      </c>
      <c r="M34" s="2071" t="s">
        <v>1832</v>
      </c>
      <c r="N34" s="2071" t="s">
        <v>1833</v>
      </c>
      <c r="O34" s="2071" t="s">
        <v>1834</v>
      </c>
      <c r="P34" s="2071" t="s">
        <v>1835</v>
      </c>
      <c r="Q34" s="2071" t="s">
        <v>1836</v>
      </c>
      <c r="R34" s="2071" t="s">
        <v>1837</v>
      </c>
      <c r="S34" s="3107" t="s">
        <v>1838</v>
      </c>
      <c r="T34" s="2131" t="str">
        <f>NUMBERSTRING(7-K34,1)&amp;"通"</f>
        <v>七通</v>
      </c>
      <c r="U34" s="2031"/>
      <c r="V34" s="2031"/>
    </row>
    <row r="35" spans="1:22" ht="18" customHeight="1">
      <c r="A35" s="2132"/>
      <c r="B35" s="3114" t="s">
        <v>1839</v>
      </c>
      <c r="C35" s="3114"/>
      <c r="D35" s="3114"/>
      <c r="E35" s="3114"/>
      <c r="F35" s="2133" t="str">
        <f>C10</f>
        <v>湖北省武汉市</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107"/>
      <c r="T35" s="48" t="str">
        <f>IF(T34="一通",L35,IF(T34="二通",M35,IF(T34="三通",N35,IF(T34="四通",O35,IF(T34="五通",P35,IF(T34="六通",Q35,R35))))))</f>
        <v>通路、通电、通讯、通上水、通下水、燃气、平整</v>
      </c>
      <c r="U35" s="2031"/>
      <c r="V35" s="2031"/>
    </row>
    <row r="36" spans="1:22" ht="18" customHeight="1">
      <c r="A36" s="2134"/>
      <c r="B36" s="2133" t="s">
        <v>1840</v>
      </c>
      <c r="C36" s="2133" t="s">
        <v>1841</v>
      </c>
      <c r="D36" s="2133" t="s">
        <v>1842</v>
      </c>
      <c r="E36" s="2133" t="s">
        <v>1843</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1844</v>
      </c>
      <c r="B37" s="2137" t="s">
        <v>212</v>
      </c>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1845</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5"/>
      <c r="L40" s="2080"/>
      <c r="M40" s="2080"/>
      <c r="N40" s="2081"/>
      <c r="O40" s="2080"/>
      <c r="P40" s="2031"/>
      <c r="Q40" s="2031"/>
      <c r="R40" s="2031"/>
      <c r="S40" s="2031"/>
      <c r="T40" s="2031"/>
      <c r="U40" s="2031"/>
      <c r="V40" s="2031"/>
    </row>
    <row r="41" spans="1:22" ht="18" customHeight="1">
      <c r="A41" s="8" t="s">
        <v>1847</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1848</v>
      </c>
      <c r="B42" s="1797" t="s">
        <v>1849</v>
      </c>
      <c r="C42" s="1797" t="s">
        <v>1850</v>
      </c>
      <c r="D42" s="1797" t="s">
        <v>1851</v>
      </c>
      <c r="E42" s="1797" t="s">
        <v>1852</v>
      </c>
      <c r="F42" s="1797" t="s">
        <v>1853</v>
      </c>
      <c r="G42" s="1797" t="s">
        <v>1854</v>
      </c>
      <c r="H42" s="1797" t="s">
        <v>1855</v>
      </c>
      <c r="I42" s="1797" t="s">
        <v>1856</v>
      </c>
      <c r="J42" s="2149" t="s">
        <v>1857</v>
      </c>
      <c r="K42" s="2072" t="s">
        <v>1858</v>
      </c>
      <c r="L42" s="2072" t="s">
        <v>1859</v>
      </c>
      <c r="M42" s="2072" t="s">
        <v>1860</v>
      </c>
      <c r="N42" s="1797" t="s">
        <v>1861</v>
      </c>
      <c r="O42" s="1797" t="s">
        <v>1862</v>
      </c>
      <c r="P42" s="1797" t="s">
        <v>1863</v>
      </c>
      <c r="Q42" s="2071" t="s">
        <v>1864</v>
      </c>
      <c r="R42" s="2071" t="s">
        <v>1865</v>
      </c>
      <c r="S42" s="2031"/>
      <c r="T42" s="2031"/>
      <c r="U42" s="2031"/>
      <c r="V42" s="2031"/>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hidden="1" customWidth="1"/>
    <col min="12"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hidden="1" customWidth="1"/>
    <col min="30" max="30" width="10" style="2156" hidden="1" customWidth="1"/>
    <col min="31" max="31" width="9.75" style="2156" hidden="1" customWidth="1"/>
    <col min="32" max="46" width="9.5" style="2156" hidden="1" customWidth="1"/>
    <col min="47" max="47" width="18.125" style="2156" hidden="1"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1871</v>
      </c>
      <c r="AZ2" s="1272"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Sheet1!F103</f>
        <v>4361.2799999999988</v>
      </c>
      <c r="B3" s="14">
        <f>IF(C3="否",G5-AT5,G5)</f>
        <v>13306.869999999999</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5"/>
      <c r="C5" s="1805"/>
      <c r="D5" s="1808"/>
      <c r="E5" s="16" t="s">
        <v>1</v>
      </c>
      <c r="F5" s="16">
        <f>SUM(F13:F587)</f>
        <v>0</v>
      </c>
      <c r="G5" s="16">
        <f>SUM(G13:G587)</f>
        <v>13306.869999999999</v>
      </c>
      <c r="H5" s="16">
        <f t="shared" ref="H5:AT5" si="0">SUM(H13:H656)</f>
        <v>13306.869999999999</v>
      </c>
      <c r="I5" s="16">
        <f t="shared" si="0"/>
        <v>13306.869999999999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13306.869999999999</v>
      </c>
      <c r="BA5" s="18">
        <f t="shared" si="1"/>
        <v>13306.869999999999</v>
      </c>
      <c r="BB5" s="18">
        <f t="shared" si="1"/>
        <v>13306.869999999999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4361.28</v>
      </c>
      <c r="F6" s="16" t="s">
        <v>1</v>
      </c>
      <c r="G6" s="16" t="s">
        <v>2</v>
      </c>
      <c r="H6" s="20">
        <f>SUMIF(I$12:AB$12,"总值",I6:AB6)</f>
        <v>4361.28</v>
      </c>
      <c r="I6" s="16">
        <f t="shared" ref="I6:AB6" si="2">ROUND($A$3*I5/$B$3,2)</f>
        <v>4361.28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4361.28</v>
      </c>
      <c r="AZ6" s="16" t="s">
        <v>3</v>
      </c>
      <c r="BA6" s="16">
        <f>ROUND($AY$6*BA5/$AZ$5,2)</f>
        <v>4361.28</v>
      </c>
      <c r="BB6" s="16">
        <f>ROUND($AY$6*BB5/$AZ$5,2)</f>
        <v>4361.28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1884</v>
      </c>
      <c r="AV7" s="23" t="s">
        <v>1885</v>
      </c>
      <c r="AW7" s="2163" t="s">
        <v>1886</v>
      </c>
      <c r="AX7" s="23" t="s">
        <v>1879</v>
      </c>
      <c r="AY7" s="1805"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20"/>
      <c r="K8" s="1820"/>
      <c r="L8" s="1820"/>
      <c r="M8" s="1820"/>
      <c r="N8" s="1820"/>
      <c r="O8" s="1820"/>
      <c r="P8" s="1820"/>
      <c r="Q8" s="1820"/>
      <c r="R8" s="1820"/>
      <c r="S8" s="1820"/>
      <c r="T8" s="1820"/>
      <c r="U8" s="1820"/>
      <c r="V8" s="2183"/>
      <c r="W8" s="1820"/>
      <c r="X8" s="1820"/>
      <c r="Y8" s="1820"/>
      <c r="Z8" s="1820"/>
      <c r="AA8" s="2183"/>
      <c r="AB8" s="2184"/>
      <c r="AC8" s="983" t="s">
        <v>1890</v>
      </c>
      <c r="AD8" s="2185"/>
      <c r="AE8" s="2177"/>
      <c r="AF8" s="1820"/>
      <c r="AG8" s="1820"/>
      <c r="AH8" s="1820"/>
      <c r="AI8" s="1820"/>
      <c r="AJ8" s="1820"/>
      <c r="AK8" s="1820"/>
      <c r="AL8" s="1820"/>
      <c r="AM8" s="1820"/>
      <c r="AN8" s="1820"/>
      <c r="AO8" s="1820"/>
      <c r="AP8" s="1820"/>
      <c r="AQ8" s="1820"/>
      <c r="AR8" s="1820"/>
      <c r="AS8" s="1820"/>
      <c r="AT8" s="1294" t="s">
        <v>1891</v>
      </c>
      <c r="AU8" s="2179" t="s">
        <v>1892</v>
      </c>
      <c r="AV8" s="1294"/>
      <c r="AW8" s="2162"/>
      <c r="AX8" s="1294"/>
      <c r="AY8" s="2163"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4"/>
      <c r="H9" s="2187" t="s">
        <v>1895</v>
      </c>
      <c r="I9" s="2188" t="s">
        <v>3065</v>
      </c>
      <c r="J9" s="983"/>
      <c r="K9" s="2188"/>
      <c r="L9" s="983"/>
      <c r="M9" s="2188"/>
      <c r="N9" s="983"/>
      <c r="O9" s="2188"/>
      <c r="P9" s="983"/>
      <c r="Q9" s="2188"/>
      <c r="R9" s="983"/>
      <c r="S9" s="2188"/>
      <c r="T9" s="983"/>
      <c r="U9" s="2188"/>
      <c r="V9" s="983"/>
      <c r="W9" s="2188"/>
      <c r="X9" s="2189"/>
      <c r="Y9" s="2188"/>
      <c r="Z9" s="983"/>
      <c r="AA9" s="2188"/>
      <c r="AB9" s="983"/>
      <c r="AC9" s="2180"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0"/>
      <c r="AT9" s="2179"/>
      <c r="AU9" s="2179" t="s">
        <v>1898</v>
      </c>
      <c r="AV9" s="1294"/>
      <c r="AW9" s="2162"/>
      <c r="AX9" s="1294"/>
      <c r="AY9" s="28"/>
      <c r="AZ9" s="28" t="s">
        <v>1888</v>
      </c>
      <c r="BA9" s="2191" t="s">
        <v>1899</v>
      </c>
      <c r="BB9" s="2192"/>
      <c r="BC9" s="1340"/>
      <c r="BD9" s="1340"/>
      <c r="BE9" s="1340"/>
      <c r="BF9" s="1340"/>
      <c r="BG9" s="1340"/>
      <c r="BH9" s="1340"/>
      <c r="BI9" s="1340"/>
      <c r="BJ9" s="1340"/>
      <c r="BK9" s="2193"/>
      <c r="BL9" s="15" t="s">
        <v>1900</v>
      </c>
      <c r="BM9" s="1820"/>
      <c r="BN9" s="2182"/>
      <c r="BO9" s="1820"/>
      <c r="BP9" s="1820"/>
      <c r="BQ9" s="1820"/>
      <c r="BR9" s="1820"/>
      <c r="BS9" s="1820"/>
      <c r="BT9" s="26"/>
    </row>
    <row r="10" spans="1:72" s="2186" customFormat="1" ht="12.75">
      <c r="A10" s="2179"/>
      <c r="B10" s="2179"/>
      <c r="C10" s="2179"/>
      <c r="D10" s="2179"/>
      <c r="E10" s="2179"/>
      <c r="F10" s="2179"/>
      <c r="G10" s="1294"/>
      <c r="H10" s="28"/>
      <c r="I10" s="2188" t="s">
        <v>1377</v>
      </c>
      <c r="J10" s="983"/>
      <c r="K10" s="2194"/>
      <c r="L10" s="983"/>
      <c r="M10" s="2194"/>
      <c r="N10" s="983"/>
      <c r="O10" s="2194"/>
      <c r="P10" s="983"/>
      <c r="Q10" s="2194"/>
      <c r="R10" s="983"/>
      <c r="S10" s="2194"/>
      <c r="T10" s="983"/>
      <c r="U10" s="2194"/>
      <c r="V10" s="983"/>
      <c r="W10" s="2194"/>
      <c r="X10" s="983"/>
      <c r="Y10" s="2194"/>
      <c r="Z10" s="983"/>
      <c r="AA10" s="2194"/>
      <c r="AB10" s="983"/>
      <c r="AC10" s="1294"/>
      <c r="AD10" s="15" t="s">
        <v>1901</v>
      </c>
      <c r="AE10" s="2195"/>
      <c r="AF10" s="15" t="s">
        <v>1901</v>
      </c>
      <c r="AG10" s="2195"/>
      <c r="AH10" s="15" t="s">
        <v>1902</v>
      </c>
      <c r="AI10" s="2195"/>
      <c r="AJ10" s="15" t="s">
        <v>1902</v>
      </c>
      <c r="AK10" s="2195"/>
      <c r="AL10" s="15" t="s">
        <v>1903</v>
      </c>
      <c r="AM10" s="1300"/>
      <c r="AN10" s="15" t="s">
        <v>1903</v>
      </c>
      <c r="AO10" s="1300"/>
      <c r="AP10" s="15" t="s">
        <v>1904</v>
      </c>
      <c r="AQ10" s="1300"/>
      <c r="AR10" s="15" t="s">
        <v>1904</v>
      </c>
      <c r="AS10" s="1300"/>
      <c r="AT10" s="2179"/>
      <c r="AU10" s="2179"/>
      <c r="AV10" s="1294"/>
      <c r="AW10" s="2162"/>
      <c r="AX10" s="1294"/>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4"/>
      <c r="H11" s="2196"/>
      <c r="I11" s="2199" t="s">
        <v>3181</v>
      </c>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1905</v>
      </c>
      <c r="AE11" s="1821"/>
      <c r="AF11" s="2201" t="s">
        <v>1905</v>
      </c>
      <c r="AG11" s="1821"/>
      <c r="AH11" s="2201" t="s">
        <v>1906</v>
      </c>
      <c r="AI11" s="2202"/>
      <c r="AJ11" s="2201" t="s">
        <v>1906</v>
      </c>
      <c r="AK11" s="1821"/>
      <c r="AL11" s="1819"/>
      <c r="AM11" s="1821"/>
      <c r="AN11" s="1819"/>
      <c r="AO11" s="1821"/>
      <c r="AP11" s="1819"/>
      <c r="AQ11" s="1821"/>
      <c r="AR11" s="1819"/>
      <c r="AS11" s="1821"/>
      <c r="AT11" s="2162"/>
      <c r="AU11" s="2179"/>
      <c r="AV11" s="1294"/>
      <c r="AW11" s="2162"/>
      <c r="AX11" s="1294"/>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6"/>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2993" t="s">
        <v>3413</v>
      </c>
      <c r="D13" s="2210" t="s">
        <v>3064</v>
      </c>
      <c r="E13" s="16">
        <f>IF($C$3="是",ROUND($A$3*G13/$B$3,2),ROUND($A$3*(G13-AT13)/$B$3,2))</f>
        <v>4361.28</v>
      </c>
      <c r="F13" s="32"/>
      <c r="G13" s="33">
        <f>H13+AC13+AT13</f>
        <v>13306.869999999999</v>
      </c>
      <c r="H13" s="20">
        <f>SUMIF(I$12:AB$12,"总值",I13:AB13)</f>
        <v>13306.869999999999</v>
      </c>
      <c r="I13" s="2211">
        <f>Sheet1!E103</f>
        <v>13306.869999999999</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天成美景</v>
      </c>
      <c r="AY13" s="1808">
        <f>ROUND($AY$6*AZ13/$AZ$5,2)</f>
        <v>4361.28</v>
      </c>
      <c r="AZ13" s="16">
        <f>BA13+BL13</f>
        <v>13306.869999999999</v>
      </c>
      <c r="BA13" s="16">
        <f>SUM(BB13:BK13)</f>
        <v>13306.869999999999</v>
      </c>
      <c r="BB13" s="16">
        <f>IF($D13="是",I13-J13,0)</f>
        <v>13306.869999999999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4"/>
      <c r="B14" s="1274"/>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1274"/>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9"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5" t="s">
        <v>0</v>
      </c>
      <c r="B1" s="3115" t="s">
        <v>4</v>
      </c>
      <c r="C1" s="3115" t="s">
        <v>5</v>
      </c>
      <c r="D1" s="3116" t="s">
        <v>53</v>
      </c>
      <c r="E1" s="3116" t="s">
        <v>54</v>
      </c>
      <c r="F1" s="3116"/>
      <c r="G1" s="3116"/>
      <c r="H1" s="3116"/>
      <c r="I1" s="3116"/>
      <c r="J1" s="3116"/>
      <c r="K1" s="3116"/>
      <c r="L1" s="3116"/>
      <c r="M1" s="3116"/>
    </row>
    <row r="2" spans="1:13" ht="27" customHeight="1">
      <c r="A2" s="3115"/>
      <c r="B2" s="3115"/>
      <c r="C2" s="3115"/>
      <c r="D2" s="3116"/>
      <c r="E2" s="3116" t="s">
        <v>37</v>
      </c>
      <c r="F2" s="3116" t="s">
        <v>38</v>
      </c>
      <c r="G2" s="3116"/>
      <c r="H2" s="3116"/>
      <c r="I2" s="3116"/>
      <c r="J2" s="3116" t="s">
        <v>39</v>
      </c>
      <c r="K2" s="3116"/>
      <c r="L2" s="3116"/>
      <c r="M2" s="3116"/>
    </row>
    <row r="3" spans="1:13" ht="28.5">
      <c r="A3" s="3115"/>
      <c r="B3" s="3115"/>
      <c r="C3" s="3115"/>
      <c r="D3" s="3116"/>
      <c r="E3" s="311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6" t="s">
        <v>55</v>
      </c>
      <c r="B9" s="3116"/>
      <c r="C9" s="31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L33" sqref="L33:L34"/>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4"/>
      <c r="C1" s="1394"/>
      <c r="D1" s="1394"/>
      <c r="E1" s="1394"/>
      <c r="F1" s="1394"/>
      <c r="G1" s="1394"/>
      <c r="H1" s="1394"/>
      <c r="I1" s="1394"/>
      <c r="J1" s="1394"/>
      <c r="K1" s="1394"/>
      <c r="L1" s="1394"/>
      <c r="M1" s="1394"/>
      <c r="N1" s="1394"/>
      <c r="O1" s="1394"/>
      <c r="P1" s="1394"/>
    </row>
    <row r="2" spans="1:16" ht="15">
      <c r="A2" s="3126" t="s">
        <v>1935</v>
      </c>
      <c r="B2" s="3126"/>
      <c r="C2" s="3126"/>
      <c r="D2" s="969" t="s">
        <v>1911</v>
      </c>
      <c r="E2" s="2224" t="s">
        <v>1912</v>
      </c>
      <c r="F2" s="1394"/>
      <c r="G2" s="2225"/>
      <c r="H2" s="2226"/>
      <c r="I2" s="2227" t="s">
        <v>1936</v>
      </c>
      <c r="J2" s="1394"/>
      <c r="K2" s="1394"/>
      <c r="L2" s="1394"/>
      <c r="M2" s="1394"/>
      <c r="N2" s="1429"/>
      <c r="O2" s="1394"/>
      <c r="P2" s="1394"/>
    </row>
    <row r="3" spans="1:16" ht="15.75" thickBot="1">
      <c r="A3" s="3127" t="s">
        <v>1909</v>
      </c>
      <c r="B3" s="3127"/>
      <c r="C3" s="3127"/>
      <c r="D3" s="46">
        <f>'数据-基础表'!AY6</f>
        <v>4361.28</v>
      </c>
      <c r="E3" s="46">
        <f>'数据-基础表'!AZ5</f>
        <v>13306.869999999999</v>
      </c>
      <c r="F3" s="1394"/>
      <c r="G3" s="1401"/>
      <c r="H3" s="1249" t="s">
        <v>1910</v>
      </c>
      <c r="I3" s="55">
        <f>ROUND('数据-基础表'!B3/'数据-基础表'!A3,2)</f>
        <v>3.05</v>
      </c>
      <c r="J3" s="1394"/>
      <c r="K3" s="1394"/>
      <c r="L3" s="1394"/>
      <c r="M3" s="1394"/>
      <c r="N3" s="1429"/>
      <c r="O3" s="1394"/>
      <c r="P3" s="1394"/>
    </row>
    <row r="4" spans="1:16" ht="15">
      <c r="A4" s="3128"/>
      <c r="B4" s="3129"/>
      <c r="C4" s="3130"/>
      <c r="D4" s="2228" t="s">
        <v>1911</v>
      </c>
      <c r="E4" s="2229" t="s">
        <v>1912</v>
      </c>
      <c r="F4" s="1394"/>
      <c r="G4" s="2230" t="s">
        <v>1937</v>
      </c>
      <c r="H4" s="1249" t="s">
        <v>1917</v>
      </c>
      <c r="I4" s="55">
        <f>ROUND(SUMIF('数据-基础表'!I9:AS9,"地上",'数据-基础表'!I5:AS5)/'数据-基础表'!A3,2)</f>
        <v>3.05</v>
      </c>
      <c r="J4" s="1394"/>
      <c r="K4" s="1394"/>
      <c r="L4" s="1394"/>
      <c r="M4" s="1394"/>
      <c r="N4" s="1429"/>
      <c r="O4" s="1394"/>
      <c r="P4" s="1394"/>
    </row>
    <row r="5" spans="1:16">
      <c r="A5" s="47" t="s">
        <v>1913</v>
      </c>
      <c r="B5" s="3131" t="s">
        <v>1914</v>
      </c>
      <c r="C5" s="3131"/>
      <c r="D5" s="48">
        <f>ROUND($D$3*E5/$E$3,2)</f>
        <v>0</v>
      </c>
      <c r="E5" s="49">
        <f>SUMIF('数据-基础表'!$11:$11,"住宅",'数据-基础表'!$5:$5)</f>
        <v>0</v>
      </c>
      <c r="F5" s="1394"/>
      <c r="G5" s="1401"/>
      <c r="H5" s="1249" t="s">
        <v>1910</v>
      </c>
      <c r="I5" s="55">
        <f>ROUND(E31/D31,2)</f>
        <v>3.05</v>
      </c>
      <c r="J5" s="1394"/>
      <c r="K5" s="1394"/>
      <c r="L5" s="1394"/>
      <c r="M5" s="1394"/>
      <c r="N5" s="1394"/>
      <c r="O5" s="1394"/>
      <c r="P5" s="1394"/>
    </row>
    <row r="6" spans="1:16" ht="15" thickBot="1">
      <c r="A6" s="2231"/>
      <c r="B6" s="3131" t="s">
        <v>1915</v>
      </c>
      <c r="C6" s="3131"/>
      <c r="D6" s="48">
        <f>ROUND($D$3*E6/$E$3,2)</f>
        <v>4361.28</v>
      </c>
      <c r="E6" s="49">
        <f>E3-E5</f>
        <v>13306.869999999999</v>
      </c>
      <c r="F6" s="1394"/>
      <c r="G6" s="2232" t="s">
        <v>1916</v>
      </c>
      <c r="H6" s="1401" t="s">
        <v>1917</v>
      </c>
      <c r="I6" s="941">
        <f>ROUND(F31/D31,2)</f>
        <v>3.05</v>
      </c>
      <c r="J6" s="1394"/>
      <c r="K6" s="1394"/>
      <c r="L6" s="1394"/>
      <c r="M6" s="1394"/>
      <c r="N6" s="1394"/>
      <c r="O6" s="1394"/>
      <c r="P6" s="1394"/>
    </row>
    <row r="7" spans="1:16" ht="15">
      <c r="A7" s="3123"/>
      <c r="B7" s="3124"/>
      <c r="C7" s="3125"/>
      <c r="D7" s="2228" t="s">
        <v>1911</v>
      </c>
      <c r="E7" s="2233" t="s">
        <v>1918</v>
      </c>
      <c r="F7" s="1394"/>
      <c r="G7" s="2225" t="s">
        <v>1919</v>
      </c>
      <c r="H7" s="64"/>
      <c r="I7" s="420">
        <v>1</v>
      </c>
      <c r="J7" s="1394"/>
      <c r="K7" s="1394"/>
      <c r="L7" s="1394"/>
      <c r="M7" s="1394"/>
      <c r="N7" s="1394"/>
      <c r="O7" s="1394"/>
      <c r="P7" s="1394"/>
    </row>
    <row r="8" spans="1:16">
      <c r="A8" s="47" t="s">
        <v>1920</v>
      </c>
      <c r="B8" s="50" t="s">
        <v>1921</v>
      </c>
      <c r="C8" s="48" t="s">
        <v>1922</v>
      </c>
      <c r="D8" s="48">
        <f t="shared" ref="D8:D15" si="0">ROUND($D$3*E8/$E$3,2)</f>
        <v>4361.28</v>
      </c>
      <c r="E8" s="51">
        <f>SUMIF('数据-基础表'!BB10:BK10,"地上",'数据-基础表'!BB5:BK5)</f>
        <v>13306.869999999999</v>
      </c>
      <c r="F8" s="1394"/>
      <c r="G8" s="2234"/>
      <c r="H8" s="2234"/>
      <c r="I8" s="1394"/>
      <c r="J8" s="1394"/>
      <c r="K8" s="1394"/>
      <c r="L8" s="1394"/>
      <c r="M8" s="1394"/>
      <c r="N8" s="1394"/>
      <c r="O8" s="1394"/>
      <c r="P8" s="1394"/>
    </row>
    <row r="9" spans="1:16">
      <c r="A9" s="2235"/>
      <c r="B9" s="2236"/>
      <c r="C9" s="48" t="s">
        <v>1923</v>
      </c>
      <c r="D9" s="48">
        <f t="shared" si="0"/>
        <v>0</v>
      </c>
      <c r="E9" s="52">
        <v>0</v>
      </c>
      <c r="F9" s="1394"/>
      <c r="G9" s="2234"/>
      <c r="H9" s="2234"/>
      <c r="I9" s="1394"/>
      <c r="J9" s="1394"/>
      <c r="K9" s="1394"/>
      <c r="L9" s="1394"/>
      <c r="M9" s="1394"/>
      <c r="N9" s="1394"/>
      <c r="O9" s="1394"/>
      <c r="P9" s="1394"/>
    </row>
    <row r="10" spans="1:16">
      <c r="A10" s="2235"/>
      <c r="B10" s="2236"/>
      <c r="C10" s="48" t="s">
        <v>1932</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1924</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1925</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1926</v>
      </c>
      <c r="D13" s="48">
        <f t="shared" si="0"/>
        <v>0</v>
      </c>
      <c r="E13" s="51">
        <f>SUMPRODUCT(('数据-基础表'!BB10:BK10="地下")*('数据-基础表'!BB11:BK11="车库")*('数据-基础表'!BB5:BK5))</f>
        <v>0</v>
      </c>
      <c r="F13" s="1394"/>
      <c r="G13" s="2234"/>
      <c r="H13" s="2234"/>
      <c r="I13" s="1394"/>
      <c r="J13" s="1394"/>
      <c r="K13" s="1394"/>
      <c r="L13" s="1394"/>
      <c r="M13" s="1394"/>
      <c r="N13" s="1394"/>
      <c r="O13" s="1394"/>
      <c r="P13" s="1394"/>
    </row>
    <row r="14" spans="1:16">
      <c r="A14" s="2235"/>
      <c r="B14" s="2236"/>
      <c r="C14" s="48" t="s">
        <v>1938</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1933</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1927</v>
      </c>
      <c r="D16" s="50">
        <f>SUM(D8:D15)</f>
        <v>4361.28</v>
      </c>
      <c r="E16" s="53">
        <f>SUM(E8:E15)</f>
        <v>13306.869999999999</v>
      </c>
      <c r="F16" s="1394"/>
      <c r="G16" s="2234"/>
      <c r="H16" s="2237" t="s">
        <v>1939</v>
      </c>
      <c r="I16" s="2238"/>
      <c r="J16" s="1394"/>
      <c r="K16" s="3120" t="s">
        <v>1939</v>
      </c>
      <c r="L16" s="3121"/>
      <c r="M16" s="3121"/>
      <c r="N16" s="3121"/>
      <c r="O16" s="3121"/>
      <c r="P16" s="3122"/>
    </row>
    <row r="17" spans="1:19" ht="15">
      <c r="A17" s="2239" t="s">
        <v>1940</v>
      </c>
      <c r="B17" s="2240" t="s">
        <v>1941</v>
      </c>
      <c r="C17" s="2241" t="s">
        <v>1942</v>
      </c>
      <c r="D17" s="2242" t="s">
        <v>1930</v>
      </c>
      <c r="E17" s="2243" t="s">
        <v>1931</v>
      </c>
      <c r="F17" s="2244"/>
      <c r="G17" s="2245"/>
      <c r="H17" s="2246" t="s">
        <v>1943</v>
      </c>
      <c r="I17" s="2247" t="s">
        <v>1928</v>
      </c>
      <c r="J17" s="1394"/>
      <c r="K17" s="3117" t="s">
        <v>1944</v>
      </c>
      <c r="L17" s="3118"/>
      <c r="M17" s="3119"/>
      <c r="N17" s="3117" t="s">
        <v>1945</v>
      </c>
      <c r="O17" s="3118"/>
      <c r="P17" s="3119"/>
      <c r="R17" s="2225" t="s">
        <v>1946</v>
      </c>
      <c r="S17" s="64"/>
    </row>
    <row r="18" spans="1:19" ht="15">
      <c r="A18" s="2235"/>
      <c r="B18" s="2248"/>
      <c r="C18" s="2249"/>
      <c r="D18" s="2250"/>
      <c r="E18" s="2251" t="s">
        <v>1947</v>
      </c>
      <c r="F18" s="2252" t="s">
        <v>1948</v>
      </c>
      <c r="G18" s="2253" t="s">
        <v>1949</v>
      </c>
      <c r="H18" s="1264" t="s">
        <v>1950</v>
      </c>
      <c r="I18" s="2254" t="s">
        <v>1951</v>
      </c>
      <c r="J18" s="1394"/>
      <c r="K18" s="1264" t="s">
        <v>1952</v>
      </c>
      <c r="L18" s="2255" t="s">
        <v>1953</v>
      </c>
      <c r="M18" s="1048" t="s">
        <v>1954</v>
      </c>
      <c r="N18" s="1264" t="s">
        <v>1952</v>
      </c>
      <c r="O18" s="2255" t="s">
        <v>1953</v>
      </c>
      <c r="P18" s="1048" t="s">
        <v>1954</v>
      </c>
      <c r="R18" s="1249" t="s">
        <v>1955</v>
      </c>
      <c r="S18" s="1249" t="s">
        <v>1956</v>
      </c>
    </row>
    <row r="19" spans="1:19">
      <c r="A19" s="2256"/>
      <c r="B19" s="50" t="s">
        <v>1929</v>
      </c>
      <c r="C19" s="2945" t="s">
        <v>3068</v>
      </c>
      <c r="D19" s="48">
        <f>ROUND($D$3*E19/$E$3,2)</f>
        <v>45.61</v>
      </c>
      <c r="E19" s="56">
        <f t="shared" ref="E19:E26" si="1">SUM(F19:G19)</f>
        <v>139.15</v>
      </c>
      <c r="F19" s="57">
        <f>Sheet1!E3</f>
        <v>139.15</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8"/>
      <c r="O19" s="2259"/>
      <c r="P19" s="1405">
        <f>N19+O19</f>
        <v>0</v>
      </c>
      <c r="R19" s="1249">
        <f t="shared" ref="R19:S26" si="5">D19+H19</f>
        <v>45.61</v>
      </c>
      <c r="S19" s="1250">
        <f t="shared" si="5"/>
        <v>139.15</v>
      </c>
    </row>
    <row r="20" spans="1:19">
      <c r="A20" s="2260"/>
      <c r="B20" s="50" t="s">
        <v>1957</v>
      </c>
      <c r="C20" s="2945" t="s">
        <v>3069</v>
      </c>
      <c r="D20" s="48">
        <f t="shared" ref="D20:D26" si="6">ROUND($D$3*E20/$E$3,2)</f>
        <v>4315.67</v>
      </c>
      <c r="E20" s="56">
        <f t="shared" si="1"/>
        <v>13167.72</v>
      </c>
      <c r="F20" s="57">
        <f>'数据-基础表'!I13-'数据-汇总表'!F19</f>
        <v>13167.72</v>
      </c>
      <c r="G20" s="58"/>
      <c r="H20" s="722">
        <f t="shared" ref="H20:H26" si="7">ROUND($D$3*I20/$E$3,2)</f>
        <v>0</v>
      </c>
      <c r="I20" s="51">
        <f t="shared" si="2"/>
        <v>0</v>
      </c>
      <c r="J20" s="1394"/>
      <c r="K20" s="1393">
        <f t="shared" si="3"/>
        <v>0</v>
      </c>
      <c r="L20" s="1249">
        <f t="shared" si="4"/>
        <v>0</v>
      </c>
      <c r="M20" s="1405">
        <f t="shared" ref="M20:M26" si="8">K20+L20</f>
        <v>0</v>
      </c>
      <c r="N20" s="2258"/>
      <c r="O20" s="2259"/>
      <c r="P20" s="1405">
        <f t="shared" ref="P20:P26" si="9">N20+O20</f>
        <v>0</v>
      </c>
      <c r="R20" s="1249">
        <f t="shared" si="5"/>
        <v>4315.67</v>
      </c>
      <c r="S20" s="1250">
        <f t="shared" si="5"/>
        <v>13167.72</v>
      </c>
    </row>
    <row r="21" spans="1:19" hidden="1">
      <c r="A21" s="2260"/>
      <c r="B21" s="50" t="s">
        <v>1957</v>
      </c>
      <c r="C21" s="2257"/>
      <c r="D21" s="48">
        <f t="shared" si="6"/>
        <v>0</v>
      </c>
      <c r="E21" s="56">
        <f t="shared" si="1"/>
        <v>0</v>
      </c>
      <c r="F21" s="57"/>
      <c r="G21" s="58"/>
      <c r="H21" s="722">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hidden="1">
      <c r="A22" s="2260"/>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hidden="1">
      <c r="A23" s="2260"/>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hidden="1">
      <c r="A24" s="2260"/>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hidden="1">
      <c r="A25" s="2260"/>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hidden="1">
      <c r="A26" s="2260"/>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1958</v>
      </c>
      <c r="D27" s="1395">
        <f>SUM(D19:D26)</f>
        <v>4361.28</v>
      </c>
      <c r="E27" s="1396">
        <f>IF(SUM(E19:E26)='数据-基础表'!BA5,SUM(E19:E26),IF(F27="地上面积有误","面积有误","地下面积有误"))</f>
        <v>13306.869999999999</v>
      </c>
      <c r="F27" s="1395">
        <f>IF(SUM(F19:F26)=E8,SUM(F19:F26),"地上面积有误")</f>
        <v>13306.869999999999</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4361.28</v>
      </c>
      <c r="S27" s="1249">
        <f>IF(SUM(S19:S26)=$E$3,SUM(S19:S26),SUM(S19:S26)&amp;"误差"&amp;ROUND(SUM(S19:S26)-E3,2))</f>
        <v>13306.869999999999</v>
      </c>
    </row>
    <row r="28" spans="1:19">
      <c r="A28" s="2260"/>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0"/>
      <c r="B29" s="50" t="s">
        <v>1959</v>
      </c>
      <c r="C29" s="2264"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6"/>
      <c r="B31" s="2267"/>
      <c r="C31" s="1009" t="s">
        <v>1962</v>
      </c>
      <c r="D31" s="728">
        <f>D27+D30</f>
        <v>4361.28</v>
      </c>
      <c r="E31" s="728">
        <f>E27+E30</f>
        <v>13306.869999999999</v>
      </c>
      <c r="F31" s="729">
        <f>F27+F30</f>
        <v>13306.869999999999</v>
      </c>
      <c r="G31" s="730">
        <f>G27+G30</f>
        <v>0</v>
      </c>
      <c r="H31" s="1394"/>
      <c r="I31" s="1394"/>
      <c r="J31" s="1394"/>
      <c r="K31" s="1394"/>
      <c r="L31" s="1394"/>
      <c r="M31" s="1394"/>
      <c r="N31" s="1394"/>
      <c r="O31" s="1394"/>
      <c r="P31" s="1394"/>
    </row>
    <row r="32" spans="1:19">
      <c r="A32" s="2230"/>
      <c r="B32" s="2230" t="s">
        <v>1963</v>
      </c>
      <c r="C32" s="2230"/>
      <c r="D32" s="2230"/>
      <c r="E32" s="1276">
        <f>SUMIF(C19:C26,"*住宅*",E19:E26)</f>
        <v>0</v>
      </c>
      <c r="F32" s="2230"/>
      <c r="G32" s="2230"/>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1"/>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1965</v>
      </c>
      <c r="B2" s="1268">
        <f>项目基本情况!D3</f>
        <v>43209</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1972</v>
      </c>
      <c r="B5" s="2287" t="s">
        <v>1973</v>
      </c>
      <c r="C5" s="2288" t="s">
        <v>1974</v>
      </c>
      <c r="D5" s="2289" t="s">
        <v>1975</v>
      </c>
      <c r="E5" s="1270" t="s">
        <v>1976</v>
      </c>
      <c r="F5" s="2290" t="s">
        <v>1977</v>
      </c>
      <c r="G5" s="1270" t="s">
        <v>1978</v>
      </c>
      <c r="H5" s="1270" t="s">
        <v>1979</v>
      </c>
      <c r="I5" s="1270" t="s">
        <v>1980</v>
      </c>
      <c r="J5" s="2291" t="s">
        <v>1981</v>
      </c>
      <c r="K5" s="2292" t="s">
        <v>1982</v>
      </c>
      <c r="L5" s="2293" t="s">
        <v>1983</v>
      </c>
      <c r="M5" s="2294" t="s">
        <v>1984</v>
      </c>
      <c r="N5" s="2295" t="s">
        <v>3070</v>
      </c>
      <c r="O5" s="2293" t="s">
        <v>1985</v>
      </c>
      <c r="P5" s="2296" t="s">
        <v>1986</v>
      </c>
      <c r="Q5" s="69" t="s">
        <v>1987</v>
      </c>
      <c r="R5" s="2297" t="s">
        <v>1988</v>
      </c>
      <c r="S5" s="2298" t="s">
        <v>1989</v>
      </c>
      <c r="T5" s="2299" t="s">
        <v>1990</v>
      </c>
      <c r="U5" s="1269" t="s">
        <v>1991</v>
      </c>
      <c r="V5" s="1270" t="s">
        <v>1992</v>
      </c>
      <c r="W5" s="1270" t="s">
        <v>1993</v>
      </c>
      <c r="X5" s="71"/>
      <c r="Y5" s="70" t="s">
        <v>1994</v>
      </c>
      <c r="Z5" s="2300" t="s">
        <v>1991</v>
      </c>
      <c r="AA5" s="1270" t="s">
        <v>1992</v>
      </c>
      <c r="AB5" s="1270" t="s">
        <v>1993</v>
      </c>
      <c r="AC5" s="71"/>
      <c r="AD5" s="71" t="s">
        <v>1994</v>
      </c>
      <c r="AE5" s="1269" t="s">
        <v>1995</v>
      </c>
      <c r="AF5" s="1270" t="s">
        <v>1996</v>
      </c>
      <c r="AG5" s="70" t="s">
        <v>1997</v>
      </c>
      <c r="AH5" s="1269" t="s">
        <v>1998</v>
      </c>
      <c r="AI5" s="2300" t="s">
        <v>1999</v>
      </c>
      <c r="AJ5" s="2300" t="s">
        <v>2000</v>
      </c>
      <c r="AK5" s="1270" t="s">
        <v>2001</v>
      </c>
      <c r="AL5" s="1270" t="s">
        <v>2002</v>
      </c>
      <c r="AM5" s="70" t="s">
        <v>2003</v>
      </c>
      <c r="AN5" s="2301" t="s">
        <v>2004</v>
      </c>
      <c r="AO5" s="2071" t="s">
        <v>2005</v>
      </c>
      <c r="AP5" s="1251"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3" t="str">
        <f>'数据-汇总表'!C19</f>
        <v>典型户型商业</v>
      </c>
      <c r="B6" s="2304" t="str">
        <f>IF(A6=0,"","经营性")</f>
        <v>经营性</v>
      </c>
      <c r="C6" s="2305" t="s">
        <v>1377</v>
      </c>
      <c r="D6" s="1053">
        <f>SUMIF(项目基本情况!D$12:I$12,C6,项目基本情况!D$14:I$14)</f>
        <v>40</v>
      </c>
      <c r="E6" s="1050">
        <f>IF(B6="","",SUMIF(项目基本情况!D$12:I$12,C6,项目基本情况!D$13:I$13))</f>
        <v>54662</v>
      </c>
      <c r="F6" s="72">
        <f>SUMIF(项目基本情况!D$12:I$12,C6,项目基本情况!D$15:I$15)</f>
        <v>31.37</v>
      </c>
      <c r="G6" s="73">
        <f>IF(ISERROR(ROUND(POWER(1+H6,D6-F6)*(POWER(1+H6,F6)-1)/(POWER(1+H6,D6)-1),3)),0,ROUND(POWER(1+H6,D6-F6)*(POWER(1+H6,F6)-1)/(POWER(1+H6,D6)-1),3))</f>
        <v>0.90400000000000003</v>
      </c>
      <c r="H6" s="801">
        <v>4.4999999999999998E-2</v>
      </c>
      <c r="I6" s="801">
        <v>0.05</v>
      </c>
      <c r="J6" s="74">
        <v>8.5000000000000006E-2</v>
      </c>
      <c r="K6" s="1253">
        <f>SUMIF('数据-汇总表'!C$19:C$33,A6,'数据-汇总表'!E$19:E$33)</f>
        <v>139.15</v>
      </c>
      <c r="L6" s="802">
        <v>3000</v>
      </c>
      <c r="M6" s="75">
        <f t="shared" ref="M6:M14" si="0">ROUND(K6*L6/10000,0)</f>
        <v>42</v>
      </c>
      <c r="N6" s="800">
        <f>ROUND(1-(2018-2017)/60,2)</f>
        <v>0.98</v>
      </c>
      <c r="O6" s="75" t="str">
        <f>IF($N$5="成新度","——",ROUND(M6*N6,0))</f>
        <v>——</v>
      </c>
      <c r="P6" s="76" t="str">
        <f>IF($N$5="成新度","——",M6-O6)</f>
        <v>——</v>
      </c>
      <c r="Q6" s="803">
        <v>0.25</v>
      </c>
      <c r="R6" s="77">
        <f ca="1">SUMIF('数据-汇总表'!C$19:C$33,A6,'数据-汇总表'!R$19:R$27)</f>
        <v>45.61</v>
      </c>
      <c r="S6" s="54">
        <f>IF('数据-汇总表'!$I$17="按面积比例",SUMIF('数据-汇总表'!C$19:C$33,A6,'数据-汇总表'!K$19:K$33),SUMIF('数据-汇总表'!C$19:C$33,A6,'数据-汇总表'!N$19:N$33))</f>
        <v>0</v>
      </c>
      <c r="T6" s="1445">
        <f>ROUND($L$14*S6/10000,0)</f>
        <v>0</v>
      </c>
      <c r="U6" s="78">
        <v>5.5</v>
      </c>
      <c r="V6" s="79">
        <v>0.03</v>
      </c>
      <c r="W6" s="79">
        <v>0.2</v>
      </c>
      <c r="X6" s="1263"/>
      <c r="Y6" s="80">
        <f>N6</f>
        <v>0.98</v>
      </c>
      <c r="Z6" s="81"/>
      <c r="AA6" s="74"/>
      <c r="AB6" s="74"/>
      <c r="AC6" s="1263"/>
      <c r="AD6" s="82"/>
      <c r="AE6" s="1264">
        <f ca="1">IF(AN6="",0,SUMIF(INDIRECT("'"&amp;AN6&amp;"'"&amp;"!E:E"),$AE$5,INDIRECT("'"&amp;AN6&amp;"'"&amp;"!F:F")))</f>
        <v>31.37</v>
      </c>
      <c r="AF6" s="1806"/>
      <c r="AG6" s="147">
        <f>IF(AF6="",0,AE6-AF6)</f>
        <v>0</v>
      </c>
      <c r="AH6" s="83"/>
      <c r="AI6" s="85">
        <v>365</v>
      </c>
      <c r="AJ6" s="86"/>
      <c r="AK6" s="87">
        <v>1.4999999999999999E-2</v>
      </c>
      <c r="AL6" s="88">
        <v>1.5E-3</v>
      </c>
      <c r="AM6" s="89">
        <v>0.01</v>
      </c>
      <c r="AN6" s="2306" t="s">
        <v>3071</v>
      </c>
      <c r="AO6" s="55">
        <f ca="1">SUMIF(INDIRECT("'"&amp;AN6&amp;"'"&amp;"!A:A"),"总价",INDIRECT("'"&amp;AN6&amp;"'"&amp;"!B:B"))</f>
        <v>387</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商业剩余</v>
      </c>
      <c r="B7" s="2304" t="str">
        <f t="shared" ref="B7:B13" si="1">IF(A7=0,"","经营性")</f>
        <v>经营性</v>
      </c>
      <c r="C7" s="2305" t="s">
        <v>1377</v>
      </c>
      <c r="D7" s="1053">
        <f>SUMIF(项目基本情况!D$12:I$12,C7,项目基本情况!D$14:I$14)</f>
        <v>40</v>
      </c>
      <c r="E7" s="1050">
        <f>IF(B7="","",SUMIF(项目基本情况!D$12:I$12,C7,项目基本情况!D$13:I$13))</f>
        <v>54662</v>
      </c>
      <c r="F7" s="72">
        <f>SUMIF(项目基本情况!D$12:I$12,C7,项目基本情况!D$15:I$15)</f>
        <v>31.37</v>
      </c>
      <c r="G7" s="73">
        <f t="shared" ref="G7:G11" si="2">IF(ISERROR(ROUND(POWER(1+H7,D7-F7)*(POWER(1+H7,F7)-1)/(POWER(1+H7,D7)-1),3)),0,ROUND(POWER(1+H7,D7-F7)*(POWER(1+H7,F7)-1)/(POWER(1+H7,D7)-1),3))</f>
        <v>0.90400000000000003</v>
      </c>
      <c r="H7" s="801">
        <v>4.4999999999999998E-2</v>
      </c>
      <c r="I7" s="801">
        <v>0.05</v>
      </c>
      <c r="J7" s="74">
        <v>8.5000000000000006E-2</v>
      </c>
      <c r="K7" s="1253">
        <f>SUMIF('数据-汇总表'!C$19:C$33,A7,'数据-汇总表'!E$19:E$33)</f>
        <v>13167.72</v>
      </c>
      <c r="L7" s="802">
        <v>3000</v>
      </c>
      <c r="M7" s="75">
        <f t="shared" si="0"/>
        <v>3950</v>
      </c>
      <c r="N7" s="800">
        <f>ROUND(1-(2018-2017)/60,2)</f>
        <v>0.98</v>
      </c>
      <c r="O7" s="75" t="str">
        <f t="shared" ref="O7:O14" si="3">IF($N$5="成新度","——",ROUND(M7*N7,0))</f>
        <v>——</v>
      </c>
      <c r="P7" s="76" t="str">
        <f t="shared" ref="P7:P14" si="4">IF($N$5="成新度","——",M7-O7)</f>
        <v>——</v>
      </c>
      <c r="Q7" s="803">
        <v>0.25</v>
      </c>
      <c r="R7" s="77">
        <f ca="1">SUMIF('数据-汇总表'!C$19:C$33,A7,'数据-汇总表'!R$19:R$27)</f>
        <v>4315.67</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hidden="1">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hidden="1">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hidden="1">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hidden="1">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2009</v>
      </c>
      <c r="B14" s="2304" t="s">
        <v>2010</v>
      </c>
      <c r="C14" s="2309"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2011</v>
      </c>
      <c r="B15" s="2304" t="s">
        <v>2010</v>
      </c>
      <c r="C15" s="2309"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2013</v>
      </c>
      <c r="B16" s="97"/>
      <c r="C16" s="1007"/>
      <c r="D16" s="2311"/>
      <c r="E16" s="97"/>
      <c r="F16" s="97"/>
      <c r="G16" s="98">
        <f>ROUND(SUMPRODUCT(G6:G13,K6:K13)/SUMPRODUCT((G6:G13&gt;0)*(K6:K13)),3)</f>
        <v>0.90400000000000003</v>
      </c>
      <c r="H16" s="99">
        <f>ROUND(SUMPRODUCT(H6:H13,K6:K13)/SUMPRODUCT((H6:H13&gt;0)*(K6:K13)),3)</f>
        <v>4.4999999999999998E-2</v>
      </c>
      <c r="I16" s="100"/>
      <c r="J16" s="100"/>
      <c r="K16" s="101">
        <f>SUM(K6:K15)</f>
        <v>13306.869999999999</v>
      </c>
      <c r="L16" s="102">
        <f>ROUND(M16*10000/SUM(K6:K14),0)</f>
        <v>3000</v>
      </c>
      <c r="M16" s="102">
        <f>SUM(M6:M14)</f>
        <v>3992</v>
      </c>
      <c r="N16" s="103">
        <f>ROUND(SUMPRODUCT(M6:M14,N6:N14)/M16,3)</f>
        <v>0.98</v>
      </c>
      <c r="O16" s="102">
        <f>SUM(O6:O14)</f>
        <v>0</v>
      </c>
      <c r="P16" s="102">
        <f>SUM(P6:P14)</f>
        <v>0</v>
      </c>
      <c r="Q16" s="104">
        <f>ROUND(SUMPRODUCT(Q6:Q13,K6:K13)/SUMPRODUCT((Q6:Q13&gt;0)*(K6:K13)),2)</f>
        <v>0.25</v>
      </c>
      <c r="R16" s="1257">
        <f ca="1">SUM(R6:R13)</f>
        <v>4361.28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2015</v>
      </c>
      <c r="B19" s="112">
        <v>0</v>
      </c>
      <c r="C19" s="2274" t="s">
        <v>2016</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2017</v>
      </c>
      <c r="B20" s="113">
        <v>3</v>
      </c>
      <c r="C20" s="2274" t="s">
        <v>2018</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2019</v>
      </c>
      <c r="B21" s="113">
        <v>3</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2020</v>
      </c>
      <c r="B22" s="114">
        <f>B19+B20</f>
        <v>3</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2021</v>
      </c>
      <c r="B23" s="114">
        <f>B19+B21</f>
        <v>3</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2022</v>
      </c>
      <c r="B24" s="115">
        <f>B20-B21</f>
        <v>0</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2023</v>
      </c>
      <c r="B26" s="2317" t="s">
        <v>2024</v>
      </c>
      <c r="C26" s="2318" t="s">
        <v>2025</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2026</v>
      </c>
      <c r="B27" s="116">
        <v>120</v>
      </c>
      <c r="C27" s="2946" t="s">
        <v>3182</v>
      </c>
      <c r="D27" s="2320"/>
      <c r="E27" s="1429"/>
      <c r="F27" s="1429"/>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2027</v>
      </c>
      <c r="B28" s="119">
        <v>120</v>
      </c>
      <c r="C28" s="2323"/>
      <c r="D28" s="2320"/>
      <c r="E28" s="1429"/>
      <c r="F28" s="1429"/>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2028</v>
      </c>
      <c r="B29" s="121"/>
      <c r="C29" s="1766" t="s">
        <v>2029</v>
      </c>
      <c r="D29" s="2320"/>
      <c r="E29" s="1429"/>
      <c r="F29" s="1429"/>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2030</v>
      </c>
      <c r="B30" s="723">
        <v>200</v>
      </c>
      <c r="C30" s="2323"/>
      <c r="D30" s="2320"/>
      <c r="E30" s="1429"/>
      <c r="F30" s="1429"/>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2031</v>
      </c>
      <c r="B31" s="120">
        <f>B30-B32</f>
        <v>200</v>
      </c>
      <c r="C31" s="1766"/>
      <c r="D31" s="2320"/>
      <c r="E31" s="1429"/>
      <c r="F31" s="1429"/>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2032</v>
      </c>
      <c r="B32" s="724">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2033</v>
      </c>
      <c r="B33" s="725">
        <v>0.03</v>
      </c>
      <c r="C33" s="1765" t="s">
        <v>2034</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2035</v>
      </c>
      <c r="B34" s="122">
        <v>0.05</v>
      </c>
      <c r="C34" s="1765" t="s">
        <v>2036</v>
      </c>
      <c r="D34" s="2275" t="s">
        <v>2037</v>
      </c>
      <c r="E34" s="731"/>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2038</v>
      </c>
      <c r="B35" s="119">
        <v>200</v>
      </c>
      <c r="C35" s="1765" t="s">
        <v>2039</v>
      </c>
      <c r="D35" s="2320"/>
      <c r="E35" s="1429"/>
      <c r="F35" s="1429"/>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2040</v>
      </c>
      <c r="B36" s="123">
        <v>1.4999999999999999E-2</v>
      </c>
      <c r="C36" s="1765" t="s">
        <v>2041</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2042</v>
      </c>
      <c r="B37" s="124">
        <v>0.02</v>
      </c>
      <c r="C37" s="1765" t="s">
        <v>2043</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2044</v>
      </c>
      <c r="B38" s="122">
        <v>0.02</v>
      </c>
      <c r="C38" s="1765" t="s">
        <v>2043</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2045</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2046</v>
      </c>
      <c r="B40" s="1302">
        <f ca="1">存贷款利率!G1</f>
        <v>4.7500000000000001E-2</v>
      </c>
      <c r="C40" s="1765" t="s">
        <v>2047</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2048</v>
      </c>
      <c r="B41" s="125">
        <f>B42+B43</f>
        <v>5.6000000000000001E-2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2049</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2050</v>
      </c>
      <c r="B43" s="127">
        <f>B42*(B44+B45+B46)+B47</f>
        <v>6.000000000000001E-3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2051</v>
      </c>
      <c r="B44" s="128">
        <v>7.0000000000000007E-2</v>
      </c>
      <c r="C44" s="1765" t="s">
        <v>2052</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2053</v>
      </c>
      <c r="B45" s="126">
        <v>0.03</v>
      </c>
      <c r="C45" s="1766" t="s">
        <v>2054</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2055</v>
      </c>
      <c r="B46" s="126">
        <v>0.02</v>
      </c>
      <c r="C46" s="1766" t="s">
        <v>2056</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2057</v>
      </c>
      <c r="B47" s="129"/>
      <c r="C47" s="1766" t="s">
        <v>2058</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2059</v>
      </c>
      <c r="B48" s="130">
        <v>0.03</v>
      </c>
      <c r="C48" s="1773" t="s">
        <v>2060</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2061</v>
      </c>
      <c r="B49" s="126">
        <v>5.0000000000000001E-4</v>
      </c>
      <c r="C49" s="1773" t="s">
        <v>2062</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2063</v>
      </c>
      <c r="B50" s="131">
        <v>1.2E-2</v>
      </c>
      <c r="C50" s="1429"/>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2064</v>
      </c>
      <c r="B51" s="132">
        <v>0.12</v>
      </c>
      <c r="C51" s="1429"/>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2065</v>
      </c>
      <c r="B52" s="133">
        <f>SUMIF(A54:A63,B53,B54:B63)</f>
        <v>16</v>
      </c>
      <c r="C52" s="1429"/>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2066</v>
      </c>
      <c r="B53" s="2333" t="s">
        <v>212</v>
      </c>
      <c r="C53" s="1429"/>
      <c r="D53" s="2334" t="s">
        <v>2067</v>
      </c>
      <c r="E53" s="2274"/>
      <c r="F53" s="2274"/>
      <c r="G53" s="2274"/>
      <c r="H53" s="2274"/>
      <c r="I53" s="2274"/>
      <c r="J53" s="2274"/>
      <c r="K53" s="168"/>
      <c r="L53" s="168"/>
      <c r="M53" s="1583"/>
      <c r="N53" s="1583"/>
      <c r="O53" s="1583"/>
      <c r="P53" s="1583"/>
      <c r="Q53" s="1583"/>
      <c r="R53" s="1583"/>
      <c r="S53" s="1583"/>
      <c r="T53" s="1583"/>
      <c r="U53" s="1583"/>
      <c r="V53" s="1583"/>
      <c r="W53" s="1583"/>
      <c r="X53" s="1583"/>
      <c r="Y53" s="2944" t="s">
        <v>3063</v>
      </c>
      <c r="Z53" s="1583"/>
      <c r="AA53" s="1583"/>
      <c r="AB53" s="1583"/>
      <c r="AC53" s="1583"/>
      <c r="AD53" s="1583"/>
      <c r="AE53" s="1583"/>
      <c r="AF53" s="1583"/>
      <c r="AG53" s="1583"/>
      <c r="AH53" s="1583"/>
      <c r="AI53" s="1583"/>
      <c r="AJ53" s="1583"/>
      <c r="AK53" s="1583"/>
      <c r="AL53" s="1583"/>
      <c r="AM53" s="1583"/>
    </row>
    <row r="54" spans="1:39" ht="14.25">
      <c r="A54" s="2335" t="s">
        <v>2068</v>
      </c>
      <c r="B54" s="84">
        <v>16</v>
      </c>
      <c r="C54" s="1429"/>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2069</v>
      </c>
      <c r="B55" s="84"/>
      <c r="C55" s="1429"/>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2070</v>
      </c>
      <c r="B56" s="84"/>
      <c r="C56" s="1429"/>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2071</v>
      </c>
      <c r="B57" s="84"/>
      <c r="C57" s="1429"/>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2072</v>
      </c>
      <c r="B58" s="84"/>
      <c r="C58" s="1429"/>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2073</v>
      </c>
      <c r="B59" s="84"/>
      <c r="C59" s="1429"/>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2074</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2075</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2076</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2077</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32" t="s">
        <v>2078</v>
      </c>
      <c r="B1" s="3133"/>
      <c r="C1" s="3133"/>
      <c r="D1" s="3133"/>
      <c r="E1" s="3133"/>
      <c r="F1" s="3133"/>
      <c r="G1" s="313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3"/>
      <c r="G2" s="2362" t="s">
        <v>2080</v>
      </c>
      <c r="H2" s="2365"/>
      <c r="I2" s="2365"/>
      <c r="J2" s="2365"/>
      <c r="K2" s="2365"/>
      <c r="L2" s="2365"/>
      <c r="M2" s="2365"/>
      <c r="N2" s="2365"/>
      <c r="O2" s="2365"/>
      <c r="P2" s="2365"/>
      <c r="Q2" s="2365"/>
      <c r="R2" s="2365"/>
    </row>
    <row r="3" spans="1:29" ht="54">
      <c r="A3" s="415" t="s">
        <v>2081</v>
      </c>
      <c r="B3" s="1270" t="s">
        <v>2082</v>
      </c>
      <c r="C3" s="2367" t="s">
        <v>2083</v>
      </c>
      <c r="D3" s="2368"/>
      <c r="E3" s="431" t="s">
        <v>2081</v>
      </c>
      <c r="F3" s="2369" t="s">
        <v>2084</v>
      </c>
      <c r="G3" s="2370" t="s">
        <v>2085</v>
      </c>
      <c r="H3" s="2365"/>
      <c r="I3" s="2365"/>
      <c r="J3" s="2365"/>
      <c r="K3" s="2365"/>
      <c r="L3" s="2365"/>
      <c r="M3" s="2365"/>
      <c r="N3" s="2365"/>
      <c r="O3" s="2365"/>
      <c r="P3" s="2365"/>
      <c r="Q3" s="2365"/>
      <c r="R3" s="2365"/>
    </row>
    <row r="4" spans="1:29" ht="41.25">
      <c r="A4" s="431"/>
      <c r="B4" s="1797" t="s">
        <v>2086</v>
      </c>
      <c r="C4" s="2371" t="s">
        <v>2087</v>
      </c>
      <c r="D4" s="2368"/>
      <c r="E4" s="2372"/>
      <c r="F4" s="42" t="s">
        <v>2088</v>
      </c>
      <c r="G4" s="2373" t="s">
        <v>2089</v>
      </c>
      <c r="H4" s="2365"/>
      <c r="I4" s="2365"/>
      <c r="J4" s="2365"/>
      <c r="K4" s="2365"/>
      <c r="L4" s="2365"/>
      <c r="M4" s="2365"/>
      <c r="N4" s="2365"/>
      <c r="O4" s="2365"/>
      <c r="P4" s="2365"/>
      <c r="Q4" s="2365"/>
      <c r="R4" s="2365"/>
    </row>
    <row r="5" spans="1:29" ht="41.25">
      <c r="A5" s="431"/>
      <c r="B5" s="1797" t="s">
        <v>2090</v>
      </c>
      <c r="C5" s="2371" t="s">
        <v>2091</v>
      </c>
      <c r="D5" s="2368"/>
      <c r="E5" s="2372"/>
      <c r="F5" s="1797" t="s">
        <v>2092</v>
      </c>
      <c r="G5" s="2373" t="s">
        <v>2093</v>
      </c>
      <c r="H5" s="2365"/>
      <c r="I5" s="2365"/>
      <c r="J5" s="2365"/>
      <c r="K5" s="2365"/>
      <c r="L5" s="2365"/>
      <c r="M5" s="2365"/>
      <c r="N5" s="2365"/>
      <c r="O5" s="2365"/>
      <c r="P5" s="2365"/>
      <c r="Q5" s="2365"/>
      <c r="R5" s="2365"/>
    </row>
    <row r="6" spans="1:29" ht="54">
      <c r="A6" s="431"/>
      <c r="B6" s="1797" t="s">
        <v>2094</v>
      </c>
      <c r="C6" s="2373" t="s">
        <v>2089</v>
      </c>
      <c r="D6" s="2368"/>
      <c r="E6" s="2372"/>
      <c r="F6" s="1797" t="s">
        <v>2095</v>
      </c>
      <c r="G6" s="2373" t="s">
        <v>2096</v>
      </c>
      <c r="H6" s="2365"/>
      <c r="I6" s="2365"/>
      <c r="J6" s="2365"/>
      <c r="K6" s="2365"/>
      <c r="L6" s="2365"/>
      <c r="M6" s="2365"/>
      <c r="N6" s="2365"/>
      <c r="O6" s="2365"/>
      <c r="P6" s="2365"/>
      <c r="Q6" s="2365"/>
      <c r="R6" s="2365"/>
    </row>
    <row r="7" spans="1:29" ht="41.25" thickBot="1">
      <c r="A7" s="431"/>
      <c r="B7" s="1797" t="s">
        <v>2092</v>
      </c>
      <c r="C7" s="2373" t="s">
        <v>2093</v>
      </c>
      <c r="D7" s="2374"/>
      <c r="E7" s="2375"/>
      <c r="F7" s="2376" t="s">
        <v>2097</v>
      </c>
      <c r="G7" s="2377" t="s">
        <v>2098</v>
      </c>
      <c r="H7" s="2365"/>
      <c r="I7" s="2365"/>
      <c r="J7" s="2365"/>
      <c r="K7" s="2365"/>
      <c r="L7" s="2365"/>
      <c r="M7" s="2365"/>
      <c r="N7" s="2365"/>
      <c r="O7" s="2365"/>
      <c r="P7" s="2365"/>
      <c r="Q7" s="2365"/>
      <c r="R7" s="2365"/>
    </row>
    <row r="8" spans="1:29" ht="27">
      <c r="A8" s="431"/>
      <c r="B8" s="1797" t="s">
        <v>2095</v>
      </c>
      <c r="C8" s="2373" t="s">
        <v>2096</v>
      </c>
      <c r="D8" s="2374"/>
      <c r="E8" s="2374"/>
      <c r="F8" s="1135"/>
      <c r="G8" s="1135"/>
      <c r="H8" s="2365"/>
      <c r="I8" s="2365"/>
      <c r="J8" s="2365"/>
      <c r="K8" s="2365"/>
      <c r="L8" s="2365"/>
      <c r="M8" s="2365"/>
      <c r="N8" s="2365"/>
      <c r="O8" s="2365"/>
      <c r="P8" s="2365"/>
      <c r="Q8" s="2365"/>
      <c r="R8" s="2365"/>
    </row>
    <row r="9" spans="1:29" ht="27">
      <c r="A9" s="431"/>
      <c r="B9" s="1797" t="s">
        <v>2099</v>
      </c>
      <c r="C9" s="2371" t="s">
        <v>2100</v>
      </c>
      <c r="D9" s="2368"/>
      <c r="E9" s="2374"/>
      <c r="F9" s="1135"/>
      <c r="G9" s="1135"/>
      <c r="H9" s="2365"/>
      <c r="I9" s="2365"/>
      <c r="J9" s="2365"/>
      <c r="K9" s="2365"/>
      <c r="L9" s="2365"/>
      <c r="M9" s="2365"/>
      <c r="N9" s="2365"/>
      <c r="O9" s="2365"/>
      <c r="P9" s="2365"/>
      <c r="Q9" s="2365"/>
      <c r="R9" s="2365"/>
    </row>
    <row r="10" spans="1:29" s="117" customFormat="1" ht="15.75" thickBot="1">
      <c r="A10" s="2378"/>
      <c r="B10" s="2379" t="s">
        <v>2101</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2" t="s">
        <v>2104</v>
      </c>
    </row>
    <row r="15" spans="1:29" ht="57">
      <c r="A15" s="68" t="s">
        <v>2105</v>
      </c>
      <c r="B15" s="1269" t="s">
        <v>2082</v>
      </c>
      <c r="C15" s="2400" t="str">
        <f>C3</f>
        <v>估价对象周边居住用地比例、居住小区规模和社区发展完善程度，综合评价居住社区成熟度一般</v>
      </c>
      <c r="D15" s="2368"/>
      <c r="E15" s="2401" t="s">
        <v>2106</v>
      </c>
      <c r="F15" s="1269" t="s">
        <v>2107</v>
      </c>
      <c r="G15" s="135" t="str">
        <f>G3</f>
        <v>估价对象位于XX开发区，园区建设成熟度XX，产业集聚程度XX</v>
      </c>
    </row>
    <row r="16" spans="1:29" ht="42.75">
      <c r="A16" s="644"/>
      <c r="B16" s="2402" t="s">
        <v>2086</v>
      </c>
      <c r="C16" s="2403" t="str">
        <f>C4</f>
        <v>估价对象位于XX商圈，周边商业氛围成熟，人流量大，商业繁华度好</v>
      </c>
      <c r="D16" s="2368"/>
      <c r="E16" s="2404"/>
      <c r="F16" s="2405" t="s">
        <v>2088</v>
      </c>
      <c r="G16" s="136" t="str">
        <f>G4</f>
        <v>估价对象周边道路状况、公共交通通达情况、停车便捷程度，综合评价交通便捷度较好</v>
      </c>
    </row>
    <row r="17" spans="1:18" ht="42.75">
      <c r="A17" s="644"/>
      <c r="B17" s="2402" t="s">
        <v>2090</v>
      </c>
      <c r="C17" s="2403" t="str">
        <f>C5</f>
        <v>估价对象位于XX商圈，周边办公楼项目较多，入驻率高，办公集聚程度较好</v>
      </c>
      <c r="D17" s="2374"/>
      <c r="E17" s="2404"/>
      <c r="F17" s="2405" t="s">
        <v>2108</v>
      </c>
      <c r="G17" s="1571"/>
    </row>
    <row r="18" spans="1:18" ht="57">
      <c r="A18" s="644"/>
      <c r="B18" s="2405" t="s">
        <v>2094</v>
      </c>
      <c r="C18" s="136" t="str">
        <f>C6</f>
        <v>估价对象周边道路状况、公共交通通达情况、停车便捷程度，综合评价交通便捷度较好</v>
      </c>
      <c r="D18" s="2374"/>
      <c r="E18" s="2404"/>
      <c r="F18" s="2405" t="s">
        <v>2097</v>
      </c>
      <c r="G18" s="136" t="str">
        <f>G7</f>
        <v>该园区内是否有污染型企业，绿化情况，卫生条件，整体环境状况判断</v>
      </c>
    </row>
    <row r="19" spans="1:18" ht="28.5">
      <c r="A19" s="644"/>
      <c r="B19" s="2405" t="s">
        <v>2109</v>
      </c>
      <c r="C19" s="1571"/>
      <c r="D19" s="2368"/>
      <c r="E19" s="2404"/>
      <c r="F19" s="1797" t="s">
        <v>2092</v>
      </c>
      <c r="G19" s="136" t="str">
        <f>G5</f>
        <v>估价对象所在区域公共配套设施齐备情况</v>
      </c>
    </row>
    <row r="20" spans="1:18" ht="28.5">
      <c r="A20" s="644"/>
      <c r="B20" s="2405" t="s">
        <v>2110</v>
      </c>
      <c r="C20" s="2403" t="str">
        <f>C9</f>
        <v>区域自然环境：；人文环境；综合评价环境状况一般</v>
      </c>
      <c r="D20" s="2374"/>
      <c r="E20" s="2404"/>
      <c r="F20" s="1797" t="s">
        <v>2111</v>
      </c>
      <c r="G20" s="136" t="str">
        <f>G6</f>
        <v>估价对象所在区域基础设施水平</v>
      </c>
    </row>
    <row r="21" spans="1:18" ht="28.5">
      <c r="A21" s="644"/>
      <c r="B21" s="1797" t="s">
        <v>2092</v>
      </c>
      <c r="C21" s="136" t="str">
        <f>C7</f>
        <v>估价对象所在区域公共配套设施齐备情况</v>
      </c>
      <c r="D21" s="2368"/>
      <c r="E21" s="2404"/>
      <c r="F21" s="2405" t="s">
        <v>2112</v>
      </c>
      <c r="G21" s="2406"/>
    </row>
    <row r="22" spans="1:18" ht="13.5" customHeight="1">
      <c r="A22" s="644"/>
      <c r="B22" s="1797" t="s">
        <v>2095</v>
      </c>
      <c r="C22" s="136" t="str">
        <f>C8</f>
        <v>估价对象所在区域基础设施水平</v>
      </c>
      <c r="D22" s="2368"/>
      <c r="E22" s="2404"/>
      <c r="F22" s="2405" t="s">
        <v>2101</v>
      </c>
      <c r="G22" s="1571"/>
    </row>
    <row r="23" spans="1:18" s="2365" customFormat="1" ht="15.75" thickBot="1">
      <c r="A23" s="644"/>
      <c r="B23" s="2405" t="s">
        <v>2112</v>
      </c>
      <c r="C23" s="2406"/>
      <c r="D23" s="2393"/>
      <c r="E23" s="2407"/>
      <c r="F23" s="2408" t="s">
        <v>2113</v>
      </c>
      <c r="G23" s="2409"/>
      <c r="H23" s="2393"/>
      <c r="I23" s="2394"/>
      <c r="J23" s="2393"/>
      <c r="K23" s="2393"/>
      <c r="L23" s="2394"/>
      <c r="M23" s="2393"/>
      <c r="N23" s="2393"/>
      <c r="O23" s="2394"/>
      <c r="P23" s="2393"/>
      <c r="Q23" s="2393"/>
      <c r="R23" s="2395"/>
    </row>
    <row r="24" spans="1:18" s="2365"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J18" sqref="J18"/>
    </sheetView>
  </sheetViews>
  <sheetFormatPr defaultRowHeight="13.5"/>
  <cols>
    <col min="1" max="1" width="23.375" style="1740" customWidth="1"/>
    <col min="2" max="9" width="15.75" style="1740" customWidth="1"/>
    <col min="10" max="16384" width="9" style="1740"/>
  </cols>
  <sheetData>
    <row r="1" spans="1:10" ht="16.5">
      <c r="A1" s="1745" t="s">
        <v>1365</v>
      </c>
      <c r="B1" s="1745">
        <f>SUM(B14:B23)</f>
        <v>13306.869999999999</v>
      </c>
      <c r="C1" s="1744"/>
      <c r="D1" s="1744"/>
      <c r="E1" s="1744"/>
      <c r="F1" s="1744"/>
      <c r="G1" s="1742"/>
    </row>
    <row r="2" spans="1:10" ht="16.5">
      <c r="A2" s="1745" t="s">
        <v>1353</v>
      </c>
      <c r="B2" s="1745">
        <f>SUM(C14:C23)</f>
        <v>4361.28</v>
      </c>
      <c r="C2" s="1744"/>
      <c r="D2" s="1744"/>
      <c r="E2" s="1744"/>
      <c r="F2" s="1744"/>
      <c r="G2" s="1742"/>
    </row>
    <row r="3" spans="1:10" ht="16.5">
      <c r="A3" s="1745" t="s">
        <v>1362</v>
      </c>
      <c r="B3" s="1746">
        <f>项目基本情况!D3</f>
        <v>43209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33963</v>
      </c>
      <c r="C5" s="1745">
        <f ca="1">ROUND(B5*10000/$B$1,0)</f>
        <v>25523</v>
      </c>
      <c r="D5" s="1745">
        <f ca="1">ROUND(B5*10000/$B$2,0)</f>
        <v>77874</v>
      </c>
      <c r="E5" s="1744"/>
      <c r="F5" s="1742"/>
      <c r="G5" s="1742"/>
    </row>
    <row r="6" spans="1:10" ht="16.5">
      <c r="A6" s="1745" t="s">
        <v>1356</v>
      </c>
      <c r="B6" s="1745">
        <f ca="1">SUM(G14:G23)</f>
        <v>33963</v>
      </c>
      <c r="C6" s="1745">
        <f ca="1">ROUND(B6*10000/$B$1,0)</f>
        <v>25523</v>
      </c>
      <c r="D6" s="1745">
        <f ca="1">ROUND(B6*10000/$B$2,0)</f>
        <v>77874</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139.15</v>
      </c>
      <c r="C14" s="1743">
        <f>结果表!C118</f>
        <v>45.61</v>
      </c>
      <c r="D14" s="1743">
        <f ca="1">结果表!H118</f>
        <v>424</v>
      </c>
      <c r="E14" s="1743">
        <f ca="1">ROUND(D14*10000/B14,0)</f>
        <v>30471</v>
      </c>
      <c r="F14" s="1743">
        <f ca="1">ROUND(D14*10000/C14,0)</f>
        <v>92962</v>
      </c>
      <c r="G14" s="1743">
        <f ca="1">结果表!D122</f>
        <v>424</v>
      </c>
      <c r="H14" s="1743" t="str">
        <f>结果表!D124</f>
        <v>——</v>
      </c>
      <c r="I14" s="1743" t="str">
        <f>结果表!D126</f>
        <v>——</v>
      </c>
      <c r="J14" s="1742"/>
    </row>
    <row r="15" spans="1:10" ht="16.5">
      <c r="A15" s="1741" t="s">
        <v>1349</v>
      </c>
      <c r="B15" s="1748">
        <f>'数据-汇总表'!F20</f>
        <v>13167.72</v>
      </c>
      <c r="C15" s="1748">
        <f>'数据-汇总表'!D20</f>
        <v>4315.67</v>
      </c>
      <c r="D15" s="1748">
        <f ca="1">典型户型修正!U23</f>
        <v>33539</v>
      </c>
      <c r="E15" s="1743">
        <f t="shared" ref="E15:E23" ca="1" si="0">ROUND(D15*10000/B15,0)</f>
        <v>25471</v>
      </c>
      <c r="F15" s="1743">
        <f t="shared" ref="F15:F23" ca="1" si="1">ROUND(D15*10000/C15,0)</f>
        <v>77714</v>
      </c>
      <c r="G15" s="1749">
        <f ca="1">D15</f>
        <v>33539</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K25" sqref="K25"/>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2115</v>
      </c>
      <c r="B1" s="2416"/>
      <c r="C1" s="2417" t="s">
        <v>3067</v>
      </c>
      <c r="D1" s="2416"/>
      <c r="E1" s="2416"/>
      <c r="F1" s="2418" t="s">
        <v>2116</v>
      </c>
      <c r="G1" s="2068" t="s">
        <v>3055</v>
      </c>
      <c r="H1" s="2419" t="str">
        <f>IF(G1="现房","——","估价对象范围")</f>
        <v>——</v>
      </c>
      <c r="I1" s="2420" t="s">
        <v>3123</v>
      </c>
    </row>
    <row r="2" spans="1:12" ht="21.75" customHeight="1" thickBot="1">
      <c r="A2" s="3206" t="str">
        <f>项目基本情况!S2</f>
        <v>湖北省武汉市房地产</v>
      </c>
      <c r="B2" s="3207"/>
      <c r="C2" s="3207"/>
      <c r="D2" s="3207"/>
      <c r="E2" s="3207"/>
      <c r="F2" s="3207"/>
      <c r="G2" s="3207"/>
      <c r="H2" s="3207"/>
      <c r="I2" s="3208"/>
    </row>
    <row r="3" spans="1:12" ht="12.75">
      <c r="A3" s="3209" t="s">
        <v>2117</v>
      </c>
      <c r="B3" s="3210"/>
      <c r="C3" s="3210"/>
      <c r="D3" s="3210"/>
      <c r="E3" s="3210"/>
      <c r="F3" s="3210"/>
      <c r="G3" s="3210"/>
      <c r="H3" s="3210"/>
      <c r="I3" s="3210"/>
    </row>
    <row r="4" spans="1:12" ht="14.25">
      <c r="A4" s="2423" t="s">
        <v>2118</v>
      </c>
      <c r="B4" s="2424" t="s">
        <v>2119</v>
      </c>
      <c r="C4" s="2425" t="s">
        <v>3071</v>
      </c>
      <c r="D4" s="2425" t="s">
        <v>3076</v>
      </c>
      <c r="E4" s="3190" t="s">
        <v>2120</v>
      </c>
      <c r="F4" s="3203"/>
      <c r="G4" s="3203"/>
      <c r="H4" s="3203"/>
      <c r="I4" s="3191"/>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181" t="s">
        <v>2121</v>
      </c>
      <c r="B5" s="3107">
        <v>25</v>
      </c>
      <c r="C5" s="3211"/>
      <c r="D5" s="3199"/>
      <c r="E5" s="140" t="s">
        <v>2122</v>
      </c>
      <c r="F5" s="2427"/>
      <c r="G5" s="2427"/>
      <c r="H5" s="2427"/>
      <c r="I5" s="1833"/>
    </row>
    <row r="6" spans="1:12" ht="12.75">
      <c r="A6" s="3181"/>
      <c r="B6" s="3107"/>
      <c r="C6" s="3213"/>
      <c r="D6" s="3199"/>
      <c r="E6" s="140" t="s">
        <v>2123</v>
      </c>
      <c r="F6" s="2427"/>
      <c r="G6" s="2427"/>
      <c r="H6" s="2427"/>
      <c r="I6" s="1833"/>
    </row>
    <row r="7" spans="1:12" ht="12.75">
      <c r="A7" s="3181"/>
      <c r="B7" s="3107"/>
      <c r="C7" s="3212"/>
      <c r="D7" s="3199"/>
      <c r="E7" s="140" t="s">
        <v>2124</v>
      </c>
      <c r="F7" s="2427"/>
      <c r="G7" s="2427"/>
      <c r="H7" s="2427"/>
      <c r="I7" s="1833"/>
    </row>
    <row r="8" spans="1:12" ht="12.75">
      <c r="A8" s="3181" t="s">
        <v>2125</v>
      </c>
      <c r="B8" s="3107">
        <v>15</v>
      </c>
      <c r="C8" s="3211"/>
      <c r="D8" s="3199"/>
      <c r="E8" s="140" t="s">
        <v>2126</v>
      </c>
      <c r="F8" s="2427"/>
      <c r="G8" s="2427"/>
      <c r="H8" s="2427"/>
      <c r="I8" s="1833"/>
    </row>
    <row r="9" spans="1:12" ht="12.75">
      <c r="A9" s="3181"/>
      <c r="B9" s="3107"/>
      <c r="C9" s="3212"/>
      <c r="D9" s="3199"/>
      <c r="E9" s="140" t="s">
        <v>2127</v>
      </c>
      <c r="F9" s="2427"/>
      <c r="G9" s="2427"/>
      <c r="H9" s="2427"/>
      <c r="I9" s="1833"/>
    </row>
    <row r="10" spans="1:12" ht="12.75">
      <c r="A10" s="3181" t="s">
        <v>2128</v>
      </c>
      <c r="B10" s="3107">
        <v>15</v>
      </c>
      <c r="C10" s="3211"/>
      <c r="D10" s="3199"/>
      <c r="E10" s="140" t="s">
        <v>2129</v>
      </c>
      <c r="F10" s="2427"/>
      <c r="G10" s="2427"/>
      <c r="H10" s="2427"/>
      <c r="I10" s="1833"/>
    </row>
    <row r="11" spans="1:12" ht="12.75">
      <c r="A11" s="3181"/>
      <c r="B11" s="3107"/>
      <c r="C11" s="3212"/>
      <c r="D11" s="3199"/>
      <c r="E11" s="140" t="s">
        <v>2130</v>
      </c>
      <c r="F11" s="2427"/>
      <c r="G11" s="2427"/>
      <c r="H11" s="2427"/>
      <c r="I11" s="1833"/>
    </row>
    <row r="12" spans="1:12" ht="12.75">
      <c r="A12" s="3181" t="s">
        <v>2131</v>
      </c>
      <c r="B12" s="3107">
        <v>15</v>
      </c>
      <c r="C12" s="3211"/>
      <c r="D12" s="3199"/>
      <c r="E12" s="140" t="s">
        <v>2132</v>
      </c>
      <c r="F12" s="2427"/>
      <c r="G12" s="2427"/>
      <c r="H12" s="2427"/>
      <c r="I12" s="1833"/>
    </row>
    <row r="13" spans="1:12" ht="12.75">
      <c r="A13" s="3181"/>
      <c r="B13" s="3107"/>
      <c r="C13" s="3212"/>
      <c r="D13" s="3199"/>
      <c r="E13" s="140" t="s">
        <v>2133</v>
      </c>
      <c r="F13" s="2427"/>
      <c r="G13" s="2427"/>
      <c r="H13" s="2427"/>
      <c r="I13" s="1833"/>
    </row>
    <row r="14" spans="1:12" ht="12.75">
      <c r="A14" s="3181" t="s">
        <v>2134</v>
      </c>
      <c r="B14" s="3107">
        <v>30</v>
      </c>
      <c r="C14" s="3211">
        <v>5</v>
      </c>
      <c r="D14" s="3199">
        <v>5</v>
      </c>
      <c r="E14" s="140" t="s">
        <v>2135</v>
      </c>
      <c r="F14" s="2427"/>
      <c r="G14" s="2427"/>
      <c r="H14" s="2427"/>
      <c r="I14" s="1833"/>
    </row>
    <row r="15" spans="1:12" ht="12.75">
      <c r="A15" s="3181"/>
      <c r="B15" s="3107"/>
      <c r="C15" s="3213"/>
      <c r="D15" s="3199"/>
      <c r="E15" s="140" t="s">
        <v>2136</v>
      </c>
      <c r="F15" s="2427"/>
      <c r="G15" s="2427"/>
      <c r="H15" s="2427"/>
      <c r="I15" s="1833"/>
    </row>
    <row r="16" spans="1:12" ht="12.75">
      <c r="A16" s="3181"/>
      <c r="B16" s="3107"/>
      <c r="C16" s="3212"/>
      <c r="D16" s="3199"/>
      <c r="E16" s="140" t="s">
        <v>2137</v>
      </c>
      <c r="F16" s="2427"/>
      <c r="G16" s="2427"/>
      <c r="H16" s="2427"/>
      <c r="I16" s="1833"/>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139.15</v>
      </c>
      <c r="M18" s="2426">
        <f>IF(C1="",'数据-汇总表'!E3,SUMIF(项目类型,C1,'数据-汇总表'!E17:E26))</f>
        <v>139.15</v>
      </c>
    </row>
    <row r="19" spans="1:35" ht="15">
      <c r="A19" s="2432" t="s">
        <v>2143</v>
      </c>
      <c r="B19" s="2433" t="s">
        <v>2144</v>
      </c>
      <c r="C19" s="143">
        <f ca="1">SUMIF(INDIRECT("'"&amp;C4&amp;"'"&amp;"!A:A"),结果表!B19,INDIRECT("'"&amp;C4&amp;"'"&amp;"!B:B"))</f>
        <v>387</v>
      </c>
      <c r="D19" s="144">
        <f ca="1">SUMIF(INDIRECT("'"&amp;D4&amp;"'"&amp;"!A:A"),结果表!B19,INDIRECT("'"&amp;D4&amp;"'"&amp;"!B:B"))</f>
        <v>461</v>
      </c>
      <c r="E19" s="2432" t="s">
        <v>2145</v>
      </c>
      <c r="F19" s="2433" t="s">
        <v>2144</v>
      </c>
      <c r="G19" s="145">
        <f ca="1">ROUND(C19*$C$18+D19*$D$18,0)</f>
        <v>424</v>
      </c>
      <c r="H19" s="2434" t="s">
        <v>2146</v>
      </c>
      <c r="I19" s="138"/>
      <c r="K19" s="2426" t="s">
        <v>2147</v>
      </c>
      <c r="L19" s="2426">
        <f>IF(C1="",'数据-汇总表'!D3,SUMIF(项目类型,C1,'数据-汇总表'!D17:D26)+SUMIF(项目类型,C1,'数据-汇总表'!H17:H27))</f>
        <v>45.61</v>
      </c>
      <c r="M19" s="2426">
        <f>IF(C1="",'数据-汇总表'!D3,SUMIF(项目类型,C1,'数据-汇总表'!D17:D26))</f>
        <v>45.61</v>
      </c>
    </row>
    <row r="20" spans="1:35" ht="15">
      <c r="A20" s="2435"/>
      <c r="B20" s="1249" t="s">
        <v>2148</v>
      </c>
      <c r="C20" s="146">
        <f ca="1">SUMIF(INDIRECT("'"&amp;C4&amp;"'"&amp;"!A:A"),结果表!B20,INDIRECT("'"&amp;C4&amp;"'"&amp;"!B:B"))</f>
        <v>27812</v>
      </c>
      <c r="D20" s="147">
        <f ca="1">SUMIF(INDIRECT("'"&amp;D4&amp;"'"&amp;"!A:A"),结果表!B20,INDIRECT("'"&amp;D4&amp;"'"&amp;"!B:B"))</f>
        <v>33103</v>
      </c>
      <c r="E20" s="2435"/>
      <c r="F20" s="1249" t="s">
        <v>2148</v>
      </c>
      <c r="G20" s="148">
        <f ca="1">ROUND(C20*$C$18+D20*$D$18,0)</f>
        <v>30458</v>
      </c>
      <c r="H20" s="982" t="s">
        <v>2149</v>
      </c>
      <c r="I20" s="138"/>
    </row>
    <row r="21" spans="1:35" ht="15" customHeight="1" thickBot="1">
      <c r="A21" s="1002"/>
      <c r="B21" s="2436" t="s">
        <v>2150</v>
      </c>
      <c r="C21" s="788">
        <f ca="1">ROUND(C19*10000/L19,0)</f>
        <v>84850</v>
      </c>
      <c r="D21" s="789">
        <f ca="1">ROUND(D19*10000/L19,0)</f>
        <v>101074</v>
      </c>
      <c r="E21" s="1002"/>
      <c r="F21" s="2436" t="s">
        <v>2150</v>
      </c>
      <c r="G21" s="149">
        <f ca="1">ROUND(G19*10000/L19,0)</f>
        <v>92962</v>
      </c>
      <c r="H21" s="2437" t="s">
        <v>2149</v>
      </c>
      <c r="I21" s="138"/>
    </row>
    <row r="22" spans="1:35" ht="15" thickBot="1">
      <c r="A22" s="2278" t="s">
        <v>2151</v>
      </c>
      <c r="B22" s="2438"/>
      <c r="C22" s="2439"/>
      <c r="D22" s="790">
        <f ca="1">IF(C19&lt;D19,D19/C19-1,C19/D19-1)</f>
        <v>0.19121447028423777</v>
      </c>
      <c r="E22" s="138"/>
      <c r="F22" s="138"/>
      <c r="G22" s="138"/>
      <c r="H22" s="138"/>
      <c r="I22" s="138"/>
    </row>
    <row r="23" spans="1:35" ht="13.5" thickBot="1">
      <c r="A23" s="2416"/>
      <c r="B23" s="2416"/>
      <c r="C23" s="2416"/>
      <c r="D23" s="2416"/>
      <c r="E23" s="138"/>
      <c r="F23" s="138"/>
      <c r="G23" s="138"/>
      <c r="H23" s="138"/>
      <c r="I23" s="138"/>
    </row>
    <row r="24" spans="1:35" ht="14.25">
      <c r="A24" s="3220" t="s">
        <v>2152</v>
      </c>
      <c r="B24" s="2433" t="s">
        <v>2144</v>
      </c>
      <c r="C24" s="145">
        <f>IF(B30=0,0,D30)</f>
        <v>0</v>
      </c>
      <c r="D24" s="2440"/>
      <c r="E24" s="138"/>
      <c r="F24" s="138"/>
      <c r="G24" s="138"/>
      <c r="H24" s="138"/>
      <c r="I24" s="138"/>
    </row>
    <row r="25" spans="1:35" ht="14.25">
      <c r="A25" s="3221"/>
      <c r="B25" s="1249"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25" t="s">
        <v>3034</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2158</v>
      </c>
      <c r="B32" s="2446"/>
      <c r="C32" s="153">
        <f ca="1">IF(D32="总价",G19-C24,G20-C25)</f>
        <v>424</v>
      </c>
      <c r="D32" s="2447" t="s">
        <v>2159</v>
      </c>
      <c r="E32" s="138"/>
      <c r="F32" s="138"/>
      <c r="G32" s="138"/>
      <c r="H32" s="138"/>
      <c r="I32" s="138"/>
    </row>
    <row r="33" spans="1:15" ht="15">
      <c r="A33" s="959"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2163</v>
      </c>
      <c r="F34" s="1738"/>
      <c r="G34" s="138"/>
      <c r="H34" s="138"/>
      <c r="I34" s="138"/>
    </row>
    <row r="35" spans="1:15" ht="15.75" thickBot="1">
      <c r="A35" s="2456"/>
      <c r="B35" s="2457" t="s">
        <v>2164</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200" t="s">
        <v>2166</v>
      </c>
      <c r="B36" s="2459" t="s">
        <v>2167</v>
      </c>
      <c r="C36" s="154"/>
      <c r="D36" s="2460"/>
      <c r="E36" s="2461"/>
      <c r="F36" s="2462"/>
      <c r="G36" s="138"/>
      <c r="H36" s="138"/>
      <c r="I36" s="138"/>
    </row>
    <row r="37" spans="1:15" ht="15.75" thickBot="1">
      <c r="A37" s="3201"/>
      <c r="B37" s="2264" t="s">
        <v>2168</v>
      </c>
      <c r="C37" s="156"/>
      <c r="D37" s="1394"/>
      <c r="E37" s="1394"/>
      <c r="F37" s="2462"/>
      <c r="G37" s="138"/>
      <c r="H37" s="138"/>
      <c r="I37" s="138"/>
    </row>
    <row r="38" spans="1:15" ht="15.75" thickBot="1">
      <c r="A38" s="3202"/>
      <c r="B38" s="2463" t="s">
        <v>2169</v>
      </c>
      <c r="C38" s="726"/>
      <c r="D38" s="2464" t="s">
        <v>2170</v>
      </c>
      <c r="E38" s="1394"/>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217" t="s">
        <v>2180</v>
      </c>
      <c r="B45" s="3218"/>
      <c r="C45" s="3219"/>
      <c r="D45" s="164">
        <f ca="1">ROUND(H101*F45,0)</f>
        <v>424</v>
      </c>
      <c r="E45" s="165" t="s">
        <v>2181</v>
      </c>
      <c r="F45" s="166">
        <v>1</v>
      </c>
      <c r="G45" s="167" t="s">
        <v>2182</v>
      </c>
      <c r="H45" s="138"/>
      <c r="I45" s="138"/>
      <c r="J45" s="3136" t="s">
        <v>2183</v>
      </c>
      <c r="K45" s="3136"/>
      <c r="L45" s="3136"/>
      <c r="M45" s="3136"/>
      <c r="N45" s="3136"/>
      <c r="O45" s="3136"/>
    </row>
    <row r="46" spans="1:15" ht="14.25" customHeight="1">
      <c r="A46" s="3214" t="s">
        <v>2184</v>
      </c>
      <c r="B46" s="3215"/>
      <c r="C46" s="3215"/>
      <c r="D46" s="3215"/>
      <c r="E46" s="3215"/>
      <c r="F46" s="3215"/>
      <c r="G46" s="3216"/>
      <c r="H46" s="2478"/>
      <c r="I46" s="168"/>
      <c r="J46" s="1811">
        <v>1</v>
      </c>
      <c r="K46" s="3136" t="s">
        <v>2185</v>
      </c>
      <c r="L46" s="3136"/>
      <c r="M46" s="3137"/>
      <c r="N46" s="3137"/>
      <c r="O46" s="3137"/>
    </row>
    <row r="47" spans="1:15" ht="12" customHeight="1">
      <c r="A47" s="169" t="s">
        <v>2186</v>
      </c>
      <c r="B47" s="170"/>
      <c r="C47" s="171"/>
      <c r="D47" s="172" t="s">
        <v>2187</v>
      </c>
      <c r="E47" s="24" t="s">
        <v>2188</v>
      </c>
      <c r="F47" s="173" t="s">
        <v>2189</v>
      </c>
      <c r="G47" s="174" t="s">
        <v>2190</v>
      </c>
      <c r="H47" s="2478"/>
      <c r="I47" s="168"/>
      <c r="J47" s="1811">
        <v>2</v>
      </c>
      <c r="K47" s="3136" t="s">
        <v>2191</v>
      </c>
      <c r="L47" s="3136"/>
      <c r="M47" s="3138">
        <f>'数据-取费表'!B2</f>
        <v>43209</v>
      </c>
      <c r="N47" s="3138"/>
      <c r="O47" s="3138"/>
    </row>
    <row r="48" spans="1:15" ht="25.5">
      <c r="A48" s="3204" t="s">
        <v>2192</v>
      </c>
      <c r="B48" s="3205"/>
      <c r="C48" s="3205"/>
      <c r="D48" s="140">
        <f>IF(H48="情况1",0,IF(H48="情况2",D52,IF(H48="情况3",D53,IF(H48="情况4",D54))))</f>
        <v>0</v>
      </c>
      <c r="E48" s="1800" t="str">
        <f>IF(H48="情况4","(销售额-原购置价)×税（费）率","销售额×税（费）率")</f>
        <v>销售额×税（费）率</v>
      </c>
      <c r="F48" s="175" t="str">
        <f>IF(H48="情况1","免征",'数据-取费表'!B41)</f>
        <v>免征</v>
      </c>
      <c r="G48" s="2479" t="s">
        <v>2193</v>
      </c>
      <c r="H48" s="2480" t="s">
        <v>2194</v>
      </c>
      <c r="I48" s="2478"/>
      <c r="J48" s="1811">
        <v>3</v>
      </c>
      <c r="K48" s="3136" t="s">
        <v>2195</v>
      </c>
      <c r="L48" s="3136"/>
      <c r="M48" s="3139">
        <f ca="1">H101</f>
        <v>424</v>
      </c>
      <c r="N48" s="3139"/>
      <c r="O48" s="3139"/>
    </row>
    <row r="49" spans="1:35" ht="25.5" customHeight="1">
      <c r="A49" s="176" t="s">
        <v>2196</v>
      </c>
      <c r="B49" s="3184" t="s">
        <v>2197</v>
      </c>
      <c r="C49" s="3184"/>
      <c r="D49" s="177">
        <v>0</v>
      </c>
      <c r="E49" s="23" t="s">
        <v>2198</v>
      </c>
      <c r="F49" s="28" t="s">
        <v>34</v>
      </c>
      <c r="G49" s="3165"/>
      <c r="H49" s="138"/>
      <c r="I49" s="2481"/>
      <c r="J49" s="1811">
        <v>4</v>
      </c>
      <c r="K49" s="3136" t="str">
        <f>IF(项目基本情况!E8="房地产抵押价值","房地产抵押价值","抵押担保权已注销时的房地产抵押价值")</f>
        <v>房地产抵押价值</v>
      </c>
      <c r="L49" s="3136"/>
      <c r="M49" s="3139">
        <f ca="1">IF(项目基本情况!E8="房地产抵押价值",H107,H109)</f>
        <v>424</v>
      </c>
      <c r="N49" s="3139"/>
      <c r="O49" s="3139"/>
    </row>
    <row r="50" spans="1:35" ht="25.5" customHeight="1">
      <c r="A50" s="178"/>
      <c r="B50" s="3184" t="s">
        <v>2199</v>
      </c>
      <c r="C50" s="3184"/>
      <c r="D50" s="179"/>
      <c r="E50" s="31"/>
      <c r="F50" s="180"/>
      <c r="G50" s="3166"/>
      <c r="H50" s="138"/>
      <c r="I50" s="2481"/>
      <c r="J50" s="3136" t="s">
        <v>2200</v>
      </c>
      <c r="K50" s="3136"/>
      <c r="L50" s="3136"/>
      <c r="M50" s="3136"/>
      <c r="N50" s="3136"/>
      <c r="O50" s="3136"/>
    </row>
    <row r="51" spans="1:35" ht="12" customHeight="1">
      <c r="A51" s="181"/>
      <c r="B51" s="3184" t="s">
        <v>2201</v>
      </c>
      <c r="C51" s="3184"/>
      <c r="D51" s="182"/>
      <c r="E51" s="30"/>
      <c r="F51" s="180"/>
      <c r="G51" s="3167"/>
      <c r="H51" s="138"/>
      <c r="I51" s="2481"/>
      <c r="J51" s="2482" t="s">
        <v>2202</v>
      </c>
      <c r="K51" s="3136" t="s">
        <v>2203</v>
      </c>
      <c r="L51" s="3136"/>
      <c r="M51" s="2482" t="s">
        <v>2204</v>
      </c>
      <c r="N51" s="2482" t="s">
        <v>2205</v>
      </c>
      <c r="O51" s="2482" t="s">
        <v>2206</v>
      </c>
    </row>
    <row r="52" spans="1:35" ht="24" customHeight="1">
      <c r="A52" s="183" t="s">
        <v>2207</v>
      </c>
      <c r="B52" s="3184" t="s">
        <v>2208</v>
      </c>
      <c r="C52" s="3184"/>
      <c r="D52" s="182">
        <f ca="1">ROUND(D45*'数据-取费表'!B41/(1+'数据-取费表'!C42),0)</f>
        <v>23</v>
      </c>
      <c r="E52" s="11" t="s">
        <v>2209</v>
      </c>
      <c r="F52" s="184">
        <f>'数据-取费表'!B41</f>
        <v>5.6000000000000001E-2</v>
      </c>
      <c r="G52" s="2483"/>
      <c r="H52" s="138"/>
      <c r="I52" s="2481"/>
      <c r="J52" s="1811">
        <v>1</v>
      </c>
      <c r="K52" s="3159" t="s">
        <v>2210</v>
      </c>
      <c r="L52" s="3159"/>
      <c r="M52" s="1753">
        <f>D48</f>
        <v>0</v>
      </c>
      <c r="N52" s="1811" t="str">
        <f>E48</f>
        <v>销售额×税（费）率</v>
      </c>
      <c r="O52" s="1754" t="str">
        <f>F48</f>
        <v>免征</v>
      </c>
    </row>
    <row r="53" spans="1:35" ht="12" customHeight="1">
      <c r="A53" s="183" t="s">
        <v>2211</v>
      </c>
      <c r="B53" s="3185" t="s">
        <v>2212</v>
      </c>
      <c r="C53" s="3186"/>
      <c r="D53" s="182">
        <f ca="1">ROUND(D45*'数据-取费表'!B41/(1+'数据-取费表'!C42),0)</f>
        <v>23</v>
      </c>
      <c r="E53" s="11" t="s">
        <v>2209</v>
      </c>
      <c r="F53" s="184">
        <f>'数据-取费表'!B41</f>
        <v>5.6000000000000001E-2</v>
      </c>
      <c r="G53" s="2483"/>
      <c r="H53" s="138"/>
      <c r="I53" s="2481"/>
      <c r="J53" s="1811">
        <v>2</v>
      </c>
      <c r="K53" s="3159" t="s">
        <v>2213</v>
      </c>
      <c r="L53" s="3159"/>
      <c r="M53" s="1753">
        <f t="shared" ref="M53:O54" ca="1" si="0">D55</f>
        <v>0</v>
      </c>
      <c r="N53" s="1811" t="str">
        <f t="shared" si="0"/>
        <v>销售额×税（费）率</v>
      </c>
      <c r="O53" s="1754">
        <f t="shared" si="0"/>
        <v>5.0000000000000001E-4</v>
      </c>
    </row>
    <row r="54" spans="1:35" ht="12" customHeight="1">
      <c r="A54" s="183" t="s">
        <v>2214</v>
      </c>
      <c r="B54" s="3185" t="s">
        <v>2215</v>
      </c>
      <c r="C54" s="3186"/>
      <c r="D54" s="182">
        <f ca="1">C68</f>
        <v>23</v>
      </c>
      <c r="E54" s="30" t="s">
        <v>2216</v>
      </c>
      <c r="F54" s="184">
        <f>'数据-取费表'!B41</f>
        <v>5.6000000000000001E-2</v>
      </c>
      <c r="G54" s="2483"/>
      <c r="H54" s="2484"/>
      <c r="I54" s="2481"/>
      <c r="J54" s="1811">
        <v>3</v>
      </c>
      <c r="K54" s="3159" t="s">
        <v>2217</v>
      </c>
      <c r="L54" s="3159"/>
      <c r="M54" s="1753">
        <f t="shared" ca="1" si="0"/>
        <v>241</v>
      </c>
      <c r="N54" s="1811" t="str">
        <f t="shared" si="0"/>
        <v>增值额×税（费）率</v>
      </c>
      <c r="O54" s="1755" t="str">
        <f t="shared" si="0"/>
        <v>——</v>
      </c>
    </row>
    <row r="55" spans="1:35" ht="24" customHeight="1">
      <c r="A55" s="3223" t="s">
        <v>2218</v>
      </c>
      <c r="B55" s="3205"/>
      <c r="C55" s="3205"/>
      <c r="D55" s="185">
        <f ca="1">IF(H55="个人住宅",0,ROUND(D45*I55,0))</f>
        <v>0</v>
      </c>
      <c r="E55" s="11" t="s">
        <v>2219</v>
      </c>
      <c r="F55" s="184">
        <f>IF(H55="正常",I55,"免征")</f>
        <v>5.0000000000000001E-4</v>
      </c>
      <c r="G55" s="2483"/>
      <c r="H55" s="2480" t="s">
        <v>2220</v>
      </c>
      <c r="I55" s="186">
        <f>'数据-取费表'!B49</f>
        <v>5.0000000000000001E-4</v>
      </c>
      <c r="J55" s="1811" t="str">
        <f>IF(H59="非个人房产","",4)</f>
        <v/>
      </c>
      <c r="K55" s="3159" t="str">
        <f>IF(H59="非个人房产","——","个人所得税")</f>
        <v>——</v>
      </c>
      <c r="L55" s="3159"/>
      <c r="M55" s="1756" t="str">
        <f>D59</f>
        <v>——</v>
      </c>
      <c r="N55" s="1809" t="str">
        <f>E59</f>
        <v>——</v>
      </c>
      <c r="O55" s="1757" t="str">
        <f>F59</f>
        <v>——</v>
      </c>
    </row>
    <row r="56" spans="1:35" ht="24.75">
      <c r="A56" s="3223" t="s">
        <v>2221</v>
      </c>
      <c r="B56" s="3205"/>
      <c r="C56" s="3205"/>
      <c r="D56" s="185">
        <f ca="1">IF(H56="个人住宅",D57,D58)</f>
        <v>241</v>
      </c>
      <c r="E56" s="11" t="s">
        <v>2222</v>
      </c>
      <c r="F56" s="184" t="str">
        <f>IF(H56="正常",F58,"免征")</f>
        <v>——</v>
      </c>
      <c r="G56" s="2485" t="s">
        <v>2223</v>
      </c>
      <c r="H56" s="2486" t="s">
        <v>2220</v>
      </c>
      <c r="I56" s="2487"/>
      <c r="J56" s="1811" t="str">
        <f>IF(项目基本情况!K6="上海银行",IF(J55="",4,J55+1),"")</f>
        <v/>
      </c>
      <c r="K56" s="3142" t="str">
        <f>IF(项目基本情况!K6="上海银行","其他处置费用","")</f>
        <v/>
      </c>
      <c r="L56" s="3143"/>
      <c r="M56" s="1753" t="str">
        <f>IF(项目基本情况!K6="上海银行",M69,"")</f>
        <v/>
      </c>
      <c r="N56" s="3145" t="str">
        <f>IF(项目基本情况!K6="上海银行","包含处置中涉及的律师、诉讼、拍卖、评估等费用","")</f>
        <v/>
      </c>
      <c r="O56" s="3146"/>
    </row>
    <row r="57" spans="1:35" ht="12.75">
      <c r="A57" s="183" t="s">
        <v>2196</v>
      </c>
      <c r="B57" s="3190" t="s">
        <v>2224</v>
      </c>
      <c r="C57" s="3191"/>
      <c r="D57" s="187">
        <v>0</v>
      </c>
      <c r="E57" s="23" t="s">
        <v>2198</v>
      </c>
      <c r="F57" s="155"/>
      <c r="G57" s="2483"/>
      <c r="H57" s="2487"/>
      <c r="I57" s="2487"/>
      <c r="J57" s="3159">
        <f>IF(AND(J55="",J56=""),4,IF(项目基本情况!K6="上海银行",结果表!J56+1,结果表!J55+1))</f>
        <v>4</v>
      </c>
      <c r="K57" s="3159" t="s">
        <v>2225</v>
      </c>
      <c r="L57" s="2488" t="s">
        <v>2226</v>
      </c>
      <c r="M57" s="1758"/>
      <c r="N57" s="1759">
        <f ca="1">SUMIF(M52:M56,"&lt;9e307")</f>
        <v>241</v>
      </c>
      <c r="O57" s="2489"/>
      <c r="P57" s="1752">
        <f ca="1">N57/M49</f>
        <v>0.56839622641509435</v>
      </c>
    </row>
    <row r="58" spans="1:35" ht="24.75">
      <c r="A58" s="183" t="s">
        <v>2207</v>
      </c>
      <c r="B58" s="3190" t="s">
        <v>2227</v>
      </c>
      <c r="C58" s="3203"/>
      <c r="D58" s="185">
        <f ca="1">IF(H58="转让取得",C81,C97)</f>
        <v>241</v>
      </c>
      <c r="E58" s="11" t="s">
        <v>2222</v>
      </c>
      <c r="F58" s="24" t="s">
        <v>34</v>
      </c>
      <c r="G58" s="2483"/>
      <c r="H58" s="2486" t="s">
        <v>2228</v>
      </c>
      <c r="I58" s="2487"/>
      <c r="J58" s="3159"/>
      <c r="K58" s="3159"/>
      <c r="L58" s="2488" t="s">
        <v>2229</v>
      </c>
      <c r="M58" s="1760"/>
      <c r="N58" s="2490" t="str">
        <f ca="1">NUMBERSTRING(INT(N57*10000),2)&amp;"元整"</f>
        <v>贰佰肆拾壹万元整</v>
      </c>
      <c r="O58" s="2491"/>
    </row>
    <row r="59" spans="1:35" ht="24.75" thickBot="1">
      <c r="A59" s="3163" t="s">
        <v>2230</v>
      </c>
      <c r="B59" s="3164"/>
      <c r="C59" s="3164"/>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61">
        <f>J57+1</f>
        <v>5</v>
      </c>
      <c r="K59" s="3159" t="s">
        <v>2232</v>
      </c>
      <c r="L59" s="1811" t="s">
        <v>2226</v>
      </c>
      <c r="M59" s="1761"/>
      <c r="N59" s="1762">
        <f ca="1">M49-N57</f>
        <v>183</v>
      </c>
      <c r="O59" s="2493"/>
    </row>
    <row r="60" spans="1:35" ht="12" customHeight="1">
      <c r="A60" s="2494"/>
      <c r="B60" s="2416"/>
      <c r="C60" s="2416"/>
      <c r="D60" s="2416"/>
      <c r="E60" s="2163"/>
      <c r="F60" s="2487"/>
      <c r="G60" s="2487"/>
      <c r="H60" s="2495"/>
      <c r="I60" s="138"/>
      <c r="J60" s="3162"/>
      <c r="K60" s="3159"/>
      <c r="L60" s="2488" t="s">
        <v>2229</v>
      </c>
      <c r="M60" s="1760"/>
      <c r="N60" s="2490" t="str">
        <f ca="1">NUMBERSTRING(INT(N59*10000),2)&amp;"元整"</f>
        <v>壹佰捌拾叁万元整</v>
      </c>
      <c r="O60" s="2491"/>
    </row>
    <row r="61" spans="1:35" ht="13.5" thickBot="1">
      <c r="A61" s="3222" t="s">
        <v>2233</v>
      </c>
      <c r="B61" s="3222"/>
      <c r="C61" s="3222"/>
      <c r="D61" s="3222"/>
      <c r="E61" s="3222"/>
      <c r="F61" s="2487"/>
      <c r="G61" s="2487"/>
      <c r="H61" s="2495"/>
      <c r="I61" s="138"/>
      <c r="J61" s="1811">
        <f>J59+1</f>
        <v>6</v>
      </c>
      <c r="K61" s="3159" t="s">
        <v>2234</v>
      </c>
      <c r="L61" s="3159"/>
      <c r="M61" s="1763"/>
      <c r="N61" s="1764">
        <f ca="1">ROUND(N59*10000/'数据-汇总表'!E3,0)</f>
        <v>138</v>
      </c>
      <c r="O61" s="2496"/>
    </row>
    <row r="62" spans="1:35" ht="12.75">
      <c r="A62" s="3179" t="s">
        <v>2235</v>
      </c>
      <c r="B62" s="3180"/>
      <c r="C62" s="1803"/>
      <c r="D62" s="1803" t="s">
        <v>2236</v>
      </c>
      <c r="E62" s="192" t="s">
        <v>2237</v>
      </c>
      <c r="F62" s="2487"/>
      <c r="G62" s="2487"/>
      <c r="H62" s="2495"/>
      <c r="I62" s="138"/>
    </row>
    <row r="63" spans="1:35" ht="12.75">
      <c r="A63" s="203" t="s">
        <v>775</v>
      </c>
      <c r="B63" s="193" t="s">
        <v>2238</v>
      </c>
      <c r="C63" s="194">
        <f ca="1">ROUND((C64+C65)/(1+'数据-取费表'!C42),0)</f>
        <v>404</v>
      </c>
      <c r="D63" s="195"/>
      <c r="E63" s="196"/>
      <c r="F63" s="2487"/>
      <c r="G63" s="2487"/>
      <c r="H63" s="2495"/>
      <c r="I63" s="138"/>
      <c r="J63" s="3144" t="s">
        <v>2239</v>
      </c>
      <c r="K63" s="2497" t="s">
        <v>2240</v>
      </c>
      <c r="L63" s="1751">
        <f ca="1">IF(M49&gt;10000,M49*0.5%,IF(AND(M49&gt;1000,M49&lt;=10000),M49*1%,IF(AND(M49&gt;100,M49&lt;=1000),M49*3%,IF(AND(M49&gt;10,M49&lt;=100),M49*5%,M49*8%))))</f>
        <v>12.719999999999999</v>
      </c>
      <c r="M63" s="24">
        <f ca="1">ROUND(L63,1)</f>
        <v>12.7</v>
      </c>
      <c r="Z63" s="2421"/>
      <c r="AI63" s="2422"/>
    </row>
    <row r="64" spans="1:35" ht="14.25" customHeight="1">
      <c r="A64" s="197" t="s">
        <v>770</v>
      </c>
      <c r="B64" s="198" t="s">
        <v>2241</v>
      </c>
      <c r="C64" s="199">
        <f ca="1">D45</f>
        <v>424</v>
      </c>
      <c r="D64" s="200" t="s">
        <v>32</v>
      </c>
      <c r="E64" s="201"/>
      <c r="F64" s="2487"/>
      <c r="G64" s="2487"/>
      <c r="H64" s="2495"/>
      <c r="I64" s="138"/>
      <c r="J64" s="3144"/>
      <c r="K64" s="2497" t="s">
        <v>2242</v>
      </c>
      <c r="L64" s="1751">
        <f ca="1">IF(M49&gt;2000,M49*0.5%,IF(AND(M49&gt;1000,M49&lt;=2000),M49*0.6%,IF(AND(M49&gt;500,M49&lt;=1000),M49*0.7%,IF(AND(M49&gt;200,M49&lt;=500),M49*0.8%,IF(AND(M49&gt;100,M49&lt;=200),M49*0.9%,IF(AND(M49&gt;50,M49&lt;=100),M49*1%,IF(AND(M49&gt;20,M49&lt;=50),M49*1.5%,IF(AND(M49&gt;10,M49&lt;=20),M49*2%,IF(AND(M49&gt;1,M49&lt;=10),M49*2.5%)))))))))</f>
        <v>3.3919999999999999</v>
      </c>
      <c r="M64" s="24">
        <f t="shared" ref="M64:M65" ca="1" si="1">ROUND(L64,1)</f>
        <v>3.4</v>
      </c>
      <c r="N64" s="138" t="s">
        <v>2243</v>
      </c>
      <c r="Z64" s="2421"/>
      <c r="AI64" s="2422"/>
    </row>
    <row r="65" spans="1:35" ht="14.25" customHeight="1">
      <c r="A65" s="197" t="s">
        <v>771</v>
      </c>
      <c r="B65" s="198" t="s">
        <v>2244</v>
      </c>
      <c r="C65" s="202"/>
      <c r="D65" s="200"/>
      <c r="E65" s="201"/>
      <c r="F65" s="2487"/>
      <c r="G65" s="2487"/>
      <c r="H65" s="2495"/>
      <c r="I65" s="138"/>
      <c r="J65" s="3144"/>
      <c r="K65" s="2497" t="s">
        <v>2245</v>
      </c>
      <c r="L65" s="1751">
        <f ca="1">IF(M49&gt;1000,M49*0.1%,IF(AND(M49&gt;500,M49&lt;=1000),M49*0.5%,IF(AND(M49&gt;50,M49&lt;=500),M49*1%,IF(AND(M49&gt;1,M49&lt;=50),M49*1.5%))))</f>
        <v>4.24</v>
      </c>
      <c r="M65" s="24">
        <f t="shared" ca="1" si="1"/>
        <v>4.2</v>
      </c>
      <c r="N65" s="138" t="s">
        <v>2243</v>
      </c>
      <c r="Z65" s="2421"/>
      <c r="AI65" s="2422"/>
    </row>
    <row r="66" spans="1:35" ht="14.25" customHeight="1">
      <c r="A66" s="203" t="s">
        <v>772</v>
      </c>
      <c r="B66" s="204" t="s">
        <v>2246</v>
      </c>
      <c r="C66" s="205"/>
      <c r="D66" s="206" t="s">
        <v>32</v>
      </c>
      <c r="E66" s="1775" t="s">
        <v>1371</v>
      </c>
      <c r="F66" s="2487"/>
      <c r="G66" s="2487"/>
      <c r="H66" s="2495"/>
      <c r="I66" s="138"/>
      <c r="J66" s="3144"/>
      <c r="K66" s="2497" t="s">
        <v>2247</v>
      </c>
      <c r="L66" s="1751">
        <f ca="1">M49*0.5%</f>
        <v>2.12</v>
      </c>
      <c r="M66" s="24">
        <f ca="1">IF(L66&gt;0.5,0.5,ROUND(L66,0))</f>
        <v>0.5</v>
      </c>
      <c r="N66" s="138" t="s">
        <v>2248</v>
      </c>
      <c r="Z66" s="2421"/>
      <c r="AI66" s="2422"/>
    </row>
    <row r="67" spans="1:35" ht="14.25" customHeight="1">
      <c r="A67" s="203" t="s">
        <v>773</v>
      </c>
      <c r="B67" s="204" t="s">
        <v>2249</v>
      </c>
      <c r="C67" s="207">
        <f ca="1">C63-C66</f>
        <v>404</v>
      </c>
      <c r="D67" s="200" t="s">
        <v>32</v>
      </c>
      <c r="E67" s="201"/>
      <c r="F67" s="2487"/>
      <c r="G67" s="2487"/>
      <c r="H67" s="2495"/>
      <c r="I67" s="138"/>
      <c r="J67" s="3144"/>
      <c r="K67" s="2497" t="s">
        <v>2250</v>
      </c>
      <c r="L67" s="1751">
        <f ca="1">IF(M49&gt;=10000,(8.25+(M49-10000)*0.01%),IF(AND(M49&gt;=8000,M49&lt;10000),(7.85+(M49-8000)*0.02%),IF(AND(M49&gt;=5000,M49&lt;8000),(6.65+(M49-5000)*0.04%),IF(AND(M49&gt;=2000,M49&lt;5000),(4.25+(PM49-2000)*0.08%),IF(AND(M49&gt;=1000,M49&lt;2000),(2.75+(M49-1000)*0.15%),IF(AND(M49&gt;=100,M49&lt;1000),(0.5+(M49-100)*0.25%),IF(AND(M49&gt;0,M49&lt;100),M49*0.5%)))))))</f>
        <v>1.31</v>
      </c>
      <c r="M67" s="24">
        <f ca="1">ROUND(L67*0.9,1)</f>
        <v>1.2</v>
      </c>
      <c r="Z67" s="2421"/>
      <c r="AI67" s="2422"/>
    </row>
    <row r="68" spans="1:35" ht="14.25" customHeight="1" thickBot="1">
      <c r="A68" s="208" t="s">
        <v>774</v>
      </c>
      <c r="B68" s="209" t="s">
        <v>2251</v>
      </c>
      <c r="C68" s="210">
        <f ca="1">IF(C67&lt;=0,0,ROUND(C67*D68,0))</f>
        <v>23</v>
      </c>
      <c r="D68" s="211">
        <f>'数据-取费表'!B41</f>
        <v>5.6000000000000001E-2</v>
      </c>
      <c r="E68" s="212"/>
      <c r="F68" s="2487"/>
      <c r="G68" s="2487"/>
      <c r="H68" s="2495"/>
      <c r="I68" s="138"/>
      <c r="J68" s="3144"/>
      <c r="K68" s="2497" t="s">
        <v>2252</v>
      </c>
      <c r="L68" s="1751">
        <f ca="1">IF(M49&gt;10000,M49*0.5%,IF(AND(M49&gt;5000,M49&lt;=10000),M49*1%,IF(AND(M49&gt;1000,M49&lt;=5000),M49*2%,IF(AND(M49&gt;200,M49&lt;=1000),M49*3%,M49*5%))))</f>
        <v>12.719999999999999</v>
      </c>
      <c r="M68" s="24">
        <f ca="1">ROUND(L68,1)</f>
        <v>12.7</v>
      </c>
      <c r="Z68" s="2421"/>
      <c r="AI68" s="2422"/>
    </row>
    <row r="69" spans="1:35" s="2444" customFormat="1" ht="16.5" customHeight="1">
      <c r="A69" s="2498"/>
      <c r="B69" s="2499"/>
      <c r="C69" s="2500"/>
      <c r="D69" s="2501"/>
      <c r="E69" s="2502"/>
      <c r="F69" s="2163"/>
      <c r="G69" s="2163"/>
      <c r="H69" s="2162"/>
      <c r="I69" s="2416"/>
      <c r="J69" s="3144"/>
      <c r="K69" s="2497" t="s">
        <v>2253</v>
      </c>
      <c r="L69" s="2503"/>
      <c r="M69" s="24">
        <f ca="1">ROUND(SUM(M63:M68),0)</f>
        <v>35</v>
      </c>
      <c r="N69" s="1752">
        <f ca="1">M69/M49</f>
        <v>8.254716981132075E-2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88" t="s">
        <v>2254</v>
      </c>
      <c r="B70" s="3189"/>
      <c r="C70" s="3189"/>
      <c r="D70" s="3189"/>
      <c r="E70" s="3189"/>
      <c r="F70" s="3189"/>
      <c r="G70" s="3189"/>
      <c r="H70" s="3189"/>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79" t="s">
        <v>2235</v>
      </c>
      <c r="B71" s="3180"/>
      <c r="C71" s="1803"/>
      <c r="D71" s="1803"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404</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2</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85" t="s">
        <v>2263</v>
      </c>
      <c r="F76" s="3184"/>
      <c r="G76" s="3184"/>
      <c r="H76" s="3187"/>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7" t="str">
        <f>IF(G77="个人买卖住房","免征印花税"," ")</f>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2</v>
      </c>
      <c r="D78" s="226">
        <f>'数据-取费表'!B43</f>
        <v>6.000000000000001E-3</v>
      </c>
      <c r="E78" s="3176" t="s">
        <v>2268</v>
      </c>
      <c r="F78" s="3177"/>
      <c r="G78" s="3177"/>
      <c r="H78" s="3178"/>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402</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201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241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88" t="s">
        <v>2272</v>
      </c>
      <c r="B83" s="3189"/>
      <c r="C83" s="3189"/>
      <c r="D83" s="3189"/>
      <c r="E83" s="3189"/>
      <c r="F83" s="3189"/>
      <c r="G83" s="3189"/>
      <c r="H83" s="3189"/>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79" t="s">
        <v>2235</v>
      </c>
      <c r="B84" s="3180"/>
      <c r="C84" s="1803"/>
      <c r="D84" s="1803"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404</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2</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9"/>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76" t="s">
        <v>2281</v>
      </c>
      <c r="F91" s="3177"/>
      <c r="G91" s="3177"/>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76" t="s">
        <v>2285</v>
      </c>
      <c r="F92" s="3177"/>
      <c r="G92" s="3177"/>
      <c r="H92" s="3178"/>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2</v>
      </c>
      <c r="D93" s="226">
        <f>'数据-取费表'!B43</f>
        <v>6.000000000000001E-3</v>
      </c>
      <c r="E93" s="3176" t="s">
        <v>2268</v>
      </c>
      <c r="F93" s="3177"/>
      <c r="G93" s="3177"/>
      <c r="H93" s="3178"/>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224" t="s">
        <v>2289</v>
      </c>
      <c r="F94" s="3225"/>
      <c r="G94" s="3225"/>
      <c r="H94" s="322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402</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201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241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2290</v>
      </c>
      <c r="B99" s="2416"/>
      <c r="C99" s="2416"/>
      <c r="D99" s="2416"/>
      <c r="E99" s="2163"/>
      <c r="F99" s="2163"/>
      <c r="G99" s="2163"/>
      <c r="H99" s="2162"/>
      <c r="I99" s="138"/>
    </row>
    <row r="100" spans="1:35" ht="18.75" customHeight="1">
      <c r="A100" s="3128" t="s">
        <v>2291</v>
      </c>
      <c r="B100" s="3129"/>
      <c r="C100" s="3129"/>
      <c r="D100" s="3160"/>
      <c r="E100" s="3129" t="s">
        <v>2292</v>
      </c>
      <c r="F100" s="3129"/>
      <c r="G100" s="3129"/>
      <c r="H100" s="3160"/>
      <c r="I100" s="138"/>
    </row>
    <row r="101" spans="1:35" ht="18.75" customHeight="1">
      <c r="A101" s="3168" t="s">
        <v>2293</v>
      </c>
      <c r="B101" s="3169"/>
      <c r="C101" s="735" t="str">
        <f>C4</f>
        <v>收益法</v>
      </c>
      <c r="D101" s="736" t="str">
        <f>D4</f>
        <v>比较法-商业</v>
      </c>
      <c r="E101" s="3140" t="s">
        <v>2294</v>
      </c>
      <c r="F101" s="3141"/>
      <c r="G101" s="2518" t="s">
        <v>2295</v>
      </c>
      <c r="H101" s="1047">
        <f ca="1">H118</f>
        <v>424</v>
      </c>
      <c r="I101" s="138"/>
    </row>
    <row r="102" spans="1:35" ht="18.75" customHeight="1">
      <c r="A102" s="3170" t="s">
        <v>2296</v>
      </c>
      <c r="B102" s="2518" t="s">
        <v>2295</v>
      </c>
      <c r="C102" s="735">
        <f ca="1">C19</f>
        <v>387</v>
      </c>
      <c r="D102" s="736">
        <f ca="1">D19</f>
        <v>461</v>
      </c>
      <c r="E102" s="3140"/>
      <c r="F102" s="3141"/>
      <c r="G102" s="2518" t="s">
        <v>2297</v>
      </c>
      <c r="H102" s="371">
        <f ca="1">I118</f>
        <v>30471</v>
      </c>
      <c r="I102" s="138"/>
    </row>
    <row r="103" spans="1:35" ht="42.75" customHeight="1">
      <c r="A103" s="3170"/>
      <c r="B103" s="2518" t="s">
        <v>2297</v>
      </c>
      <c r="C103" s="737">
        <f ca="1">C20</f>
        <v>27812</v>
      </c>
      <c r="D103" s="738">
        <f ca="1">D20</f>
        <v>33103</v>
      </c>
      <c r="E103" s="3134" t="s">
        <v>2298</v>
      </c>
      <c r="F103" s="3135"/>
      <c r="G103" s="2519" t="s">
        <v>2299</v>
      </c>
      <c r="H103" s="1047">
        <f>IF(D36="正常操作",H104+H105+H106,H105+H106)</f>
        <v>0</v>
      </c>
      <c r="I103" s="138"/>
    </row>
    <row r="104" spans="1:35" ht="18.75" customHeight="1">
      <c r="A104" s="3170" t="s">
        <v>2300</v>
      </c>
      <c r="B104" s="2520" t="s">
        <v>2295</v>
      </c>
      <c r="C104" s="739">
        <f ca="1">H118</f>
        <v>424</v>
      </c>
      <c r="D104" s="740"/>
      <c r="E104" s="2264" t="s">
        <v>2301</v>
      </c>
      <c r="F104" s="2255"/>
      <c r="G104" s="2519" t="s">
        <v>2299</v>
      </c>
      <c r="H104" s="1048">
        <f>IF(D36="同一抵押权人同一抵押物续贷",C36&amp;"（未扣减，详见特别提示）",C36)</f>
        <v>0</v>
      </c>
      <c r="I104" s="138"/>
    </row>
    <row r="105" spans="1:35" ht="18.75" customHeight="1" thickBot="1">
      <c r="A105" s="3182"/>
      <c r="B105" s="2521" t="s">
        <v>2297</v>
      </c>
      <c r="C105" s="741">
        <f ca="1">I118</f>
        <v>30471</v>
      </c>
      <c r="D105" s="742"/>
      <c r="E105" s="2264" t="s">
        <v>2302</v>
      </c>
      <c r="F105" s="2255"/>
      <c r="G105" s="2519" t="s">
        <v>2299</v>
      </c>
      <c r="H105" s="1048">
        <f>C37</f>
        <v>0</v>
      </c>
      <c r="I105" s="138"/>
    </row>
    <row r="106" spans="1:35" ht="18.75" customHeight="1">
      <c r="A106" s="2416" t="s">
        <v>2303</v>
      </c>
      <c r="B106" s="2416"/>
      <c r="C106" s="2416"/>
      <c r="D106" s="2416"/>
      <c r="E106" s="2522" t="s">
        <v>2304</v>
      </c>
      <c r="F106" s="2255"/>
      <c r="G106" s="2519" t="s">
        <v>2299</v>
      </c>
      <c r="H106" s="1048">
        <f>C38</f>
        <v>0</v>
      </c>
      <c r="I106" s="138"/>
    </row>
    <row r="107" spans="1:35" ht="18.75" customHeight="1">
      <c r="A107" s="138"/>
      <c r="B107" s="138"/>
      <c r="C107" s="138"/>
      <c r="D107" s="138"/>
      <c r="E107" s="3171" t="str">
        <f>IF(项目基本情况!E8="已注销","——","3.房地产抵押价值")</f>
        <v>3.房地产抵押价值</v>
      </c>
      <c r="F107" s="3141"/>
      <c r="G107" s="2518" t="s">
        <v>2295</v>
      </c>
      <c r="H107" s="1047">
        <f ca="1">IF(E107="——","——",H101-H103)</f>
        <v>424</v>
      </c>
      <c r="I107" s="138"/>
    </row>
    <row r="108" spans="1:35" ht="18.75" customHeight="1">
      <c r="A108" s="138"/>
      <c r="B108" s="138"/>
      <c r="C108" s="138"/>
      <c r="D108" s="138"/>
      <c r="E108" s="3171"/>
      <c r="F108" s="3141"/>
      <c r="G108" s="2518" t="s">
        <v>2297</v>
      </c>
      <c r="H108" s="371">
        <f ca="1">ROUND(H107*10000/'数据-汇总表'!E3,0)</f>
        <v>319</v>
      </c>
      <c r="I108" s="138"/>
    </row>
    <row r="109" spans="1:35" ht="18.75" customHeight="1">
      <c r="A109" s="138"/>
      <c r="B109" s="138"/>
      <c r="C109" s="138"/>
      <c r="D109" s="138"/>
      <c r="E109" s="3171" t="str">
        <f>IF(项目基本情况!E8="已注销及未注销","4.抵押担保权已注销时的房地产抵押价值",IF(项目基本情况!E8="已注销","3.抵押担保权已注销时的房地产抵押价值","——"))</f>
        <v>——</v>
      </c>
      <c r="F109" s="3141"/>
      <c r="G109" s="2518" t="s">
        <v>2295</v>
      </c>
      <c r="H109" s="348" t="str">
        <f>IF(E109="——","——",H101-H105-H106)</f>
        <v>——</v>
      </c>
      <c r="I109" s="138"/>
    </row>
    <row r="110" spans="1:35" ht="18.75" customHeight="1">
      <c r="A110" s="138"/>
      <c r="B110" s="138"/>
      <c r="C110" s="138"/>
      <c r="D110" s="138"/>
      <c r="E110" s="3171"/>
      <c r="F110" s="3141"/>
      <c r="G110" s="2518" t="s">
        <v>2297</v>
      </c>
      <c r="H110" s="371" t="str">
        <f>IF(H109="——","——",ROUND(H109*10000/'数据-汇总表'!E3,0))</f>
        <v>——</v>
      </c>
      <c r="I110" s="138"/>
    </row>
    <row r="111" spans="1:35" ht="18.75" customHeight="1">
      <c r="A111" s="138"/>
      <c r="B111" s="138"/>
      <c r="C111" s="138"/>
      <c r="D111" s="138"/>
      <c r="E111" s="3172" t="str">
        <f>IF(项目基本情况!E9="抵押净值",IF(OR(项目基本情况!E8="已注销",项目基本情况!E8="房地产抵押价值"),"4.抵押净值","5.抵押净值"),"——")</f>
        <v>——</v>
      </c>
      <c r="F111" s="3173"/>
      <c r="G111" s="2518" t="s">
        <v>2295</v>
      </c>
      <c r="H111" s="1047" t="str">
        <f>IF(E111="——","——",N59)</f>
        <v>——</v>
      </c>
      <c r="I111" s="138"/>
    </row>
    <row r="112" spans="1:35" ht="18.75" customHeight="1" thickBot="1">
      <c r="A112" s="138"/>
      <c r="B112" s="138"/>
      <c r="C112" s="138"/>
      <c r="D112" s="138"/>
      <c r="E112" s="3174"/>
      <c r="F112" s="3175"/>
      <c r="G112" s="2523" t="s">
        <v>2297</v>
      </c>
      <c r="H112" s="789" t="str">
        <f>IF(E111="——","——",N61)</f>
        <v>——</v>
      </c>
      <c r="I112" s="138"/>
    </row>
    <row r="113" spans="1:11" ht="18.75" customHeight="1">
      <c r="A113" s="138"/>
      <c r="B113" s="138"/>
      <c r="C113" s="138"/>
      <c r="D113" s="138"/>
      <c r="E113" s="3183" t="s">
        <v>2303</v>
      </c>
      <c r="F113" s="3183"/>
      <c r="G113" s="3183"/>
      <c r="H113" s="3183"/>
      <c r="I113" s="138"/>
    </row>
    <row r="114" spans="1:11" ht="3.75" customHeight="1">
      <c r="A114" s="2416"/>
      <c r="B114" s="2416"/>
      <c r="C114" s="2416"/>
      <c r="D114" s="2416"/>
      <c r="E114" s="2494"/>
      <c r="F114" s="2494"/>
      <c r="G114" s="2494"/>
      <c r="H114" s="2494"/>
      <c r="I114" s="2416"/>
    </row>
    <row r="115" spans="1:11" ht="18.75" customHeight="1">
      <c r="A115" s="3196" t="s">
        <v>2305</v>
      </c>
      <c r="B115" s="3197"/>
      <c r="C115" s="3197"/>
      <c r="D115" s="3197"/>
      <c r="E115" s="3197"/>
      <c r="F115" s="3197"/>
      <c r="G115" s="3197"/>
      <c r="H115" s="3197"/>
      <c r="I115" s="3198"/>
    </row>
    <row r="116" spans="1:11" ht="27" customHeight="1">
      <c r="A116" s="3107" t="s">
        <v>2306</v>
      </c>
      <c r="B116" s="3150" t="s">
        <v>2307</v>
      </c>
      <c r="C116" s="3150" t="s">
        <v>2308</v>
      </c>
      <c r="D116" s="3156" t="s">
        <v>2309</v>
      </c>
      <c r="E116" s="3157"/>
      <c r="F116" s="3192" t="s">
        <v>2310</v>
      </c>
      <c r="G116" s="3192"/>
      <c r="H116" s="3107" t="s">
        <v>2311</v>
      </c>
      <c r="I116" s="3107"/>
    </row>
    <row r="117" spans="1:11" ht="18.75" customHeight="1">
      <c r="A117" s="3107"/>
      <c r="B117" s="3151"/>
      <c r="C117" s="3151"/>
      <c r="D117" s="1797" t="s">
        <v>2312</v>
      </c>
      <c r="E117" s="1797" t="s">
        <v>2313</v>
      </c>
      <c r="F117" s="1797" t="s">
        <v>2312</v>
      </c>
      <c r="G117" s="1797" t="s">
        <v>2314</v>
      </c>
      <c r="H117" s="1797" t="s">
        <v>2312</v>
      </c>
      <c r="I117" s="1797" t="s">
        <v>2314</v>
      </c>
    </row>
    <row r="118" spans="1:11" ht="24.75" customHeight="1">
      <c r="A118" s="2524" t="str">
        <f>项目基本情况!S2</f>
        <v>湖北省武汉市房地产</v>
      </c>
      <c r="B118" s="1797">
        <f>M18</f>
        <v>139.15</v>
      </c>
      <c r="C118" s="1797">
        <f>M19</f>
        <v>45.61</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424</v>
      </c>
      <c r="I118" s="1797">
        <f ca="1">ROUND(IF(D32="楼面单价",C32,H118*10000/B118),0)</f>
        <v>30471</v>
      </c>
    </row>
    <row r="119" spans="1:11" ht="18.75" customHeight="1">
      <c r="A119" s="3107" t="s">
        <v>2315</v>
      </c>
      <c r="B119" s="3107"/>
      <c r="C119" s="3107"/>
      <c r="D119" s="3152" t="e">
        <f ca="1">NUMBERSTRING(INT(D118*10000),2)&amp;"元整"</f>
        <v>#REF!</v>
      </c>
      <c r="E119" s="3153"/>
      <c r="F119" s="3152" t="e">
        <f ca="1">NUMBERSTRING(INT(F118*10000),2)&amp;"元整"</f>
        <v>#REF!</v>
      </c>
      <c r="G119" s="3153"/>
      <c r="H119" s="3152" t="str">
        <f ca="1">NUMBERSTRING(INT(H118*10000),2)&amp;"元整"</f>
        <v>肆佰贰拾肆万元整</v>
      </c>
      <c r="I119" s="3153"/>
    </row>
    <row r="120" spans="1:11" ht="18.75" customHeight="1">
      <c r="A120" s="3147" t="str">
        <f>IF(项目基本情况!B9="房地产市场价值","",MID(E103,3,LEN(E103)-2))</f>
        <v>估价师知悉的法定优先受偿款</v>
      </c>
      <c r="B120" s="3148"/>
      <c r="C120" s="3149"/>
      <c r="D120" s="3147">
        <f>H103</f>
        <v>0</v>
      </c>
      <c r="E120" s="3148"/>
      <c r="F120" s="3148"/>
      <c r="G120" s="3148"/>
      <c r="H120" s="3148"/>
      <c r="I120" s="3149"/>
      <c r="K120" s="2421" t="str">
        <f>IF(D120=0,"故，本次评估不存在"&amp;A120,"故，本次评估"&amp;A120&amp;"为人民币"&amp;D120&amp;"万元整。")</f>
        <v>故，本次评估不存在估价师知悉的法定优先受偿款</v>
      </c>
    </row>
    <row r="121" spans="1:11" ht="18.75" customHeight="1">
      <c r="A121" s="3193" t="s">
        <v>2315</v>
      </c>
      <c r="B121" s="3194"/>
      <c r="C121" s="3195"/>
      <c r="D121" s="3152" t="str">
        <f>IF(D120=0,"零元整",NUMBERSTRING(INT(D120*10000),2)&amp;"元整")</f>
        <v>零元整</v>
      </c>
      <c r="E121" s="3154"/>
      <c r="F121" s="3154"/>
      <c r="G121" s="3154"/>
      <c r="H121" s="3154"/>
      <c r="I121" s="3153"/>
    </row>
    <row r="122" spans="1:11" ht="18.75" customHeight="1">
      <c r="A122" s="3158" t="str">
        <f>IF(项目基本情况!B9="房地产市场价值","",MID(E107,3,LEN(E107)-2))</f>
        <v>房地产抵押价值</v>
      </c>
      <c r="B122" s="3158"/>
      <c r="C122" s="3158"/>
      <c r="D122" s="3147">
        <f ca="1">H107</f>
        <v>424</v>
      </c>
      <c r="E122" s="3148"/>
      <c r="F122" s="3148"/>
      <c r="G122" s="3148"/>
      <c r="H122" s="3148"/>
      <c r="I122" s="3149"/>
    </row>
    <row r="123" spans="1:11" ht="18.75" customHeight="1">
      <c r="A123" s="3107" t="s">
        <v>2315</v>
      </c>
      <c r="B123" s="3107"/>
      <c r="C123" s="3107"/>
      <c r="D123" s="3152" t="str">
        <f ca="1">NUMBERSTRING(INT(D122*10000),2)&amp;"元整"</f>
        <v>肆佰贰拾肆万元整</v>
      </c>
      <c r="E123" s="3154"/>
      <c r="F123" s="3154"/>
      <c r="G123" s="3154"/>
      <c r="H123" s="3154"/>
      <c r="I123" s="3153"/>
    </row>
    <row r="124" spans="1:11" ht="18.75" customHeight="1">
      <c r="A124" s="3158" t="str">
        <f>IF(项目基本情况!B9="房地产市场价值","",MID(E109,3,LEN(E109)-2))</f>
        <v/>
      </c>
      <c r="B124" s="3158"/>
      <c r="C124" s="3158"/>
      <c r="D124" s="3147" t="str">
        <f>H109</f>
        <v>——</v>
      </c>
      <c r="E124" s="3148"/>
      <c r="F124" s="3148"/>
      <c r="G124" s="3148"/>
      <c r="H124" s="3148"/>
      <c r="I124" s="3149"/>
    </row>
    <row r="125" spans="1:11" ht="18.75" customHeight="1">
      <c r="A125" s="3107" t="s">
        <v>2315</v>
      </c>
      <c r="B125" s="3107"/>
      <c r="C125" s="3107"/>
      <c r="D125" s="3152" t="e">
        <f>NUMBERSTRING(INT(D124*10000),2)&amp;"元整"</f>
        <v>#VALUE!</v>
      </c>
      <c r="E125" s="3154"/>
      <c r="F125" s="3154"/>
      <c r="G125" s="3154"/>
      <c r="H125" s="3154"/>
      <c r="I125" s="3153"/>
    </row>
    <row r="126" spans="1:11" ht="18.75" customHeight="1">
      <c r="A126" s="3158" t="str">
        <f>IF(项目基本情况!B9="房地产市场价值","",MID(E111,3,LEN(E111)-2))</f>
        <v/>
      </c>
      <c r="B126" s="3158"/>
      <c r="C126" s="3158"/>
      <c r="D126" s="3147" t="str">
        <f>H111</f>
        <v>——</v>
      </c>
      <c r="E126" s="3148"/>
      <c r="F126" s="3148"/>
      <c r="G126" s="3148"/>
      <c r="H126" s="3148"/>
      <c r="I126" s="3149"/>
    </row>
    <row r="127" spans="1:11" ht="18.75" customHeight="1">
      <c r="A127" s="3107" t="s">
        <v>2315</v>
      </c>
      <c r="B127" s="3107"/>
      <c r="C127" s="3107"/>
      <c r="D127" s="3152" t="e">
        <f>NUMBERSTRING(INT(D126*10000),2)&amp;"元整"</f>
        <v>#VALUE!</v>
      </c>
      <c r="E127" s="3154"/>
      <c r="F127" s="3154"/>
      <c r="G127" s="3154"/>
      <c r="H127" s="3154"/>
      <c r="I127" s="3153"/>
    </row>
    <row r="128" spans="1:11" ht="21.75" customHeight="1">
      <c r="A128" s="3155" t="s">
        <v>2316</v>
      </c>
      <c r="B128" s="3155"/>
      <c r="C128" s="3155"/>
      <c r="D128" s="3155"/>
      <c r="E128" s="3155"/>
      <c r="F128" s="3155"/>
      <c r="G128" s="3155"/>
      <c r="H128" s="3155"/>
      <c r="I128" s="3155"/>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2319</v>
      </c>
      <c r="G135" s="2542"/>
      <c r="H135" s="2542"/>
      <c r="I135" s="2543" t="s">
        <v>2320</v>
      </c>
    </row>
    <row r="136" spans="1:35" ht="21.75" customHeight="1">
      <c r="A136" s="794"/>
      <c r="B136" s="2544"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2322</v>
      </c>
    </row>
    <row r="139" spans="1:35" ht="21.75" customHeight="1">
      <c r="A139" s="794"/>
      <c r="B139" s="2544" t="s">
        <v>2323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2322</v>
      </c>
    </row>
    <row r="142" spans="1:35" ht="21.75" customHeight="1">
      <c r="A142" s="794"/>
      <c r="B142" s="2544"/>
      <c r="C142" s="2545"/>
      <c r="D142" s="2546"/>
      <c r="E142" s="2546"/>
      <c r="F142" s="2338"/>
      <c r="G142" s="794"/>
      <c r="H142" s="794"/>
      <c r="I142" s="794"/>
    </row>
    <row r="143" spans="1:35" s="139"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c r="C1" s="242"/>
      <c r="D1" s="242"/>
      <c r="E1" s="242"/>
      <c r="F1" s="242"/>
      <c r="G1" s="1381">
        <f>MATCH(B1,'数据-取费表'!A6:A16,0)+5</f>
        <v>8</v>
      </c>
    </row>
    <row r="2" spans="1:9" s="244" customFormat="1" ht="18" customHeight="1">
      <c r="A2" s="245" t="s">
        <v>2325</v>
      </c>
      <c r="B2" s="246">
        <f ca="1">IF(D2="——",C52,C52-E2)</f>
        <v>6785</v>
      </c>
      <c r="C2" s="243" t="s">
        <v>2326</v>
      </c>
      <c r="D2" s="2547" t="s">
        <v>70</v>
      </c>
      <c r="E2" s="1442"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5099</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1" t="s">
        <v>2335</v>
      </c>
      <c r="B6" s="259" t="s">
        <v>2336</v>
      </c>
      <c r="C6" s="260"/>
      <c r="D6" s="261"/>
      <c r="E6" s="262"/>
      <c r="F6" s="262"/>
      <c r="G6" s="263"/>
    </row>
    <row r="7" spans="1:9" s="258" customFormat="1" ht="13.5" customHeight="1">
      <c r="A7" s="951" t="s">
        <v>2337</v>
      </c>
      <c r="B7" s="259" t="s">
        <v>2338</v>
      </c>
      <c r="C7" s="264">
        <f>ROUND(C6*F7,0)</f>
        <v>0</v>
      </c>
      <c r="D7" s="264"/>
      <c r="E7" s="262"/>
      <c r="F7" s="265">
        <f>'数据-取费表'!B48+'数据-取费表'!B49</f>
        <v>3.0499999999999999E-2</v>
      </c>
      <c r="G7" s="263"/>
    </row>
    <row r="8" spans="1:9" s="267" customFormat="1">
      <c r="A8" s="951" t="s">
        <v>2339</v>
      </c>
      <c r="B8" s="259" t="s">
        <v>2340</v>
      </c>
      <c r="C8" s="264">
        <f>IF(G8="已包含在土地购买价格中","0",IF(B1="",'数据-取费表'!B29,IF(G9="全部缴纳",C9+C10,H9)))</f>
        <v>0</v>
      </c>
      <c r="D8" s="266"/>
      <c r="E8" s="264"/>
      <c r="F8" s="265"/>
      <c r="G8" s="2550"/>
    </row>
    <row r="9" spans="1:9" s="258" customFormat="1" ht="13.5" customHeight="1">
      <c r="A9" s="952" t="s">
        <v>800</v>
      </c>
      <c r="B9" s="268" t="s">
        <v>2341</v>
      </c>
      <c r="C9" s="269">
        <f ca="1">ROUND(D9*E9/10000,0)</f>
        <v>0</v>
      </c>
      <c r="D9" s="1034">
        <f ca="1">IF(B1="",'数据-汇总表'!E5,IF(INDIRECT("'数据-取费表'!c"&amp;$G$1)="住宅",INDIRECT("'数据-取费表'!k"&amp;$G$1),0))</f>
        <v>0</v>
      </c>
      <c r="E9" s="269">
        <f>'数据-取费表'!B27</f>
        <v>120</v>
      </c>
      <c r="F9" s="265"/>
      <c r="G9" s="2551"/>
      <c r="H9" s="1392"/>
      <c r="I9" s="2552" t="s">
        <v>2342</v>
      </c>
    </row>
    <row r="10" spans="1:9" s="258" customFormat="1" ht="13.5" customHeight="1">
      <c r="A10" s="952" t="s">
        <v>801</v>
      </c>
      <c r="B10" s="268" t="s">
        <v>2343</v>
      </c>
      <c r="C10" s="269">
        <f ca="1">ROUND(D10*E10/10000,0)</f>
        <v>160</v>
      </c>
      <c r="D10" s="1034">
        <f ca="1">IF(B1="",'数据-汇总表'!E6,IF(INDIRECT("'数据-取费表'!c"&amp;$G$1)="住宅",INDIRECT("'数据-取费表'!s"&amp;$G$1),INDIRECT("'数据-取费表'!k"&amp;$G$1)+INDIRECT("'数据-取费表'!s"&amp;$G$1)))</f>
        <v>13306.869999999999</v>
      </c>
      <c r="E10" s="269">
        <f>'数据-取费表'!B28</f>
        <v>120</v>
      </c>
      <c r="F10" s="265"/>
      <c r="G10" s="270"/>
    </row>
    <row r="11" spans="1:9" s="258" customFormat="1" ht="13.5" hidden="1" customHeight="1">
      <c r="A11" s="271" t="s">
        <v>7</v>
      </c>
      <c r="B11" s="259" t="s">
        <v>2344</v>
      </c>
      <c r="C11" s="255"/>
      <c r="D11" s="1036"/>
      <c r="E11" s="262"/>
      <c r="F11" s="262"/>
      <c r="G11" s="263"/>
    </row>
    <row r="12" spans="1:9" s="258" customFormat="1" ht="13.5" hidden="1" customHeight="1">
      <c r="A12" s="271" t="s">
        <v>8</v>
      </c>
      <c r="B12" s="259" t="s">
        <v>2345</v>
      </c>
      <c r="C12" s="255">
        <v>0</v>
      </c>
      <c r="D12" s="1036"/>
      <c r="E12" s="272"/>
      <c r="F12" s="265">
        <v>3.0499999999999999E-2</v>
      </c>
      <c r="G12" s="263"/>
    </row>
    <row r="13" spans="1:9" s="258" customFormat="1" ht="13.5" hidden="1" customHeight="1">
      <c r="A13" s="271" t="s">
        <v>9</v>
      </c>
      <c r="B13" s="259" t="s">
        <v>2346</v>
      </c>
      <c r="C13" s="255"/>
      <c r="D13" s="1036"/>
      <c r="E13" s="262"/>
      <c r="F13" s="262"/>
      <c r="G13" s="263"/>
    </row>
    <row r="14" spans="1:9" s="258" customFormat="1" ht="13.5" hidden="1" customHeight="1">
      <c r="A14" s="271" t="s">
        <v>10</v>
      </c>
      <c r="B14" s="259" t="s">
        <v>2347</v>
      </c>
      <c r="C14" s="255"/>
      <c r="D14" s="1036"/>
      <c r="E14" s="262"/>
      <c r="F14" s="262"/>
      <c r="G14" s="263" t="s">
        <v>2348</v>
      </c>
    </row>
    <row r="15" spans="1:9" s="258" customFormat="1" ht="13.5" hidden="1" customHeight="1">
      <c r="A15" s="271" t="s">
        <v>11</v>
      </c>
      <c r="B15" s="259" t="s">
        <v>2349</v>
      </c>
      <c r="C15" s="264"/>
      <c r="D15" s="1036"/>
      <c r="E15" s="262"/>
      <c r="F15" s="262"/>
      <c r="G15" s="263" t="s">
        <v>2350</v>
      </c>
    </row>
    <row r="16" spans="1:9" s="258" customFormat="1" ht="13.5" hidden="1" customHeight="1">
      <c r="A16" s="271" t="s">
        <v>12</v>
      </c>
      <c r="B16" s="259" t="s">
        <v>2347</v>
      </c>
      <c r="C16" s="264"/>
      <c r="D16" s="1036"/>
      <c r="E16" s="262"/>
      <c r="F16" s="262"/>
      <c r="G16" s="263"/>
    </row>
    <row r="17" spans="1:7" s="258" customFormat="1" ht="13.5" hidden="1" customHeight="1">
      <c r="A17" s="271" t="s">
        <v>13</v>
      </c>
      <c r="B17" s="259" t="s">
        <v>2351</v>
      </c>
      <c r="C17" s="273"/>
      <c r="D17" s="1037"/>
      <c r="E17" s="273"/>
      <c r="F17" s="273"/>
      <c r="G17" s="263" t="s">
        <v>2350</v>
      </c>
    </row>
    <row r="18" spans="1:7" s="258" customFormat="1" ht="13.5" hidden="1" customHeight="1">
      <c r="A18" s="271" t="s">
        <v>14</v>
      </c>
      <c r="B18" s="259" t="s">
        <v>2352</v>
      </c>
      <c r="C18" s="264">
        <v>0</v>
      </c>
      <c r="D18" s="1036"/>
      <c r="E18" s="262"/>
      <c r="F18" s="265">
        <v>3.0499999999999999E-2</v>
      </c>
      <c r="G18" s="263" t="s">
        <v>2353</v>
      </c>
    </row>
    <row r="19" spans="1:7" s="267" customFormat="1" ht="13.5" customHeight="1">
      <c r="A19" s="299" t="s">
        <v>2354</v>
      </c>
      <c r="B19" s="254" t="s">
        <v>2355</v>
      </c>
      <c r="C19" s="255">
        <f ca="1">IF(G19="已包含在土地取得成本中","0",ROUND(D19*E19/10000,0))</f>
        <v>266</v>
      </c>
      <c r="D19" s="1038">
        <f ca="1">D9+D10</f>
        <v>13306.869999999999</v>
      </c>
      <c r="E19" s="255">
        <f>'数据-取费表'!B31</f>
        <v>200</v>
      </c>
      <c r="F19" s="275"/>
      <c r="G19" s="2550"/>
    </row>
    <row r="20" spans="1:7" s="258" customFormat="1" ht="13.5" customHeight="1">
      <c r="A20" s="299" t="s">
        <v>2356</v>
      </c>
      <c r="B20" s="254" t="s">
        <v>2357</v>
      </c>
      <c r="C20" s="276">
        <f ca="1">ROUND((C5+C19)*F20,0)</f>
        <v>5</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40</v>
      </c>
      <c r="D22" s="279">
        <f ca="1">C26</f>
        <v>1.4E-3</v>
      </c>
      <c r="E22" s="280" t="s">
        <v>2361</v>
      </c>
      <c r="F22" s="281">
        <f ca="1">'数据-取费表'!B40</f>
        <v>4.7500000000000001E-2</v>
      </c>
      <c r="G22" s="278" t="str">
        <f>IF('数据-取费表'!B22&lt;=1,"单利计息","复利计息")</f>
        <v>复利计息</v>
      </c>
    </row>
    <row r="23" spans="1:7" s="258" customFormat="1" ht="13.5" customHeight="1">
      <c r="A23" s="953" t="s">
        <v>2365</v>
      </c>
      <c r="B23" s="259" t="s">
        <v>2366</v>
      </c>
      <c r="C23" s="1357">
        <f ca="1">ROUND(IF('数据-取费表'!B22&lt;=1,C5*F22*'数据-取费表'!B23,C5*(POWER((1+F22),'数据-取费表'!B23)-1)),0)</f>
        <v>0</v>
      </c>
      <c r="D23" s="282"/>
      <c r="E23" s="282"/>
      <c r="F23" s="283"/>
      <c r="G23" s="284" t="s">
        <v>2367</v>
      </c>
    </row>
    <row r="24" spans="1:7" s="258" customFormat="1" ht="13.5" customHeight="1">
      <c r="A24" s="953" t="s">
        <v>2368</v>
      </c>
      <c r="B24" s="259" t="s">
        <v>2369</v>
      </c>
      <c r="C24" s="1357">
        <f ca="1">ROUND(IF('数据-取费表'!B22&lt;=1,C19*F22*('数据-取费表'!B19/2+'数据-取费表'!B21),C19*(POWER((1+F22),('数据-取费表'!B19/2+'数据-取费表'!B21))-1)),0)</f>
        <v>40</v>
      </c>
      <c r="D24" s="282"/>
      <c r="E24" s="282"/>
      <c r="F24" s="283"/>
      <c r="G24" s="284" t="s">
        <v>2370</v>
      </c>
    </row>
    <row r="25" spans="1:7" s="258" customFormat="1" ht="24">
      <c r="A25" s="953" t="s">
        <v>2371</v>
      </c>
      <c r="B25" s="259" t="s">
        <v>2372</v>
      </c>
      <c r="C25" s="1357">
        <f ca="1">ROUND(IF('数据-取费表'!B22&lt;=1,C20*F22*'数据-取费表'!B23/2,C20*(POWER((1+F22),'数据-取费表'!B23/2)-1)),0)</f>
        <v>0</v>
      </c>
      <c r="D25" s="282"/>
      <c r="E25" s="285"/>
      <c r="F25" s="283"/>
      <c r="G25" s="286" t="s">
        <v>2373</v>
      </c>
    </row>
    <row r="26" spans="1:7" s="258" customFormat="1">
      <c r="A26" s="953" t="s">
        <v>795</v>
      </c>
      <c r="B26" s="259" t="s">
        <v>2374</v>
      </c>
      <c r="C26" s="282">
        <f ca="1">ROUND(IF('数据-取费表'!B22&lt;=1,F21*F22*'数据-取费表'!B23/2,F21*(POWER((1+F22),'数据-取费表'!B23/2)-1)),4)</f>
        <v>1.4E-3</v>
      </c>
      <c r="D26" s="282"/>
      <c r="E26" s="285"/>
      <c r="F26" s="283"/>
      <c r="G26" s="287"/>
    </row>
    <row r="27" spans="1:7" s="258" customFormat="1" ht="24.75">
      <c r="A27" s="299" t="s">
        <v>2375</v>
      </c>
      <c r="B27" s="288" t="s">
        <v>2376</v>
      </c>
      <c r="C27" s="289">
        <f ca="1">C28</f>
        <v>68</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ROUND((C5+C19+C20)*F27*'数据-取费表'!B21/'数据-取费表'!B20,0)</f>
        <v>68</v>
      </c>
      <c r="D28" s="279"/>
      <c r="E28" s="280"/>
      <c r="F28" s="290"/>
      <c r="G28" s="291"/>
    </row>
    <row r="29" spans="1:7" s="258" customFormat="1" ht="13.5" customHeight="1">
      <c r="A29" s="953"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412</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4438</v>
      </c>
      <c r="D33" s="276"/>
      <c r="E33" s="256"/>
      <c r="F33" s="285"/>
      <c r="G33" s="278"/>
    </row>
    <row r="34" spans="1:7" s="302" customFormat="1" ht="13.5" customHeight="1">
      <c r="A34" s="953" t="s">
        <v>791</v>
      </c>
      <c r="B34" s="259" t="s">
        <v>2388</v>
      </c>
      <c r="C34" s="264">
        <f ca="1">IF(B1="",IF(F34=100%,'数据-取费表'!M16,'数据-取费表'!O16),IF(F34=100%,INDIRECT("'数据-取费表'!m"&amp;$G$1)+INDIRECT("'数据-取费表'!t"&amp;$G$1),INDIRECT("'数据-取费表'!o"&amp;$G$1)+INDIRECT("'数据-取费表'!aq"&amp;$G$1)))</f>
        <v>3992</v>
      </c>
      <c r="D34" s="261"/>
      <c r="E34" s="264"/>
      <c r="F34" s="301">
        <f ca="1">IF('数据-取费表'!B24=0,1,IF(B1="",'数据-取费表'!N16,INDIRECT("'数据-取费表'!n"&amp;$G$1)))</f>
        <v>1</v>
      </c>
      <c r="G34" s="263" t="s">
        <v>2389</v>
      </c>
    </row>
    <row r="35" spans="1:7" ht="13.5" customHeight="1">
      <c r="A35" s="953" t="s">
        <v>796</v>
      </c>
      <c r="B35" s="259" t="s">
        <v>2390</v>
      </c>
      <c r="C35" s="264">
        <f ca="1">ROUND(C34*F35,0)</f>
        <v>120</v>
      </c>
      <c r="D35" s="264"/>
      <c r="E35" s="264"/>
      <c r="F35" s="303">
        <f>'数据-取费表'!B33</f>
        <v>0.03</v>
      </c>
      <c r="G35" s="263" t="s">
        <v>2391</v>
      </c>
    </row>
    <row r="36" spans="1:7" ht="24">
      <c r="A36" s="953"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3" t="s">
        <v>798</v>
      </c>
      <c r="B37" s="259" t="s">
        <v>2394</v>
      </c>
      <c r="C37" s="293">
        <f ca="1">ROUND(E37*D37*F34/10000,0)</f>
        <v>266</v>
      </c>
      <c r="D37" s="261">
        <f ca="1">D19</f>
        <v>13306.869999999999</v>
      </c>
      <c r="E37" s="293">
        <f>'数据-取费表'!B35</f>
        <v>200</v>
      </c>
      <c r="F37" s="303"/>
      <c r="G37" s="305" t="s">
        <v>2395</v>
      </c>
    </row>
    <row r="38" spans="1:7" ht="13.5" customHeight="1">
      <c r="A38" s="953" t="s">
        <v>799</v>
      </c>
      <c r="B38" s="259" t="s">
        <v>2396</v>
      </c>
      <c r="C38" s="264">
        <f ca="1">ROUND(C34*F38,0)</f>
        <v>60</v>
      </c>
      <c r="D38" s="264"/>
      <c r="E38" s="264"/>
      <c r="F38" s="303">
        <f>'数据-取费表'!B36</f>
        <v>1.4999999999999999E-2</v>
      </c>
      <c r="G38" s="263" t="s">
        <v>2391</v>
      </c>
    </row>
    <row r="39" spans="1:7" s="258" customFormat="1" ht="13.5" customHeight="1">
      <c r="A39" s="299" t="s">
        <v>2397</v>
      </c>
      <c r="B39" s="254" t="s">
        <v>2398</v>
      </c>
      <c r="C39" s="276">
        <f ca="1">ROUND(C33*F20,0)</f>
        <v>89</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326</v>
      </c>
      <c r="D41" s="279">
        <f ca="1">C44</f>
        <v>1.4E-3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ROUND(IF('数据-取费表'!B22&lt;=1,C33*F22*'数据-取费表'!B21/2,C33*(POWER((1+F22),'数据-取费表'!B21/2)-1)),0)</f>
        <v>320</v>
      </c>
      <c r="D42" s="282"/>
      <c r="E42" s="282"/>
      <c r="F42" s="283"/>
      <c r="G42" s="3227" t="s">
        <v>2407</v>
      </c>
    </row>
    <row r="43" spans="1:7" ht="13.5" customHeight="1">
      <c r="A43" s="953" t="s">
        <v>792</v>
      </c>
      <c r="B43" s="259" t="s">
        <v>2408</v>
      </c>
      <c r="C43" s="282">
        <f ca="1">ROUND(IF('数据-取费表'!B22&lt;=1,C39*F22*'数据-取费表'!B21/2,C39*(POWER((1+F22),'数据-取费表'!B21/2)-1)),0)</f>
        <v>6</v>
      </c>
      <c r="D43" s="282"/>
      <c r="E43" s="282"/>
      <c r="F43" s="283"/>
      <c r="G43" s="3228"/>
    </row>
    <row r="44" spans="1:7" ht="13.5" customHeight="1">
      <c r="A44" s="953" t="s">
        <v>793</v>
      </c>
      <c r="B44" s="259" t="s">
        <v>2409</v>
      </c>
      <c r="C44" s="282">
        <f ca="1">ROUND(IF('数据-取费表'!B22&lt;=1,C40*F22*'数据-取费表'!B21/2,C40*(POWER((1+F22),'数据-取费表'!B21/2)-1)),4)</f>
        <v>1.4E-3</v>
      </c>
      <c r="D44" s="282"/>
      <c r="E44" s="282"/>
      <c r="F44" s="283"/>
      <c r="G44" s="3229"/>
    </row>
    <row r="45" spans="1:7" s="258" customFormat="1" ht="13.5" customHeight="1">
      <c r="A45" s="299" t="s">
        <v>2410</v>
      </c>
      <c r="B45" s="288" t="s">
        <v>2376</v>
      </c>
      <c r="C45" s="289">
        <f ca="1">C46</f>
        <v>1132</v>
      </c>
      <c r="D45" s="279">
        <f ca="1">C47</f>
        <v>5.0000000000000001E-3</v>
      </c>
      <c r="E45" s="280" t="s">
        <v>2402</v>
      </c>
      <c r="F45" s="290"/>
      <c r="G45" s="291" t="s">
        <v>2411</v>
      </c>
    </row>
    <row r="46" spans="1:7" s="258" customFormat="1" ht="13.5" customHeight="1">
      <c r="A46" s="953" t="s">
        <v>791</v>
      </c>
      <c r="B46" s="292" t="s">
        <v>2412</v>
      </c>
      <c r="C46" s="293">
        <f ca="1">ROUND((C33+C39)*F27,0)</f>
        <v>1132</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1730">
        <f>ROUND(F30/(1+'数据-取费表'!C42),4)</f>
        <v>5.33E-2</v>
      </c>
      <c r="D48" s="280" t="s">
        <v>2402</v>
      </c>
      <c r="E48" s="276"/>
      <c r="F48" s="281"/>
      <c r="G48" s="278" t="s">
        <v>2415</v>
      </c>
    </row>
    <row r="49" spans="1:7" ht="16.5" customHeight="1">
      <c r="A49" s="299" t="s">
        <v>2381</v>
      </c>
      <c r="B49" s="254" t="s">
        <v>2416</v>
      </c>
      <c r="C49" s="276">
        <f ca="1">ROUND((C33+C39+C41+C45)/(1-C40-D41-D45-C48),0)</f>
        <v>6503</v>
      </c>
      <c r="D49" s="276"/>
      <c r="E49" s="276"/>
      <c r="F49" s="308"/>
      <c r="G49" s="278" t="s">
        <v>2417</v>
      </c>
    </row>
    <row r="50" spans="1:7" s="302" customFormat="1" ht="24">
      <c r="A50" s="299" t="s">
        <v>2418</v>
      </c>
      <c r="B50" s="254" t="s">
        <v>2419</v>
      </c>
      <c r="C50" s="276"/>
      <c r="D50" s="276"/>
      <c r="E50" s="276"/>
      <c r="F50" s="308">
        <f>IF('数据-取费表'!B24=0,'数据-取费表'!N16,1)</f>
        <v>0.98</v>
      </c>
      <c r="G50" s="291" t="s">
        <v>2420</v>
      </c>
    </row>
    <row r="51" spans="1:7" ht="16.5" customHeight="1">
      <c r="A51" s="299" t="s">
        <v>2421</v>
      </c>
      <c r="B51" s="254" t="s">
        <v>2422</v>
      </c>
      <c r="C51" s="276">
        <f ca="1">ROUND(C49*F50,0)</f>
        <v>6373</v>
      </c>
      <c r="D51" s="276"/>
      <c r="E51" s="276"/>
      <c r="F51" s="308"/>
      <c r="G51" s="278" t="s">
        <v>2423</v>
      </c>
    </row>
    <row r="52" spans="1:7" s="252" customFormat="1" ht="16.5" thickBot="1">
      <c r="A52" s="309" t="s">
        <v>2424</v>
      </c>
      <c r="B52" s="310"/>
      <c r="C52" s="311">
        <f ca="1">C31+C51</f>
        <v>6785</v>
      </c>
      <c r="D52" s="310"/>
      <c r="E52" s="310"/>
      <c r="F52" s="310"/>
      <c r="G52" s="312"/>
    </row>
    <row r="55" spans="1:7" ht="15">
      <c r="B55" s="314" t="s">
        <v>2425</v>
      </c>
      <c r="C55" s="315"/>
    </row>
    <row r="56" spans="1:7">
      <c r="B56" s="317" t="s">
        <v>1513</v>
      </c>
      <c r="C56" s="319">
        <f ca="1">1-C57</f>
        <v>6.1000000000000054E-2</v>
      </c>
    </row>
    <row r="57" spans="1:7">
      <c r="B57" s="317" t="s">
        <v>1514</v>
      </c>
      <c r="C57" s="318">
        <f ca="1">ROUND(C51/C52,3)</f>
        <v>0.93899999999999995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41" t="str">
        <f>项目基本情况!B1</f>
        <v>湖北省武汉市房地产抵押价值预评估</v>
      </c>
      <c r="C37" s="3041"/>
      <c r="D37" s="3041"/>
      <c r="E37" s="3041"/>
      <c r="F37" s="3041"/>
      <c r="G37" s="3041"/>
      <c r="H37" s="3041"/>
      <c r="I37" s="3041"/>
    </row>
    <row r="38" spans="1:9">
      <c r="A38" s="1018"/>
      <c r="B38" s="1018"/>
    </row>
    <row r="39" spans="1:9">
      <c r="A39" s="1016" t="s">
        <v>818</v>
      </c>
      <c r="B39" s="1016" t="s">
        <v>820</v>
      </c>
    </row>
    <row r="40" spans="1:9">
      <c r="A40" s="1016"/>
      <c r="B40" s="1944" t="str">
        <f>项目基本情况!B5</f>
        <v>中信信托有限责任公司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郑燚（注册号：1120070131)、王萌（注册号：1120130048)</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c r="C1" s="2553" t="s">
        <v>2426</v>
      </c>
      <c r="D1" s="242"/>
      <c r="E1" s="242"/>
      <c r="F1" s="242"/>
      <c r="G1" s="1381">
        <f>MATCH(B1,'数据-取费表'!A6:A16,0)+5</f>
        <v>8</v>
      </c>
      <c r="H1" s="1284" t="str">
        <f>IF(ISERROR(FIND("住宅",B1)),"非住宅","住宅")</f>
        <v>非住宅</v>
      </c>
    </row>
    <row r="2" spans="1:8" s="244" customFormat="1" ht="18" customHeight="1">
      <c r="A2" s="245" t="s">
        <v>2325</v>
      </c>
      <c r="B2" s="246">
        <f ca="1">ROUND(IF(D2="——",C52/10000,C52/10000-E2),0)</f>
        <v>7033</v>
      </c>
      <c r="C2" s="243" t="s">
        <v>2326</v>
      </c>
      <c r="D2" s="2547" t="s">
        <v>70</v>
      </c>
      <c r="E2" s="1442"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5285</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1596824</v>
      </c>
      <c r="D5" s="255" t="s">
        <v>2332</v>
      </c>
      <c r="E5" s="256" t="s">
        <v>2333</v>
      </c>
      <c r="F5" s="256" t="s">
        <v>2334</v>
      </c>
      <c r="G5" s="257"/>
    </row>
    <row r="6" spans="1:8" s="258" customFormat="1" ht="13.5" customHeight="1">
      <c r="A6" s="951" t="s">
        <v>2335</v>
      </c>
      <c r="B6" s="259" t="s">
        <v>2336</v>
      </c>
      <c r="C6" s="260"/>
      <c r="D6" s="261"/>
      <c r="E6" s="262"/>
      <c r="F6" s="262"/>
      <c r="G6" s="263"/>
    </row>
    <row r="7" spans="1:8" s="258" customFormat="1" ht="13.5" customHeight="1">
      <c r="A7" s="951" t="s">
        <v>2337</v>
      </c>
      <c r="B7" s="259" t="s">
        <v>2338</v>
      </c>
      <c r="C7" s="264">
        <f>ROUND(C6*F7,0)</f>
        <v>0</v>
      </c>
      <c r="D7" s="264"/>
      <c r="E7" s="262"/>
      <c r="F7" s="265">
        <f>'数据-取费表'!B48+'数据-取费表'!B49</f>
        <v>3.0499999999999999E-2</v>
      </c>
      <c r="G7" s="263"/>
    </row>
    <row r="8" spans="1:8" s="267" customFormat="1">
      <c r="A8" s="951" t="s">
        <v>2339</v>
      </c>
      <c r="B8" s="259" t="s">
        <v>2340</v>
      </c>
      <c r="C8" s="264">
        <f ca="1">IF(G8="已包含在土地购买价格中",0,C9+C10)</f>
        <v>1596824</v>
      </c>
      <c r="D8" s="266"/>
      <c r="E8" s="264"/>
      <c r="F8" s="265"/>
      <c r="G8" s="2550"/>
    </row>
    <row r="9" spans="1:8" s="258" customFormat="1" ht="13.5" customHeight="1">
      <c r="A9" s="952" t="s">
        <v>800</v>
      </c>
      <c r="B9" s="268" t="s">
        <v>2341</v>
      </c>
      <c r="C9" s="269">
        <f ca="1">ROUND(D9*E9,0)</f>
        <v>0</v>
      </c>
      <c r="D9" s="1034">
        <f ca="1">IF(B1="",'数据-汇总表'!E5,IF(INDIRECT("'数据-取费表'!c"&amp;$G$1)="住宅",INDIRECT("'数据-取费表'!k"&amp;$G$1),0))</f>
        <v>0</v>
      </c>
      <c r="E9" s="269">
        <f>'数据-取费表'!B27</f>
        <v>120</v>
      </c>
      <c r="F9" s="265"/>
      <c r="G9" s="270"/>
    </row>
    <row r="10" spans="1:8" s="258" customFormat="1" ht="13.5" customHeight="1">
      <c r="A10" s="952" t="s">
        <v>801</v>
      </c>
      <c r="B10" s="268" t="s">
        <v>2343</v>
      </c>
      <c r="C10" s="269">
        <f ca="1">ROUND(D10*E10,0)</f>
        <v>1596824</v>
      </c>
      <c r="D10" s="1034">
        <f ca="1">IF(B1="",'数据-汇总表'!E6,IF(INDIRECT("'数据-取费表'!c"&amp;$G$1)="住宅",INDIRECT("'数据-取费表'!s"&amp;$G$1),INDIRECT("'数据-取费表'!k"&amp;$G$1)+INDIRECT("'数据-取费表'!s"&amp;$G$1)))</f>
        <v>13306.869999999999</v>
      </c>
      <c r="E10" s="269">
        <f>'数据-取费表'!B28</f>
        <v>120</v>
      </c>
      <c r="F10" s="265"/>
      <c r="G10" s="270"/>
    </row>
    <row r="11" spans="1:8" s="258" customFormat="1" ht="13.5" hidden="1" customHeight="1">
      <c r="A11" s="271" t="s">
        <v>7</v>
      </c>
      <c r="B11" s="259" t="s">
        <v>2344</v>
      </c>
      <c r="C11" s="255"/>
      <c r="D11" s="1036"/>
      <c r="E11" s="262"/>
      <c r="F11" s="262"/>
      <c r="G11" s="263"/>
    </row>
    <row r="12" spans="1:8" s="258" customFormat="1" ht="13.5" hidden="1" customHeight="1">
      <c r="A12" s="271" t="s">
        <v>8</v>
      </c>
      <c r="B12" s="259" t="s">
        <v>2427</v>
      </c>
      <c r="C12" s="255">
        <v>0</v>
      </c>
      <c r="D12" s="1036"/>
      <c r="E12" s="272"/>
      <c r="F12" s="265">
        <v>3.0499999999999999E-2</v>
      </c>
      <c r="G12" s="263"/>
    </row>
    <row r="13" spans="1:8" s="258" customFormat="1" ht="13.5" hidden="1" customHeight="1">
      <c r="A13" s="271" t="s">
        <v>9</v>
      </c>
      <c r="B13" s="259" t="s">
        <v>2428</v>
      </c>
      <c r="C13" s="255"/>
      <c r="D13" s="1036"/>
      <c r="E13" s="262"/>
      <c r="F13" s="262"/>
      <c r="G13" s="263"/>
    </row>
    <row r="14" spans="1:8" s="258" customFormat="1" ht="13.5" hidden="1" customHeight="1">
      <c r="A14" s="271" t="s">
        <v>10</v>
      </c>
      <c r="B14" s="259" t="s">
        <v>2340</v>
      </c>
      <c r="C14" s="255"/>
      <c r="D14" s="1036"/>
      <c r="E14" s="262"/>
      <c r="F14" s="262"/>
      <c r="G14" s="263" t="s">
        <v>2429</v>
      </c>
    </row>
    <row r="15" spans="1:8" s="258" customFormat="1" ht="13.5" hidden="1" customHeight="1">
      <c r="A15" s="271" t="s">
        <v>11</v>
      </c>
      <c r="B15" s="259" t="s">
        <v>2430</v>
      </c>
      <c r="C15" s="264"/>
      <c r="D15" s="1036"/>
      <c r="E15" s="262"/>
      <c r="F15" s="262"/>
      <c r="G15" s="263" t="s">
        <v>2431</v>
      </c>
    </row>
    <row r="16" spans="1:8" s="258" customFormat="1" ht="13.5" hidden="1" customHeight="1">
      <c r="A16" s="271" t="s">
        <v>12</v>
      </c>
      <c r="B16" s="259" t="s">
        <v>2340</v>
      </c>
      <c r="C16" s="264"/>
      <c r="D16" s="1036"/>
      <c r="E16" s="262"/>
      <c r="F16" s="262"/>
      <c r="G16" s="263"/>
    </row>
    <row r="17" spans="1:7" s="258" customFormat="1" ht="13.5" hidden="1" customHeight="1">
      <c r="A17" s="271" t="s">
        <v>13</v>
      </c>
      <c r="B17" s="259" t="s">
        <v>2432</v>
      </c>
      <c r="C17" s="273"/>
      <c r="D17" s="1037"/>
      <c r="E17" s="273"/>
      <c r="F17" s="273"/>
      <c r="G17" s="263" t="s">
        <v>2431</v>
      </c>
    </row>
    <row r="18" spans="1:7" s="258" customFormat="1" ht="13.5" hidden="1" customHeight="1">
      <c r="A18" s="271" t="s">
        <v>14</v>
      </c>
      <c r="B18" s="259" t="s">
        <v>2433</v>
      </c>
      <c r="C18" s="264">
        <v>0</v>
      </c>
      <c r="D18" s="1036"/>
      <c r="E18" s="262"/>
      <c r="F18" s="265">
        <v>3.0499999999999999E-2</v>
      </c>
      <c r="G18" s="263" t="s">
        <v>2434</v>
      </c>
    </row>
    <row r="19" spans="1:7" s="267" customFormat="1" ht="13.5" customHeight="1">
      <c r="A19" s="299" t="s">
        <v>2435</v>
      </c>
      <c r="B19" s="254" t="s">
        <v>2436</v>
      </c>
      <c r="C19" s="255">
        <f ca="1">IF(G19="已包含在土地取得成本中","0",ROUND(D19*E19,0))</f>
        <v>2661374</v>
      </c>
      <c r="D19" s="1038">
        <f ca="1">D9+D10</f>
        <v>13306.869999999999</v>
      </c>
      <c r="E19" s="255">
        <f>'数据-取费表'!B31</f>
        <v>200</v>
      </c>
      <c r="F19" s="275"/>
      <c r="G19" s="2550"/>
    </row>
    <row r="20" spans="1:7" s="258" customFormat="1" ht="13.5" customHeight="1">
      <c r="A20" s="299" t="s">
        <v>2437</v>
      </c>
      <c r="B20" s="254" t="s">
        <v>2438</v>
      </c>
      <c r="C20" s="276">
        <f ca="1">ROUND((C5+C19)*F20,0)</f>
        <v>85164</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642211</v>
      </c>
      <c r="D22" s="279">
        <f ca="1">C26</f>
        <v>1.4E-3</v>
      </c>
      <c r="E22" s="280" t="s">
        <v>2442</v>
      </c>
      <c r="F22" s="281">
        <f ca="1">'数据-取费表'!B40</f>
        <v>4.7500000000000001E-2</v>
      </c>
      <c r="G22" s="278" t="str">
        <f>IF('数据-取费表'!B22&lt;=1,"单利计息","复利计息")</f>
        <v>复利计息</v>
      </c>
    </row>
    <row r="23" spans="1:7" s="258" customFormat="1" ht="13.5" customHeight="1">
      <c r="A23" s="953" t="s">
        <v>2335</v>
      </c>
      <c r="B23" s="259" t="s">
        <v>2446</v>
      </c>
      <c r="C23" s="1383">
        <f ca="1">ROUND(IF('数据-取费表'!B22&lt;=1,C5*F22*'数据-取费表'!B22,C5*(POWER((1+F22),'数据-取费表'!B22)-1)),0)</f>
        <v>238527</v>
      </c>
      <c r="D23" s="282"/>
      <c r="E23" s="282"/>
      <c r="F23" s="283"/>
      <c r="G23" s="284" t="s">
        <v>2447</v>
      </c>
    </row>
    <row r="24" spans="1:7" s="258" customFormat="1" ht="13.5" customHeight="1">
      <c r="A24" s="953" t="s">
        <v>2337</v>
      </c>
      <c r="B24" s="259" t="s">
        <v>2448</v>
      </c>
      <c r="C24" s="1383">
        <f ca="1">ROUND(IF('数据-取费表'!B22&lt;=1,C19*F22*('数据-取费表'!B19/2+'数据-取费表'!B20),C19*(POWER((1+F22),('数据-取费表'!B19/2+'数据-取费表'!B20))-1)),0)</f>
        <v>397545</v>
      </c>
      <c r="D24" s="282"/>
      <c r="E24" s="282"/>
      <c r="F24" s="283"/>
      <c r="G24" s="284" t="s">
        <v>2449</v>
      </c>
    </row>
    <row r="25" spans="1:7" s="258" customFormat="1" ht="24">
      <c r="A25" s="953" t="s">
        <v>2339</v>
      </c>
      <c r="B25" s="259" t="s">
        <v>2450</v>
      </c>
      <c r="C25" s="1383">
        <f ca="1">ROUND(IF('数据-取费表'!B22&lt;=1,C20*F22*'数据-取费表'!B22/2,C20*(POWER((1+F22),'数据-取费表'!B22/2)-1)),0)</f>
        <v>6139</v>
      </c>
      <c r="D25" s="282"/>
      <c r="E25" s="285"/>
      <c r="F25" s="283"/>
      <c r="G25" s="286" t="s">
        <v>2451</v>
      </c>
    </row>
    <row r="26" spans="1:7" s="258" customFormat="1">
      <c r="A26" s="953"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1085841</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ROUND((C5+C19+C20)*F27,0)</f>
        <v>1085841</v>
      </c>
      <c r="D28" s="279"/>
      <c r="E28" s="280"/>
      <c r="F28" s="290"/>
      <c r="G28" s="291"/>
    </row>
    <row r="29" spans="1:7" s="258" customFormat="1" ht="13.5" customHeight="1">
      <c r="A29" s="953"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6597212</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44378411</v>
      </c>
      <c r="D33" s="276"/>
      <c r="E33" s="256"/>
      <c r="F33" s="285"/>
      <c r="G33" s="278"/>
    </row>
    <row r="34" spans="1:7" s="302" customFormat="1" ht="13.5" customHeight="1">
      <c r="A34" s="953" t="s">
        <v>791</v>
      </c>
      <c r="B34" s="259" t="s">
        <v>2388</v>
      </c>
      <c r="C34" s="264">
        <f ca="1">ROUND(IF(B1="",SUMPRODUCT('数据-取费表'!K6:K14,'数据-取费表'!L6:L14),INDIRECT("'数据-取费表'!l"&amp;$G$1)*INDIRECT("'数据-取费表'!k"&amp;$G$1)+'数据-取费表'!L14*INDIRECT("'数据-取费表'!S"&amp;$G$1)),0)</f>
        <v>39920610</v>
      </c>
      <c r="D34" s="261"/>
      <c r="E34" s="264"/>
      <c r="F34" s="301"/>
      <c r="G34" s="263"/>
    </row>
    <row r="35" spans="1:7" ht="13.5" customHeight="1">
      <c r="A35" s="953" t="s">
        <v>796</v>
      </c>
      <c r="B35" s="259" t="s">
        <v>2390</v>
      </c>
      <c r="C35" s="264">
        <f ca="1">ROUND(C34*F35,0)</f>
        <v>1197618</v>
      </c>
      <c r="D35" s="264"/>
      <c r="E35" s="264"/>
      <c r="F35" s="303">
        <f>'数据-取费表'!B33</f>
        <v>0.03</v>
      </c>
      <c r="G35" s="263" t="s">
        <v>2391</v>
      </c>
    </row>
    <row r="36" spans="1:7" ht="24">
      <c r="A36" s="953"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3" t="s">
        <v>798</v>
      </c>
      <c r="B37" s="259" t="s">
        <v>2394</v>
      </c>
      <c r="C37" s="293">
        <f ca="1">ROUND(E37*D37,0)</f>
        <v>2661374</v>
      </c>
      <c r="D37" s="261">
        <f ca="1">D19</f>
        <v>13306.869999999999</v>
      </c>
      <c r="E37" s="293">
        <f>'数据-取费表'!B35</f>
        <v>200</v>
      </c>
      <c r="F37" s="303"/>
      <c r="G37" s="305"/>
    </row>
    <row r="38" spans="1:7" ht="13.5" customHeight="1">
      <c r="A38" s="953" t="s">
        <v>799</v>
      </c>
      <c r="B38" s="259" t="s">
        <v>2396</v>
      </c>
      <c r="C38" s="264">
        <f ca="1">ROUND(C34*F38,0)</f>
        <v>598809</v>
      </c>
      <c r="D38" s="264"/>
      <c r="E38" s="264"/>
      <c r="F38" s="303">
        <f>'数据-取费表'!B36</f>
        <v>1.4999999999999999E-2</v>
      </c>
      <c r="G38" s="263" t="s">
        <v>2391</v>
      </c>
    </row>
    <row r="39" spans="1:7" s="258" customFormat="1" ht="13.5" customHeight="1">
      <c r="A39" s="299" t="s">
        <v>2397</v>
      </c>
      <c r="B39" s="254" t="s">
        <v>2398</v>
      </c>
      <c r="C39" s="276">
        <f ca="1">ROUND(C33*F20,0)</f>
        <v>887568</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3263202</v>
      </c>
      <c r="D41" s="279">
        <f ca="1">C44</f>
        <v>1.4E-3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ROUND(IF('数据-取费表'!B22&lt;=1,C33*F22*'数据-取费表'!B20/2,C33*(POWER((1+F22),'数据-取费表'!B20/2)-1)),0)</f>
        <v>3199218</v>
      </c>
      <c r="D42" s="282"/>
      <c r="E42" s="282"/>
      <c r="F42" s="283"/>
      <c r="G42" s="3227" t="s">
        <v>2454</v>
      </c>
    </row>
    <row r="43" spans="1:7" ht="13.5" customHeight="1">
      <c r="A43" s="953" t="s">
        <v>792</v>
      </c>
      <c r="B43" s="259" t="s">
        <v>2408</v>
      </c>
      <c r="C43" s="282">
        <f ca="1">ROUND(IF('数据-取费表'!B22&lt;=1,C39*F22*'数据-取费表'!B20/2,C39*(POWER((1+F22),'数据-取费表'!B20/2)-1)),0)</f>
        <v>63984</v>
      </c>
      <c r="D43" s="282"/>
      <c r="E43" s="282"/>
      <c r="F43" s="283"/>
      <c r="G43" s="3228"/>
    </row>
    <row r="44" spans="1:7" ht="13.5" customHeight="1">
      <c r="A44" s="953" t="s">
        <v>793</v>
      </c>
      <c r="B44" s="259" t="s">
        <v>2409</v>
      </c>
      <c r="C44" s="282">
        <f ca="1">ROUND(IF('数据-取费表'!B22&lt;=1,C40*F22*'数据-取费表'!B20/2,C40*(POWER((1+F22),'数据-取费表'!B20/2)-1)),4)</f>
        <v>1.4E-3</v>
      </c>
      <c r="D44" s="282"/>
      <c r="E44" s="282"/>
      <c r="F44" s="283"/>
      <c r="G44" s="3229"/>
    </row>
    <row r="45" spans="1:7" s="258" customFormat="1" ht="13.5" customHeight="1">
      <c r="A45" s="299" t="s">
        <v>2410</v>
      </c>
      <c r="B45" s="288" t="s">
        <v>2376</v>
      </c>
      <c r="C45" s="289">
        <f ca="1">C46</f>
        <v>11316495</v>
      </c>
      <c r="D45" s="279">
        <f ca="1">C47</f>
        <v>5.0000000000000001E-3</v>
      </c>
      <c r="E45" s="280" t="s">
        <v>2402</v>
      </c>
      <c r="F45" s="290"/>
      <c r="G45" s="291" t="s">
        <v>2411</v>
      </c>
    </row>
    <row r="46" spans="1:7" s="258" customFormat="1" ht="13.5" customHeight="1">
      <c r="A46" s="953" t="s">
        <v>791</v>
      </c>
      <c r="B46" s="292" t="s">
        <v>2412</v>
      </c>
      <c r="C46" s="293">
        <f ca="1">ROUND((C33+C39)*F27,0)</f>
        <v>11316495</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65028443</v>
      </c>
      <c r="D49" s="276"/>
      <c r="E49" s="276"/>
      <c r="F49" s="308"/>
      <c r="G49" s="278" t="s">
        <v>2417</v>
      </c>
    </row>
    <row r="50" spans="1:7" s="302" customFormat="1">
      <c r="A50" s="299" t="s">
        <v>2418</v>
      </c>
      <c r="B50" s="254" t="s">
        <v>2419</v>
      </c>
      <c r="C50" s="276"/>
      <c r="D50" s="276"/>
      <c r="E50" s="276"/>
      <c r="F50" s="308">
        <f>IF('数据-取费表'!B24=0,'数据-取费表'!N16,1)</f>
        <v>0.98</v>
      </c>
      <c r="G50" s="291"/>
    </row>
    <row r="51" spans="1:7" ht="16.5" customHeight="1">
      <c r="A51" s="299" t="s">
        <v>2421</v>
      </c>
      <c r="B51" s="254" t="s">
        <v>2456</v>
      </c>
      <c r="C51" s="276">
        <f ca="1">ROUND(C49*F50,0)</f>
        <v>63727874</v>
      </c>
      <c r="D51" s="276"/>
      <c r="E51" s="276"/>
      <c r="F51" s="308"/>
      <c r="G51" s="278" t="s">
        <v>2423</v>
      </c>
    </row>
    <row r="52" spans="1:7" s="252" customFormat="1" ht="16.5" thickBot="1">
      <c r="A52" s="309" t="s">
        <v>2424</v>
      </c>
      <c r="B52" s="310"/>
      <c r="C52" s="311">
        <f ca="1">C31+C51</f>
        <v>70325086</v>
      </c>
      <c r="D52" s="310"/>
      <c r="E52" s="310"/>
      <c r="F52" s="310"/>
      <c r="G52" s="312"/>
    </row>
    <row r="55" spans="1:7" ht="15">
      <c r="B55" s="314" t="s">
        <v>2425</v>
      </c>
      <c r="C55" s="315"/>
    </row>
    <row r="56" spans="1:7">
      <c r="B56" s="317" t="s">
        <v>1513</v>
      </c>
      <c r="C56" s="319">
        <f ca="1">1-C57</f>
        <v>9.3999999999999972E-2</v>
      </c>
    </row>
    <row r="57" spans="1:7">
      <c r="B57" s="317" t="s">
        <v>1514</v>
      </c>
      <c r="C57" s="318">
        <f ca="1">ROUND(C51/C52,3)</f>
        <v>0.90600000000000003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2457</v>
      </c>
      <c r="B1" s="1583"/>
      <c r="C1" s="1584"/>
      <c r="D1" s="1582"/>
      <c r="E1" s="320"/>
      <c r="F1" s="320"/>
      <c r="G1" s="1583"/>
      <c r="H1" s="320"/>
      <c r="I1" s="320"/>
      <c r="J1" s="320"/>
      <c r="K1" s="320">
        <f>MATCH(C1,'数据-取费表'!A6:A16,0)+5</f>
        <v>8</v>
      </c>
    </row>
    <row r="2" spans="1:33" ht="18" customHeight="1">
      <c r="A2" s="245" t="s">
        <v>2325</v>
      </c>
      <c r="B2" s="248">
        <f ca="1">C32</f>
        <v>-198</v>
      </c>
      <c r="C2" s="320" t="s">
        <v>2458</v>
      </c>
      <c r="D2" s="320"/>
      <c r="E2" s="320"/>
      <c r="F2" s="320"/>
      <c r="G2" s="320"/>
      <c r="H2" s="320"/>
      <c r="I2" s="320"/>
      <c r="J2" s="320"/>
      <c r="K2" s="320"/>
    </row>
    <row r="3" spans="1:33" ht="18" customHeight="1" thickBot="1">
      <c r="A3" s="247" t="s">
        <v>2327</v>
      </c>
      <c r="B3" s="248">
        <f ca="1">ROUND(B2*10000/IF(C1="",'数据-汇总表'!E3,INDIRECT("'数据-取费表'!K"&amp;$K$1)),0)</f>
        <v>-149</v>
      </c>
      <c r="C3" s="320" t="s">
        <v>2459</v>
      </c>
      <c r="D3" s="320"/>
      <c r="E3" s="320"/>
      <c r="F3" s="320"/>
      <c r="G3" s="320"/>
      <c r="H3" s="320"/>
      <c r="I3" s="320"/>
      <c r="J3" s="320"/>
      <c r="K3" s="320"/>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4" t="s">
        <v>2463</v>
      </c>
      <c r="D5" s="2554" t="s">
        <v>2464</v>
      </c>
      <c r="E5" s="2554" t="s">
        <v>2465</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2469</v>
      </c>
      <c r="B8" s="177"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2479</v>
      </c>
      <c r="C12" s="24">
        <f ca="1">ROUND(C11*F12,0)</f>
        <v>0</v>
      </c>
      <c r="D12" s="975"/>
      <c r="E12" s="375"/>
      <c r="F12" s="978">
        <f>'数据-取费表'!B33</f>
        <v>0.03</v>
      </c>
      <c r="G12" s="8" t="s">
        <v>2480</v>
      </c>
      <c r="H12" s="970"/>
      <c r="I12" s="970"/>
      <c r="J12" s="970"/>
      <c r="K12" s="971"/>
    </row>
    <row r="13" spans="1:33" s="977" customFormat="1" ht="13.5" customHeight="1">
      <c r="A13" s="973" t="s">
        <v>1336</v>
      </c>
      <c r="B13" s="974" t="s">
        <v>2481</v>
      </c>
      <c r="C13" s="24">
        <f ca="1">ROUND(IF(C1="",SUMIF('数据-取费表'!C:C,"住宅",'数据-取费表'!P:P)*F13,IF(INDIRECT("'数据-取费表'!c"&amp;$K$1)="住宅",INDIRECT("'数据-取费表'!P"&amp;$K$1)*F13,0)),0)</f>
        <v>0</v>
      </c>
      <c r="D13" s="1035"/>
      <c r="E13" s="375"/>
      <c r="F13" s="978">
        <f>'数据-取费表'!B34</f>
        <v>0.05</v>
      </c>
      <c r="G13" s="8" t="s">
        <v>2482</v>
      </c>
      <c r="H13" s="970"/>
      <c r="I13" s="970"/>
      <c r="J13" s="970"/>
      <c r="K13" s="971"/>
    </row>
    <row r="14" spans="1:33" s="979" customFormat="1" ht="13.5" customHeight="1">
      <c r="A14" s="973" t="s">
        <v>1337</v>
      </c>
      <c r="B14" s="974" t="s">
        <v>2483</v>
      </c>
      <c r="C14" s="24">
        <f ca="1">ROUND(D14*E14*F11/10000,0)</f>
        <v>0</v>
      </c>
      <c r="D14" s="1035">
        <f ca="1">IF(C1="",'数据-汇总表'!E3,INDIRECT("'数据-取费表'!K"&amp;$K$1)+INDIRECT("'数据-取费表'!S"&amp;$K$1))</f>
        <v>13306.869999999999</v>
      </c>
      <c r="E14" s="24">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13306.869999999999</v>
      </c>
      <c r="E17" s="24">
        <f>'数据-取费表'!B32</f>
        <v>0</v>
      </c>
      <c r="F17" s="980"/>
      <c r="G17" s="140"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4">
        <f ca="1">C19+C20-IF(C1="",'数据-取费表'!B29,IF(G18="已全部缴纳",C19+C20,H18))</f>
        <v>160</v>
      </c>
      <c r="D18" s="1035"/>
      <c r="E18" s="24"/>
      <c r="F18" s="978"/>
      <c r="G18" s="2556"/>
      <c r="H18" s="1579"/>
      <c r="I18" s="2557" t="s">
        <v>2491</v>
      </c>
      <c r="J18" s="981"/>
      <c r="K18" s="982"/>
    </row>
    <row r="19" spans="1:33" s="977" customFormat="1" ht="13.5" customHeight="1">
      <c r="A19" s="973" t="s">
        <v>805</v>
      </c>
      <c r="B19" s="974" t="s">
        <v>2492</v>
      </c>
      <c r="C19" s="24">
        <f ca="1">ROUND(D19*E19/10000,0)</f>
        <v>0</v>
      </c>
      <c r="D19" s="1035">
        <f ca="1">IF(C1="",'数据-汇总表'!E5,IF(INDIRECT("'数据-取费表'!c"&amp;$K$1)="住宅",INDIRECT("'数据-取费表'!k"&amp;$K$1),0))</f>
        <v>0</v>
      </c>
      <c r="E19" s="24">
        <f>'数据-取费表'!B27</f>
        <v>120</v>
      </c>
      <c r="F19" s="978"/>
      <c r="G19" s="15"/>
      <c r="H19" s="1581"/>
      <c r="I19" s="983"/>
      <c r="J19" s="983"/>
      <c r="K19" s="984"/>
    </row>
    <row r="20" spans="1:33" s="977" customFormat="1" ht="13.5" customHeight="1">
      <c r="A20" s="973" t="s">
        <v>806</v>
      </c>
      <c r="B20" s="974" t="s">
        <v>2493</v>
      </c>
      <c r="C20" s="24">
        <f ca="1">ROUND(D20*E20/10000,0)</f>
        <v>160</v>
      </c>
      <c r="D20" s="1035">
        <f ca="1">IF(C1="",'数据-汇总表'!E6,IF(INDIRECT("'数据-取费表'!c"&amp;$K$1)="住宅",INDIRECT("'数据-取费表'!s"&amp;$K$1),INDIRECT("'数据-取费表'!k"&amp;$K$1)+INDIRECT("'数据-取费表'!s"&amp;$K$1)))</f>
        <v>13306.869999999999</v>
      </c>
      <c r="E20" s="24">
        <f>'数据-取费表'!B28</f>
        <v>120</v>
      </c>
      <c r="F20" s="978"/>
      <c r="G20" s="15"/>
      <c r="H20" s="983"/>
      <c r="I20" s="983"/>
      <c r="J20" s="983"/>
      <c r="K20" s="984"/>
    </row>
    <row r="21" spans="1:33" s="977" customFormat="1" ht="13.5" customHeight="1">
      <c r="A21" s="963" t="s">
        <v>802</v>
      </c>
      <c r="B21" s="987" t="s">
        <v>2494</v>
      </c>
      <c r="C21" s="988">
        <f ca="1">C16+C17+C18</f>
        <v>160</v>
      </c>
      <c r="D21" s="989"/>
      <c r="E21" s="325"/>
      <c r="F21" s="325"/>
      <c r="G21" s="140" t="s">
        <v>2495</v>
      </c>
      <c r="H21" s="981"/>
      <c r="I21" s="981"/>
      <c r="J21" s="981"/>
      <c r="K21" s="982"/>
    </row>
    <row r="22" spans="1:33" s="977" customFormat="1" ht="13.5" customHeight="1">
      <c r="A22" s="963" t="s">
        <v>2467</v>
      </c>
      <c r="B22" s="987" t="s">
        <v>2496</v>
      </c>
      <c r="C22" s="988">
        <f ca="1">ROUND(C21*F22,0)</f>
        <v>3</v>
      </c>
      <c r="D22" s="325"/>
      <c r="E22" s="325"/>
      <c r="F22" s="990">
        <f>'数据-取费表'!B37</f>
        <v>0.02</v>
      </c>
      <c r="G22" s="8" t="s">
        <v>2497</v>
      </c>
      <c r="H22" s="970"/>
      <c r="I22" s="970"/>
      <c r="J22" s="970"/>
      <c r="K22" s="971"/>
    </row>
    <row r="23" spans="1:33" s="977" customFormat="1" ht="13.5" customHeight="1">
      <c r="A23" s="963" t="s">
        <v>2469</v>
      </c>
      <c r="B23" s="987" t="s">
        <v>2498</v>
      </c>
      <c r="C23" s="988">
        <f ca="1">ROUND(C4*F23*F11,0)</f>
        <v>0</v>
      </c>
      <c r="D23" s="325"/>
      <c r="E23" s="325"/>
      <c r="F23" s="990">
        <f>'数据-取费表'!B38</f>
        <v>0.02</v>
      </c>
      <c r="G23" s="8" t="s">
        <v>2499</v>
      </c>
      <c r="H23" s="970"/>
      <c r="I23" s="970"/>
      <c r="J23" s="970"/>
      <c r="K23" s="971"/>
    </row>
    <row r="24" spans="1:33" s="977" customFormat="1" ht="13.5" customHeight="1">
      <c r="A24" s="963" t="s">
        <v>2500</v>
      </c>
      <c r="B24" s="987" t="s">
        <v>2501</v>
      </c>
      <c r="C24" s="324">
        <f>ROUND(F24/(1+'数据-取费表'!C42),4)</f>
        <v>2.9000000000000001E-2</v>
      </c>
      <c r="D24" s="325" t="s">
        <v>15</v>
      </c>
      <c r="E24" s="325"/>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2507</v>
      </c>
      <c r="B28" s="2559" t="s">
        <v>2508</v>
      </c>
      <c r="C28" s="331">
        <f ca="1">C30</f>
        <v>41</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2509</v>
      </c>
      <c r="C29" s="328">
        <f ca="1">ROUND((1+C24)*F28*'数据-取费表'!B24/'数据-取费表'!B20,4)</f>
        <v>0</v>
      </c>
      <c r="D29" s="328"/>
      <c r="E29" s="329"/>
      <c r="F29" s="334"/>
      <c r="G29" s="140" t="s">
        <v>2510</v>
      </c>
      <c r="H29" s="981"/>
      <c r="I29" s="981"/>
      <c r="J29" s="981"/>
      <c r="K29" s="982"/>
    </row>
    <row r="30" spans="1:33" s="335" customFormat="1" ht="13.5" customHeight="1">
      <c r="A30" s="973" t="s">
        <v>804</v>
      </c>
      <c r="B30" s="996" t="s">
        <v>2511</v>
      </c>
      <c r="C30" s="336">
        <f ca="1">ROUND((C21+C22+C23)*F28,0)</f>
        <v>41</v>
      </c>
      <c r="D30" s="328"/>
      <c r="E30" s="329"/>
      <c r="F30" s="334"/>
      <c r="G30" s="140"/>
      <c r="H30" s="981"/>
      <c r="I30" s="981"/>
      <c r="J30" s="981"/>
      <c r="K30" s="982"/>
    </row>
    <row r="31" spans="1:33" s="977" customFormat="1" ht="13.5" customHeight="1" thickBot="1">
      <c r="A31" s="2560" t="s">
        <v>2512</v>
      </c>
      <c r="B31" s="1007" t="s">
        <v>2513</v>
      </c>
      <c r="C31" s="1008">
        <f>ROUND(C4*F31/(1+'数据-取费表'!C42),0)</f>
        <v>0</v>
      </c>
      <c r="D31" s="1009"/>
      <c r="E31" s="1010"/>
      <c r="F31" s="1011">
        <f>'数据-取费表'!B41</f>
        <v>5.6000000000000001E-2</v>
      </c>
      <c r="G31" s="1012" t="s">
        <v>2514</v>
      </c>
      <c r="H31" s="1013"/>
      <c r="I31" s="1013"/>
      <c r="J31" s="1013"/>
      <c r="K31" s="1014"/>
    </row>
    <row r="32" spans="1:33" s="972" customFormat="1" ht="13.5" customHeight="1" thickBot="1">
      <c r="A32" s="1002" t="s">
        <v>2515</v>
      </c>
      <c r="B32" s="1003"/>
      <c r="C32" s="1004">
        <f ca="1">ROUND((C4-C21-C22-C23-C25-C28-C31)/(1+C24+D25+D28),0)</f>
        <v>-198</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14">
    <tabColor rgb="FF00B0F0"/>
    <pageSetUpPr fitToPage="1"/>
  </sheetPr>
  <dimension ref="A1:AC132"/>
  <sheetViews>
    <sheetView topLeftCell="A27" zoomScale="85" zoomScaleNormal="85" workbookViewId="0">
      <selection activeCell="I5" sqref="I5:J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2640</v>
      </c>
      <c r="C1" s="1636" t="s">
        <v>2528</v>
      </c>
      <c r="D1" s="1623" t="s">
        <v>3067</v>
      </c>
      <c r="E1" s="2657"/>
      <c r="F1" s="2584" t="s">
        <v>3075</v>
      </c>
      <c r="G1" s="1633" t="s">
        <v>2641</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2325</v>
      </c>
      <c r="B2" s="1420">
        <f>IF(C2="——",ROUND(C49*D3/10000,0),ROUND(C49*D3/10000,0)-D2)</f>
        <v>461</v>
      </c>
      <c r="C2" s="2586" t="s">
        <v>70</v>
      </c>
      <c r="D2" s="1367">
        <f ca="1">SUMIF(INDIRECT("'"&amp;F2&amp;"'"&amp;"!A:A"),"承租人权益价值",INDIRECT("'"&amp;F2&amp;"'"&amp;"!c:c"))</f>
        <v>0</v>
      </c>
      <c r="E2" s="2587" t="s">
        <v>2326</v>
      </c>
      <c r="F2" s="2588" t="s">
        <v>3076</v>
      </c>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2327</v>
      </c>
      <c r="B3" s="609">
        <f>IF(C2="——",C49,ROUND(B2*10000/D3,0))</f>
        <v>33103</v>
      </c>
      <c r="C3" s="400" t="s">
        <v>2642</v>
      </c>
      <c r="D3" s="399">
        <f>IF(D1="",'数据-汇总表'!E3,SUMIF('数据-汇总表'!$C19:$C33,D1,'数据-汇总表'!$E19:$E33))</f>
        <v>139.15</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2643</v>
      </c>
      <c r="B4" s="402"/>
      <c r="C4" s="3250" t="s">
        <v>2644</v>
      </c>
      <c r="D4" s="3251"/>
      <c r="E4" s="3252" t="s">
        <v>2645</v>
      </c>
      <c r="F4" s="3253"/>
      <c r="G4" s="3250" t="s">
        <v>2646</v>
      </c>
      <c r="H4" s="3251"/>
      <c r="I4" s="3250" t="s">
        <v>2647</v>
      </c>
      <c r="J4" s="3251"/>
      <c r="K4" s="610" t="s">
        <v>2648</v>
      </c>
      <c r="L4" s="1132"/>
      <c r="M4" s="1133"/>
      <c r="N4" s="1133"/>
      <c r="O4" s="1133"/>
      <c r="P4" s="3254" t="s">
        <v>2649</v>
      </c>
      <c r="Q4" s="3255"/>
      <c r="R4" s="3236" t="s">
        <v>2645</v>
      </c>
      <c r="S4" s="3237"/>
      <c r="T4" s="3236" t="s">
        <v>2646</v>
      </c>
      <c r="U4" s="3237"/>
      <c r="V4" s="3233" t="s">
        <v>2647</v>
      </c>
      <c r="W4" s="3233"/>
      <c r="X4" s="1815"/>
      <c r="Y4" s="3236" t="s">
        <v>2649</v>
      </c>
      <c r="Z4" s="3237"/>
      <c r="AA4" s="3230" t="s">
        <v>2645</v>
      </c>
      <c r="AB4" s="3233" t="s">
        <v>2646</v>
      </c>
      <c r="AC4" s="3230" t="s">
        <v>2647</v>
      </c>
    </row>
    <row r="5" spans="1:29" ht="15">
      <c r="A5" s="404"/>
      <c r="B5" s="405"/>
      <c r="C5" s="3242" t="s">
        <v>3077</v>
      </c>
      <c r="D5" s="3243"/>
      <c r="E5" s="3240" t="s">
        <v>3519</v>
      </c>
      <c r="F5" s="3241"/>
      <c r="G5" s="3242" t="s">
        <v>3520</v>
      </c>
      <c r="H5" s="3243"/>
      <c r="I5" s="3242" t="s">
        <v>3521</v>
      </c>
      <c r="J5" s="3243"/>
      <c r="K5" s="610"/>
      <c r="L5" s="1132"/>
      <c r="M5" s="1133"/>
      <c r="N5" s="1133"/>
      <c r="O5" s="1133"/>
      <c r="P5" s="3256"/>
      <c r="Q5" s="3257"/>
      <c r="R5" s="3238"/>
      <c r="S5" s="3239"/>
      <c r="T5" s="3238"/>
      <c r="U5" s="3239"/>
      <c r="V5" s="3233"/>
      <c r="W5" s="3233"/>
      <c r="X5" s="1815"/>
      <c r="Y5" s="3238"/>
      <c r="Z5" s="3239"/>
      <c r="AA5" s="3231"/>
      <c r="AB5" s="3233"/>
      <c r="AC5" s="3231"/>
    </row>
    <row r="6" spans="1:29" ht="15.75" thickBot="1">
      <c r="A6" s="406"/>
      <c r="B6" s="407"/>
      <c r="C6" s="3244" t="s">
        <v>2544</v>
      </c>
      <c r="D6" s="3245"/>
      <c r="E6" s="3246" t="s">
        <v>3188</v>
      </c>
      <c r="F6" s="3247"/>
      <c r="G6" s="3248" t="s">
        <v>3189</v>
      </c>
      <c r="H6" s="3245"/>
      <c r="I6" s="3248" t="s">
        <v>3190</v>
      </c>
      <c r="J6" s="3245"/>
      <c r="K6" s="610" t="s">
        <v>2545</v>
      </c>
      <c r="L6" s="1132"/>
      <c r="M6" s="1133"/>
      <c r="N6" s="1133"/>
      <c r="O6" s="1133"/>
      <c r="P6" s="3258"/>
      <c r="Q6" s="3259"/>
      <c r="R6" s="3238"/>
      <c r="S6" s="3239"/>
      <c r="T6" s="3260"/>
      <c r="U6" s="3261"/>
      <c r="V6" s="3233"/>
      <c r="W6" s="3233"/>
      <c r="X6" s="1815"/>
      <c r="Y6" s="3260"/>
      <c r="Z6" s="3261"/>
      <c r="AA6" s="3232"/>
      <c r="AB6" s="3233"/>
      <c r="AC6" s="3232"/>
    </row>
    <row r="7" spans="1:29" s="117" customFormat="1" ht="15.75" thickBot="1">
      <c r="A7" s="408" t="s">
        <v>2546</v>
      </c>
      <c r="B7" s="409"/>
      <c r="C7" s="410">
        <f>'数据-取费表'!B2</f>
        <v>43209</v>
      </c>
      <c r="D7" s="411">
        <v>100</v>
      </c>
      <c r="E7" s="412">
        <f>C7</f>
        <v>43209</v>
      </c>
      <c r="F7" s="413">
        <f>SUMIF(58:58,YEAR(E7)&amp;"-"&amp;MONTH(E7),59:59)</f>
        <v>100</v>
      </c>
      <c r="G7" s="412">
        <f>C7</f>
        <v>43209</v>
      </c>
      <c r="H7" s="411">
        <f>SUMIF(58:58,YEAR(G7)&amp;"-"&amp;MONTH(G7),59:59)</f>
        <v>100</v>
      </c>
      <c r="I7" s="412">
        <f>C7</f>
        <v>43209</v>
      </c>
      <c r="J7" s="411">
        <f>SUMIF(58:58,YEAR(I7)&amp;"-"&amp;MONTH(I7),59:59)</f>
        <v>100</v>
      </c>
      <c r="K7" s="611"/>
      <c r="L7" s="1134"/>
      <c r="M7" s="1135"/>
      <c r="N7" s="1135"/>
      <c r="O7" s="1135"/>
      <c r="P7" s="3234" t="s">
        <v>2547</v>
      </c>
      <c r="Q7" s="3262"/>
      <c r="R7" s="769" t="s">
        <v>17</v>
      </c>
      <c r="S7" s="770">
        <f t="shared" ref="S7:S15" si="0">F7</f>
        <v>100</v>
      </c>
      <c r="T7" s="769" t="s">
        <v>17</v>
      </c>
      <c r="U7" s="770">
        <f t="shared" ref="U7:U15" si="1">H7</f>
        <v>100</v>
      </c>
      <c r="V7" s="769" t="s">
        <v>17</v>
      </c>
      <c r="W7" s="770">
        <f t="shared" ref="W7:W15" si="2">J7</f>
        <v>100</v>
      </c>
      <c r="X7" s="771"/>
      <c r="Y7" s="3234" t="s">
        <v>2547</v>
      </c>
      <c r="Z7" s="3235"/>
      <c r="AA7" s="772">
        <f>D7/F7</f>
        <v>1</v>
      </c>
      <c r="AB7" s="772">
        <f>D7/H7</f>
        <v>1</v>
      </c>
      <c r="AC7" s="772">
        <f>D7/J7</f>
        <v>1</v>
      </c>
    </row>
    <row r="8" spans="1:29" s="117" customFormat="1" ht="15.75" thickBot="1">
      <c r="A8" s="408" t="s">
        <v>2548</v>
      </c>
      <c r="B8" s="409"/>
      <c r="C8" s="414" t="s">
        <v>2650</v>
      </c>
      <c r="D8" s="411">
        <v>100</v>
      </c>
      <c r="E8" s="414" t="s">
        <v>3078</v>
      </c>
      <c r="F8" s="413">
        <f>SUMIF(61:61,E8,62:62)-SUMIF(61:61,C8,62:62)+100</f>
        <v>100</v>
      </c>
      <c r="G8" s="414" t="s">
        <v>3078</v>
      </c>
      <c r="H8" s="411">
        <f>SUMIF(61:61,G8,62:62)-SUMIF(61:61,C8,62:62)+100</f>
        <v>100</v>
      </c>
      <c r="I8" s="414" t="s">
        <v>3078</v>
      </c>
      <c r="J8" s="411">
        <f>SUMIF(61:61,I8,62:62)-SUMIF(61:61,C8,62:62)+100</f>
        <v>100</v>
      </c>
      <c r="K8" s="611"/>
      <c r="L8" s="1134"/>
      <c r="M8" s="1135"/>
      <c r="N8" s="1135"/>
      <c r="O8" s="1135"/>
      <c r="P8" s="3234" t="s">
        <v>2550</v>
      </c>
      <c r="Q8" s="3235"/>
      <c r="R8" s="769" t="s">
        <v>17</v>
      </c>
      <c r="S8" s="770">
        <f t="shared" si="0"/>
        <v>100</v>
      </c>
      <c r="T8" s="769" t="s">
        <v>17</v>
      </c>
      <c r="U8" s="770">
        <f t="shared" si="1"/>
        <v>100</v>
      </c>
      <c r="V8" s="769" t="s">
        <v>17</v>
      </c>
      <c r="W8" s="770">
        <f t="shared" si="2"/>
        <v>100</v>
      </c>
      <c r="X8" s="771"/>
      <c r="Y8" s="3234" t="s">
        <v>2550</v>
      </c>
      <c r="Z8" s="3235"/>
      <c r="AA8" s="772">
        <f t="shared" ref="AA8:AA46" si="3">D8/F8</f>
        <v>1</v>
      </c>
      <c r="AB8" s="772">
        <f t="shared" ref="AB8:AB46" si="4">D8/H8</f>
        <v>1</v>
      </c>
      <c r="AC8" s="772">
        <f t="shared" ref="AC8:AC46" si="5">D8/J8</f>
        <v>1</v>
      </c>
    </row>
    <row r="9" spans="1:29" s="117" customFormat="1">
      <c r="A9" s="415" t="s">
        <v>2551</v>
      </c>
      <c r="B9" s="71" t="s">
        <v>2552</v>
      </c>
      <c r="C9" s="2947" t="s">
        <v>3079</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249" t="s">
        <v>2553</v>
      </c>
      <c r="Q9" s="1797" t="str">
        <f t="shared" ref="Q9:Q15" si="6">B9</f>
        <v>用途</v>
      </c>
      <c r="R9" s="769" t="s">
        <v>17</v>
      </c>
      <c r="S9" s="770">
        <f t="shared" si="0"/>
        <v>100</v>
      </c>
      <c r="T9" s="769" t="s">
        <v>17</v>
      </c>
      <c r="U9" s="770">
        <f t="shared" si="1"/>
        <v>100</v>
      </c>
      <c r="V9" s="769" t="s">
        <v>17</v>
      </c>
      <c r="W9" s="770">
        <f t="shared" si="2"/>
        <v>100</v>
      </c>
      <c r="X9" s="771"/>
      <c r="Y9" s="3107" t="s">
        <v>2554</v>
      </c>
      <c r="Z9" s="55" t="str">
        <f t="shared" ref="Z9:Z15" si="7">Q9</f>
        <v>用途</v>
      </c>
      <c r="AA9" s="772">
        <f t="shared" si="3"/>
        <v>1</v>
      </c>
      <c r="AB9" s="772">
        <f t="shared" si="4"/>
        <v>1</v>
      </c>
      <c r="AC9" s="772">
        <f t="shared" si="5"/>
        <v>1</v>
      </c>
    </row>
    <row r="10" spans="1:29" s="427" customFormat="1" ht="27">
      <c r="A10" s="421"/>
      <c r="B10" s="422" t="s">
        <v>2555</v>
      </c>
      <c r="C10" s="2954" t="s">
        <v>3130</v>
      </c>
      <c r="D10" s="136">
        <v>100</v>
      </c>
      <c r="E10" s="2955" t="s">
        <v>3130</v>
      </c>
      <c r="F10" s="425">
        <f>SUMIF(65:65,E10,66:66)-SUMIF(65:65,C10,66:66)+100</f>
        <v>100</v>
      </c>
      <c r="G10" s="2954" t="s">
        <v>3130</v>
      </c>
      <c r="H10" s="136">
        <f>SUMIF(65:65,G10,66:66)-SUMIF(65:65,C10,66:66)+100</f>
        <v>100</v>
      </c>
      <c r="I10" s="2954" t="s">
        <v>3130</v>
      </c>
      <c r="J10" s="136">
        <f>SUMIF(65:65,I10,66:66)-SUMIF(65:65,C10,66:66)+100</f>
        <v>100</v>
      </c>
      <c r="K10" s="612"/>
      <c r="L10" s="1137"/>
      <c r="M10" s="1138"/>
      <c r="N10" s="1138"/>
      <c r="O10" s="1138"/>
      <c r="P10" s="3249"/>
      <c r="Q10" s="1797" t="str">
        <f t="shared" si="6"/>
        <v>土地使用年限（年）</v>
      </c>
      <c r="R10" s="769" t="s">
        <v>17</v>
      </c>
      <c r="S10" s="770">
        <f t="shared" si="0"/>
        <v>100</v>
      </c>
      <c r="T10" s="769" t="s">
        <v>17</v>
      </c>
      <c r="U10" s="770">
        <f t="shared" si="1"/>
        <v>100</v>
      </c>
      <c r="V10" s="769" t="s">
        <v>17</v>
      </c>
      <c r="W10" s="770">
        <f t="shared" si="2"/>
        <v>100</v>
      </c>
      <c r="X10" s="771"/>
      <c r="Y10" s="3107"/>
      <c r="Z10" s="55" t="str">
        <f t="shared" si="7"/>
        <v>土地使用年限（年）</v>
      </c>
      <c r="AA10" s="772">
        <f t="shared" si="3"/>
        <v>1</v>
      </c>
      <c r="AB10" s="772">
        <f t="shared" si="4"/>
        <v>1</v>
      </c>
      <c r="AC10" s="772">
        <f t="shared" si="5"/>
        <v>1</v>
      </c>
    </row>
    <row r="11" spans="1:29" ht="15.75" thickBot="1">
      <c r="A11" s="428"/>
      <c r="B11" s="422" t="s">
        <v>2556</v>
      </c>
      <c r="C11" s="429">
        <v>3.5</v>
      </c>
      <c r="D11" s="136">
        <v>100</v>
      </c>
      <c r="E11" s="430">
        <v>3.5</v>
      </c>
      <c r="F11" s="425">
        <f>LOOKUP(E11,68:68,69:69)-LOOKUP(C11,68:68,69:69)+100</f>
        <v>100</v>
      </c>
      <c r="G11" s="429">
        <v>3.5</v>
      </c>
      <c r="H11" s="136">
        <f>LOOKUP(G11,68:68,69:69)-LOOKUP(C11,68:68,69:69)+100</f>
        <v>100</v>
      </c>
      <c r="I11" s="429">
        <v>3.5</v>
      </c>
      <c r="J11" s="136">
        <f>LOOKUP(I11,68:68,69:69)-LOOKUP(C11,68:68,69:69)+100</f>
        <v>100</v>
      </c>
      <c r="K11" s="612">
        <v>5</v>
      </c>
      <c r="L11" s="1140"/>
      <c r="M11" s="1133"/>
      <c r="N11" s="1133"/>
      <c r="O11" s="1133"/>
      <c r="P11" s="3249"/>
      <c r="Q11" s="1797" t="str">
        <f t="shared" si="6"/>
        <v>容积率</v>
      </c>
      <c r="R11" s="769" t="s">
        <v>17</v>
      </c>
      <c r="S11" s="770">
        <f t="shared" si="0"/>
        <v>100</v>
      </c>
      <c r="T11" s="769" t="s">
        <v>17</v>
      </c>
      <c r="U11" s="770">
        <f t="shared" si="1"/>
        <v>100</v>
      </c>
      <c r="V11" s="769" t="s">
        <v>17</v>
      </c>
      <c r="W11" s="770">
        <f t="shared" si="2"/>
        <v>100</v>
      </c>
      <c r="X11" s="771"/>
      <c r="Y11" s="3107"/>
      <c r="Z11" s="55" t="str">
        <f t="shared" si="7"/>
        <v>容积率</v>
      </c>
      <c r="AA11" s="772">
        <f t="shared" si="3"/>
        <v>1</v>
      </c>
      <c r="AB11" s="772">
        <f t="shared" si="4"/>
        <v>1</v>
      </c>
      <c r="AC11" s="772">
        <f t="shared" si="5"/>
        <v>1</v>
      </c>
    </row>
    <row r="12" spans="1:29" s="117" customFormat="1" ht="15" hidden="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49"/>
      <c r="Q12" s="1797">
        <f t="shared" si="6"/>
        <v>111</v>
      </c>
      <c r="R12" s="769" t="s">
        <v>17</v>
      </c>
      <c r="S12" s="770">
        <f t="shared" si="0"/>
        <v>100</v>
      </c>
      <c r="T12" s="769" t="s">
        <v>17</v>
      </c>
      <c r="U12" s="770">
        <f t="shared" si="1"/>
        <v>100</v>
      </c>
      <c r="V12" s="769" t="s">
        <v>17</v>
      </c>
      <c r="W12" s="770">
        <f t="shared" si="2"/>
        <v>100</v>
      </c>
      <c r="X12" s="771"/>
      <c r="Y12" s="3107"/>
      <c r="Z12" s="55">
        <f t="shared" si="7"/>
        <v>111</v>
      </c>
      <c r="AA12" s="772">
        <f>D12/F12</f>
        <v>1</v>
      </c>
      <c r="AB12" s="772">
        <f>D12/H12</f>
        <v>1</v>
      </c>
      <c r="AC12" s="772">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49"/>
      <c r="Q13" s="1797">
        <f t="shared" si="6"/>
        <v>111</v>
      </c>
      <c r="R13" s="769" t="s">
        <v>17</v>
      </c>
      <c r="S13" s="770">
        <f t="shared" si="0"/>
        <v>100</v>
      </c>
      <c r="T13" s="769" t="s">
        <v>17</v>
      </c>
      <c r="U13" s="770">
        <f t="shared" si="1"/>
        <v>100</v>
      </c>
      <c r="V13" s="769" t="s">
        <v>17</v>
      </c>
      <c r="W13" s="770">
        <f t="shared" si="2"/>
        <v>100</v>
      </c>
      <c r="X13" s="771"/>
      <c r="Y13" s="3107"/>
      <c r="Z13" s="55">
        <f t="shared" si="7"/>
        <v>111</v>
      </c>
      <c r="AA13" s="772">
        <f t="shared" si="3"/>
        <v>1</v>
      </c>
      <c r="AB13" s="772">
        <f t="shared" si="4"/>
        <v>1</v>
      </c>
      <c r="AC13" s="772">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49"/>
      <c r="Q14" s="1797">
        <f t="shared" si="6"/>
        <v>111</v>
      </c>
      <c r="R14" s="769" t="s">
        <v>17</v>
      </c>
      <c r="S14" s="770">
        <f t="shared" si="0"/>
        <v>100</v>
      </c>
      <c r="T14" s="769" t="s">
        <v>17</v>
      </c>
      <c r="U14" s="770">
        <f t="shared" si="1"/>
        <v>100</v>
      </c>
      <c r="V14" s="769" t="s">
        <v>17</v>
      </c>
      <c r="W14" s="770">
        <f t="shared" si="2"/>
        <v>100</v>
      </c>
      <c r="X14" s="771"/>
      <c r="Y14" s="3107"/>
      <c r="Z14" s="55">
        <f t="shared" si="7"/>
        <v>111</v>
      </c>
      <c r="AA14" s="772">
        <f t="shared" si="3"/>
        <v>1</v>
      </c>
      <c r="AB14" s="772">
        <f t="shared" si="4"/>
        <v>1</v>
      </c>
      <c r="AC14" s="772">
        <f t="shared" si="5"/>
        <v>1</v>
      </c>
    </row>
    <row r="15" spans="1:29" ht="71.25">
      <c r="A15" s="440" t="s">
        <v>2557</v>
      </c>
      <c r="B15" s="69" t="s">
        <v>2651</v>
      </c>
      <c r="C15" s="2603" t="str">
        <f>估价对象房地状况!C4</f>
        <v>估价对象位于XX商圈，周边商业氛围成熟，人流量大，商业繁华度好</v>
      </c>
      <c r="D15" s="441">
        <v>100</v>
      </c>
      <c r="E15" s="442"/>
      <c r="F15" s="3007">
        <f>SUMIF(76:76,E16,77:77)-SUMIF(76:76,C16,77:77)+100</f>
        <v>100</v>
      </c>
      <c r="G15" s="444"/>
      <c r="H15" s="441">
        <f>SUMIF(76:76,G16,77:77)-SUMIF(76:76,C16,77:77)+100</f>
        <v>100</v>
      </c>
      <c r="I15" s="442"/>
      <c r="J15" s="3008">
        <f>SUMIF(76:76,I16,77:77)-SUMIF(76:76,C16,77:77)+100</f>
        <v>100</v>
      </c>
      <c r="K15" s="614">
        <v>3</v>
      </c>
      <c r="L15" s="1142"/>
      <c r="M15" s="1133"/>
      <c r="N15" s="1133"/>
      <c r="O15" s="1133"/>
      <c r="P15" s="3263" t="s">
        <v>2558</v>
      </c>
      <c r="Q15" s="1812" t="str">
        <f t="shared" si="6"/>
        <v>商业繁华度</v>
      </c>
      <c r="R15" s="773" t="s">
        <v>17</v>
      </c>
      <c r="S15" s="774">
        <f t="shared" si="0"/>
        <v>100</v>
      </c>
      <c r="T15" s="773" t="s">
        <v>17</v>
      </c>
      <c r="U15" s="774">
        <f t="shared" si="1"/>
        <v>100</v>
      </c>
      <c r="V15" s="773" t="s">
        <v>17</v>
      </c>
      <c r="W15" s="774">
        <f t="shared" si="2"/>
        <v>100</v>
      </c>
      <c r="X15" s="1815"/>
      <c r="Y15" s="3265" t="s">
        <v>2558</v>
      </c>
      <c r="Z15" s="1816" t="str">
        <f t="shared" si="7"/>
        <v>商业繁华度</v>
      </c>
      <c r="AA15" s="1813">
        <f t="shared" si="3"/>
        <v>1</v>
      </c>
      <c r="AB15" s="1813">
        <f t="shared" si="4"/>
        <v>1</v>
      </c>
      <c r="AC15" s="1813">
        <f t="shared" si="5"/>
        <v>1</v>
      </c>
    </row>
    <row r="16" spans="1:29" ht="15">
      <c r="A16" s="428"/>
      <c r="B16" s="446"/>
      <c r="C16" s="447" t="s">
        <v>3184</v>
      </c>
      <c r="D16" s="448"/>
      <c r="E16" s="3006" t="s">
        <v>3184</v>
      </c>
      <c r="F16" s="449"/>
      <c r="G16" s="447" t="s">
        <v>3184</v>
      </c>
      <c r="H16" s="450"/>
      <c r="I16" s="3006" t="s">
        <v>3184</v>
      </c>
      <c r="J16" s="448"/>
      <c r="K16" s="615"/>
      <c r="L16" s="1142"/>
      <c r="M16" s="1133"/>
      <c r="N16" s="1133"/>
      <c r="O16" s="1133"/>
      <c r="P16" s="3264"/>
      <c r="Q16" s="1812"/>
      <c r="R16" s="773"/>
      <c r="S16" s="774"/>
      <c r="T16" s="773"/>
      <c r="U16" s="774"/>
      <c r="V16" s="773"/>
      <c r="W16" s="774"/>
      <c r="X16" s="1815"/>
      <c r="Y16" s="3266"/>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2"/>
      <c r="M17" s="1133"/>
      <c r="N17" s="1133"/>
      <c r="O17" s="1133"/>
      <c r="P17" s="3264"/>
      <c r="Q17" s="1812" t="str">
        <f>B17</f>
        <v>交通便捷度</v>
      </c>
      <c r="R17" s="773" t="s">
        <v>17</v>
      </c>
      <c r="S17" s="774">
        <f>F17</f>
        <v>100</v>
      </c>
      <c r="T17" s="773" t="s">
        <v>17</v>
      </c>
      <c r="U17" s="774">
        <f>H17</f>
        <v>100</v>
      </c>
      <c r="V17" s="773" t="s">
        <v>17</v>
      </c>
      <c r="W17" s="774">
        <f>J17</f>
        <v>100</v>
      </c>
      <c r="X17" s="1815"/>
      <c r="Y17" s="3266"/>
      <c r="Z17" s="1816" t="str">
        <f>Q17</f>
        <v>交通便捷度</v>
      </c>
      <c r="AA17" s="1813">
        <f t="shared" si="3"/>
        <v>1</v>
      </c>
      <c r="AB17" s="1813">
        <f t="shared" si="4"/>
        <v>1</v>
      </c>
      <c r="AC17" s="1813">
        <f t="shared" si="5"/>
        <v>1</v>
      </c>
    </row>
    <row r="18" spans="1:29" ht="15">
      <c r="A18" s="428"/>
      <c r="B18" s="456"/>
      <c r="C18" s="2608" t="s">
        <v>3184</v>
      </c>
      <c r="D18" s="450"/>
      <c r="E18" s="2610" t="s">
        <v>3184</v>
      </c>
      <c r="F18" s="453"/>
      <c r="G18" s="2609" t="s">
        <v>3184</v>
      </c>
      <c r="H18" s="448"/>
      <c r="I18" s="2610" t="s">
        <v>3184</v>
      </c>
      <c r="J18" s="448"/>
      <c r="K18" s="615"/>
      <c r="L18" s="1142"/>
      <c r="M18" s="1133"/>
      <c r="N18" s="1133"/>
      <c r="O18" s="1133"/>
      <c r="P18" s="3264"/>
      <c r="Q18" s="1812"/>
      <c r="R18" s="773"/>
      <c r="S18" s="774"/>
      <c r="T18" s="773"/>
      <c r="U18" s="774"/>
      <c r="V18" s="773"/>
      <c r="W18" s="774"/>
      <c r="X18" s="1815"/>
      <c r="Y18" s="3266"/>
      <c r="Z18" s="1816"/>
      <c r="AA18" s="1813">
        <v>1</v>
      </c>
      <c r="AB18" s="1813">
        <v>1</v>
      </c>
      <c r="AC18" s="1813">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3</v>
      </c>
      <c r="L19" s="1142"/>
      <c r="M19" s="1133"/>
      <c r="N19" s="1133"/>
      <c r="O19" s="1133"/>
      <c r="P19" s="3264"/>
      <c r="Q19" s="1812" t="str">
        <f>B19</f>
        <v>公共配套设施</v>
      </c>
      <c r="R19" s="773" t="s">
        <v>17</v>
      </c>
      <c r="S19" s="774">
        <f>F19</f>
        <v>100</v>
      </c>
      <c r="T19" s="773" t="s">
        <v>17</v>
      </c>
      <c r="U19" s="774">
        <f>H19</f>
        <v>100</v>
      </c>
      <c r="V19" s="773" t="s">
        <v>17</v>
      </c>
      <c r="W19" s="774">
        <f>J19</f>
        <v>100</v>
      </c>
      <c r="X19" s="1815"/>
      <c r="Y19" s="3266"/>
      <c r="Z19" s="1816" t="str">
        <f>Q19</f>
        <v>公共配套设施</v>
      </c>
      <c r="AA19" s="1813">
        <f t="shared" si="3"/>
        <v>1</v>
      </c>
      <c r="AB19" s="1813">
        <f t="shared" si="4"/>
        <v>1</v>
      </c>
      <c r="AC19" s="1813">
        <f t="shared" si="5"/>
        <v>1</v>
      </c>
    </row>
    <row r="20" spans="1:29" ht="15">
      <c r="A20" s="428"/>
      <c r="B20" s="456"/>
      <c r="C20" s="447" t="s">
        <v>3184</v>
      </c>
      <c r="D20" s="448"/>
      <c r="E20" s="2605" t="s">
        <v>3184</v>
      </c>
      <c r="F20" s="449"/>
      <c r="G20" s="2604" t="s">
        <v>3184</v>
      </c>
      <c r="H20" s="448"/>
      <c r="I20" s="2605" t="s">
        <v>3184</v>
      </c>
      <c r="J20" s="448"/>
      <c r="K20" s="615"/>
      <c r="L20" s="1142"/>
      <c r="M20" s="1133"/>
      <c r="N20" s="1133"/>
      <c r="O20" s="1133"/>
      <c r="P20" s="3264"/>
      <c r="Q20" s="1812"/>
      <c r="R20" s="773"/>
      <c r="S20" s="774"/>
      <c r="T20" s="773"/>
      <c r="U20" s="774"/>
      <c r="V20" s="773"/>
      <c r="W20" s="774"/>
      <c r="X20" s="1815"/>
      <c r="Y20" s="3266"/>
      <c r="Z20" s="1816"/>
      <c r="AA20" s="1813">
        <v>1</v>
      </c>
      <c r="AB20" s="1813">
        <v>1</v>
      </c>
      <c r="AC20" s="1813">
        <v>1</v>
      </c>
    </row>
    <row r="21" spans="1:29" ht="28.5">
      <c r="A21" s="428"/>
      <c r="B21" s="1386"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264"/>
      <c r="Q21" s="1812" t="str">
        <f>B21</f>
        <v>基础设施水平</v>
      </c>
      <c r="R21" s="773" t="s">
        <v>17</v>
      </c>
      <c r="S21" s="774">
        <f>F21</f>
        <v>100</v>
      </c>
      <c r="T21" s="773" t="s">
        <v>17</v>
      </c>
      <c r="U21" s="774">
        <f>H21</f>
        <v>100</v>
      </c>
      <c r="V21" s="773" t="s">
        <v>17</v>
      </c>
      <c r="W21" s="774">
        <f>J21</f>
        <v>100</v>
      </c>
      <c r="X21" s="1815"/>
      <c r="Y21" s="3266"/>
      <c r="Z21" s="1816" t="str">
        <f>Q21</f>
        <v>基础设施水平</v>
      </c>
      <c r="AA21" s="1813">
        <f t="shared" ref="AA21" si="8">D21/F21</f>
        <v>1</v>
      </c>
      <c r="AB21" s="1813">
        <f t="shared" ref="AB21" si="9">D21/H21</f>
        <v>1</v>
      </c>
      <c r="AC21" s="1813">
        <f t="shared" ref="AC21" si="10">D21/J21</f>
        <v>1</v>
      </c>
    </row>
    <row r="22" spans="1:29" ht="15">
      <c r="A22" s="428"/>
      <c r="B22" s="1386"/>
      <c r="C22" s="2608" t="s">
        <v>3081</v>
      </c>
      <c r="D22" s="448"/>
      <c r="E22" s="447" t="s">
        <v>3081</v>
      </c>
      <c r="F22" s="449"/>
      <c r="G22" s="447" t="s">
        <v>3081</v>
      </c>
      <c r="H22" s="448"/>
      <c r="I22" s="447" t="s">
        <v>3081</v>
      </c>
      <c r="J22" s="448"/>
      <c r="K22" s="1385"/>
      <c r="L22" s="1142"/>
      <c r="M22" s="1133"/>
      <c r="N22" s="1133"/>
      <c r="O22" s="1133"/>
      <c r="P22" s="3264"/>
      <c r="Q22" s="1812"/>
      <c r="R22" s="773"/>
      <c r="S22" s="774"/>
      <c r="T22" s="773"/>
      <c r="U22" s="774"/>
      <c r="V22" s="773"/>
      <c r="W22" s="774"/>
      <c r="X22" s="1815"/>
      <c r="Y22" s="3266"/>
      <c r="Z22" s="1816"/>
      <c r="AA22" s="1813">
        <v>1</v>
      </c>
      <c r="AB22" s="1813">
        <v>1</v>
      </c>
      <c r="AC22" s="1813">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3</v>
      </c>
      <c r="L23" s="1142"/>
      <c r="M23" s="1133"/>
      <c r="N23" s="1133"/>
      <c r="O23" s="1133"/>
      <c r="P23" s="3264"/>
      <c r="Q23" s="1812" t="str">
        <f>B23</f>
        <v>自然及人文环境</v>
      </c>
      <c r="R23" s="773" t="s">
        <v>17</v>
      </c>
      <c r="S23" s="774">
        <f>F23</f>
        <v>100</v>
      </c>
      <c r="T23" s="773" t="s">
        <v>17</v>
      </c>
      <c r="U23" s="774">
        <f>H23</f>
        <v>100</v>
      </c>
      <c r="V23" s="773" t="s">
        <v>17</v>
      </c>
      <c r="W23" s="774">
        <f>J23</f>
        <v>100</v>
      </c>
      <c r="X23" s="1815"/>
      <c r="Y23" s="3266"/>
      <c r="Z23" s="1816" t="str">
        <f>Q23</f>
        <v>自然及人文环境</v>
      </c>
      <c r="AA23" s="1813">
        <f t="shared" si="3"/>
        <v>1</v>
      </c>
      <c r="AB23" s="1813">
        <f t="shared" si="4"/>
        <v>1</v>
      </c>
      <c r="AC23" s="1813">
        <f t="shared" si="5"/>
        <v>1</v>
      </c>
    </row>
    <row r="24" spans="1:29" ht="15">
      <c r="A24" s="428"/>
      <c r="B24" s="456"/>
      <c r="C24" s="447" t="s">
        <v>3184</v>
      </c>
      <c r="D24" s="448"/>
      <c r="E24" s="2605" t="s">
        <v>3184</v>
      </c>
      <c r="F24" s="449"/>
      <c r="G24" s="2604" t="s">
        <v>3184</v>
      </c>
      <c r="H24" s="448"/>
      <c r="I24" s="2605" t="s">
        <v>3184</v>
      </c>
      <c r="J24" s="448"/>
      <c r="K24" s="615"/>
      <c r="L24" s="1142"/>
      <c r="M24" s="1133"/>
      <c r="N24" s="1133"/>
      <c r="O24" s="1133"/>
      <c r="P24" s="3264"/>
      <c r="Q24" s="1812"/>
      <c r="R24" s="773"/>
      <c r="S24" s="774"/>
      <c r="T24" s="773"/>
      <c r="U24" s="774"/>
      <c r="V24" s="773"/>
      <c r="W24" s="774"/>
      <c r="X24" s="1815"/>
      <c r="Y24" s="3266"/>
      <c r="Z24" s="1816"/>
      <c r="AA24" s="1813">
        <v>1</v>
      </c>
      <c r="AB24" s="1813">
        <v>1</v>
      </c>
      <c r="AC24" s="1813">
        <v>1</v>
      </c>
    </row>
    <row r="25" spans="1:29" ht="15">
      <c r="A25" s="428"/>
      <c r="B25" s="422" t="s">
        <v>2654</v>
      </c>
      <c r="C25" s="616" t="s">
        <v>3084</v>
      </c>
      <c r="D25" s="435">
        <v>100</v>
      </c>
      <c r="E25" s="616" t="s">
        <v>3084</v>
      </c>
      <c r="F25" s="461">
        <f>SUMIF(86:86,E25,87:87)-SUMIF(86:86,C25,87:87)+100</f>
        <v>100</v>
      </c>
      <c r="G25" s="616" t="s">
        <v>3084</v>
      </c>
      <c r="H25" s="435">
        <f>SUMIF(86:86,G25,87:87)-SUMIF(86:86,C25,87:87)+100</f>
        <v>100</v>
      </c>
      <c r="I25" s="616" t="s">
        <v>3084</v>
      </c>
      <c r="J25" s="435">
        <f>SUMIF(86:86,I25,87:87)-SUMIF(86:86,C25,87:87)+100</f>
        <v>100</v>
      </c>
      <c r="K25" s="612">
        <v>3</v>
      </c>
      <c r="L25" s="1142"/>
      <c r="M25" s="1133"/>
      <c r="N25" s="1133"/>
      <c r="O25" s="1133"/>
      <c r="P25" s="3264"/>
      <c r="Q25" s="1812" t="str">
        <f t="shared" ref="Q25:Q46" si="11">B25</f>
        <v>临街状况</v>
      </c>
      <c r="R25" s="773" t="s">
        <v>17</v>
      </c>
      <c r="S25" s="774">
        <f>F25</f>
        <v>100</v>
      </c>
      <c r="T25" s="773" t="s">
        <v>17</v>
      </c>
      <c r="U25" s="774">
        <f>H25</f>
        <v>100</v>
      </c>
      <c r="V25" s="773" t="s">
        <v>17</v>
      </c>
      <c r="W25" s="774">
        <f>J25</f>
        <v>100</v>
      </c>
      <c r="X25" s="1815"/>
      <c r="Y25" s="3266"/>
      <c r="Z25" s="1816" t="str">
        <f>Q25</f>
        <v>临街状况</v>
      </c>
      <c r="AA25" s="1813">
        <f t="shared" si="3"/>
        <v>1</v>
      </c>
      <c r="AB25" s="1813">
        <f t="shared" si="4"/>
        <v>1</v>
      </c>
      <c r="AC25" s="1813">
        <f t="shared" si="5"/>
        <v>1</v>
      </c>
    </row>
    <row r="26" spans="1:29" ht="15">
      <c r="A26" s="428"/>
      <c r="B26" s="1388" t="s">
        <v>2655</v>
      </c>
      <c r="C26" s="2952" t="s">
        <v>3088</v>
      </c>
      <c r="D26" s="435">
        <v>100</v>
      </c>
      <c r="E26" s="2952" t="s">
        <v>3088</v>
      </c>
      <c r="F26" s="461">
        <f>SUMIF(88:88,E26,89:89)-SUMIF(88:88,C26,89:89)+100</f>
        <v>100</v>
      </c>
      <c r="G26" s="2952" t="s">
        <v>3088</v>
      </c>
      <c r="H26" s="435">
        <f>SUMIF(88:88,G26,89:89)-SUMIF(88:88,C26,89:89)+100</f>
        <v>100</v>
      </c>
      <c r="I26" s="2952" t="s">
        <v>3088</v>
      </c>
      <c r="J26" s="435">
        <f>SUMIF(88:88,I26,89:89)-SUMIF(88:88,C26,89:89)+100</f>
        <v>100</v>
      </c>
      <c r="K26" s="613"/>
      <c r="L26" s="1142"/>
      <c r="M26" s="1133"/>
      <c r="N26" s="1133"/>
      <c r="O26" s="1133"/>
      <c r="P26" s="3264"/>
      <c r="Q26" s="1812" t="str">
        <f t="shared" si="11"/>
        <v>平面位置/可视性</v>
      </c>
      <c r="R26" s="773" t="s">
        <v>17</v>
      </c>
      <c r="S26" s="774">
        <f>F26</f>
        <v>100</v>
      </c>
      <c r="T26" s="773" t="s">
        <v>17</v>
      </c>
      <c r="U26" s="774">
        <f>H26</f>
        <v>100</v>
      </c>
      <c r="V26" s="773" t="s">
        <v>17</v>
      </c>
      <c r="W26" s="774">
        <f>J26</f>
        <v>100</v>
      </c>
      <c r="X26" s="1815"/>
      <c r="Y26" s="3266"/>
      <c r="Z26" s="1816" t="str">
        <f>Q26</f>
        <v>平面位置/可视性</v>
      </c>
      <c r="AA26" s="1813">
        <f t="shared" si="3"/>
        <v>1</v>
      </c>
      <c r="AB26" s="1813">
        <f t="shared" si="4"/>
        <v>1</v>
      </c>
      <c r="AC26" s="1813">
        <f t="shared" si="5"/>
        <v>1</v>
      </c>
    </row>
    <row r="27" spans="1:29" s="117" customFormat="1" ht="15.75">
      <c r="A27" s="431"/>
      <c r="B27" s="451" t="s">
        <v>2656</v>
      </c>
      <c r="C27" s="2665" t="s">
        <v>3184</v>
      </c>
      <c r="D27" s="462">
        <v>100</v>
      </c>
      <c r="E27" s="2665" t="s">
        <v>3184</v>
      </c>
      <c r="F27" s="2958">
        <f>SUMIF(90:90,E27,91:91)-SUMIF(90:90,C27,91:91)+100</f>
        <v>100</v>
      </c>
      <c r="G27" s="2665" t="s">
        <v>3184</v>
      </c>
      <c r="H27" s="2957">
        <f>SUMIF(90:90,G27,91:91)-SUMIF(90:90,C27,91:91)+100</f>
        <v>100</v>
      </c>
      <c r="I27" s="2665" t="s">
        <v>3184</v>
      </c>
      <c r="J27" s="2957">
        <f>SUMIF(90:90,I27,91:91)-SUMIF(90:90,C27,91:91)+100</f>
        <v>100</v>
      </c>
      <c r="K27" s="2956">
        <v>1</v>
      </c>
      <c r="L27" s="1134"/>
      <c r="M27" s="1135"/>
      <c r="N27" s="1135"/>
      <c r="O27" s="1135"/>
      <c r="P27" s="3264"/>
      <c r="Q27" s="1797" t="str">
        <f t="shared" si="11"/>
        <v>人流量</v>
      </c>
      <c r="R27" s="769" t="s">
        <v>17</v>
      </c>
      <c r="S27" s="770">
        <f>F27</f>
        <v>100</v>
      </c>
      <c r="T27" s="769" t="s">
        <v>17</v>
      </c>
      <c r="U27" s="770">
        <f>H27</f>
        <v>100</v>
      </c>
      <c r="V27" s="769" t="s">
        <v>17</v>
      </c>
      <c r="W27" s="770">
        <f>J27</f>
        <v>100</v>
      </c>
      <c r="X27" s="771"/>
      <c r="Y27" s="3266"/>
      <c r="Z27" s="55" t="str">
        <f>Q27</f>
        <v>人流量</v>
      </c>
      <c r="AA27" s="1813">
        <f>D27/F27</f>
        <v>1</v>
      </c>
      <c r="AB27" s="1813">
        <f>D27/H27</f>
        <v>1</v>
      </c>
      <c r="AC27" s="1813">
        <f>D27/J27</f>
        <v>1</v>
      </c>
    </row>
    <row r="28" spans="1:29" ht="15.75" thickBot="1">
      <c r="A28" s="428"/>
      <c r="B28" s="422" t="s">
        <v>2657</v>
      </c>
      <c r="C28" s="616" t="s">
        <v>3122</v>
      </c>
      <c r="D28" s="435">
        <v>100</v>
      </c>
      <c r="E28" s="616" t="s">
        <v>3122</v>
      </c>
      <c r="F28" s="461">
        <f>SUMIF(92:92,E28,93:93)-SUMIF(92:92,C28,93:93)+100</f>
        <v>100</v>
      </c>
      <c r="G28" s="616" t="s">
        <v>3122</v>
      </c>
      <c r="H28" s="435">
        <f>SUMIF(92:92,G28,93:93)-SUMIF(92:92,C28,93:93)+100</f>
        <v>100</v>
      </c>
      <c r="I28" s="616" t="s">
        <v>3122</v>
      </c>
      <c r="J28" s="435">
        <f>SUMIF(92:92,I28,93:93)-SUMIF(92:92,C28,93:93)+100</f>
        <v>100</v>
      </c>
      <c r="K28" s="613"/>
      <c r="L28" s="1142"/>
      <c r="M28" s="1133"/>
      <c r="N28" s="1133"/>
      <c r="O28" s="1133"/>
      <c r="P28" s="3264"/>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66"/>
      <c r="Z28" s="1816" t="str">
        <f t="shared" ref="Z28:Z46" si="15">Q28</f>
        <v>楼层</v>
      </c>
      <c r="AA28" s="1813">
        <f t="shared" si="3"/>
        <v>1</v>
      </c>
      <c r="AB28" s="1813">
        <f t="shared" si="4"/>
        <v>1</v>
      </c>
      <c r="AC28" s="1813">
        <f t="shared" si="5"/>
        <v>1</v>
      </c>
    </row>
    <row r="29" spans="1:29" ht="15" hidden="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64"/>
      <c r="Q29" s="1812">
        <f t="shared" si="11"/>
        <v>111</v>
      </c>
      <c r="R29" s="773" t="s">
        <v>17</v>
      </c>
      <c r="S29" s="774">
        <f t="shared" si="12"/>
        <v>100</v>
      </c>
      <c r="T29" s="773" t="s">
        <v>17</v>
      </c>
      <c r="U29" s="774">
        <f t="shared" si="13"/>
        <v>100</v>
      </c>
      <c r="V29" s="773" t="s">
        <v>17</v>
      </c>
      <c r="W29" s="774">
        <f t="shared" si="14"/>
        <v>100</v>
      </c>
      <c r="X29" s="1815"/>
      <c r="Y29" s="3266"/>
      <c r="Z29" s="1816">
        <f t="shared" si="15"/>
        <v>111</v>
      </c>
      <c r="AA29" s="1813">
        <f t="shared" si="3"/>
        <v>1</v>
      </c>
      <c r="AB29" s="1813">
        <f t="shared" si="4"/>
        <v>1</v>
      </c>
      <c r="AC29" s="1813">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64"/>
      <c r="Q30" s="1812">
        <f t="shared" si="11"/>
        <v>111</v>
      </c>
      <c r="R30" s="773" t="s">
        <v>17</v>
      </c>
      <c r="S30" s="774">
        <f t="shared" si="12"/>
        <v>100</v>
      </c>
      <c r="T30" s="773" t="s">
        <v>17</v>
      </c>
      <c r="U30" s="774">
        <f t="shared" si="13"/>
        <v>100</v>
      </c>
      <c r="V30" s="773" t="s">
        <v>17</v>
      </c>
      <c r="W30" s="774">
        <f t="shared" si="14"/>
        <v>100</v>
      </c>
      <c r="X30" s="1815"/>
      <c r="Y30" s="3266"/>
      <c r="Z30" s="1816">
        <f t="shared" si="15"/>
        <v>111</v>
      </c>
      <c r="AA30" s="1813">
        <f t="shared" si="3"/>
        <v>1</v>
      </c>
      <c r="AB30" s="1813">
        <f t="shared" si="4"/>
        <v>1</v>
      </c>
      <c r="AC30" s="1813">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64"/>
      <c r="Q31" s="1812">
        <f t="shared" si="11"/>
        <v>111</v>
      </c>
      <c r="R31" s="773" t="s">
        <v>17</v>
      </c>
      <c r="S31" s="774">
        <f t="shared" si="12"/>
        <v>100</v>
      </c>
      <c r="T31" s="773" t="s">
        <v>17</v>
      </c>
      <c r="U31" s="774">
        <f t="shared" si="13"/>
        <v>100</v>
      </c>
      <c r="V31" s="773" t="s">
        <v>17</v>
      </c>
      <c r="W31" s="774">
        <f t="shared" si="14"/>
        <v>100</v>
      </c>
      <c r="X31" s="1815"/>
      <c r="Y31" s="3266"/>
      <c r="Z31" s="1816">
        <f t="shared" si="15"/>
        <v>111</v>
      </c>
      <c r="AA31" s="1813">
        <f t="shared" si="3"/>
        <v>1</v>
      </c>
      <c r="AB31" s="1813">
        <f t="shared" si="4"/>
        <v>1</v>
      </c>
      <c r="AC31" s="1813">
        <f t="shared" si="5"/>
        <v>1</v>
      </c>
    </row>
    <row r="32" spans="1:29" ht="15">
      <c r="A32" s="440" t="s">
        <v>2561</v>
      </c>
      <c r="B32" s="71" t="s">
        <v>2658</v>
      </c>
      <c r="C32" s="2617" t="s">
        <v>3099</v>
      </c>
      <c r="D32" s="467">
        <v>100</v>
      </c>
      <c r="E32" s="2617" t="s">
        <v>3099</v>
      </c>
      <c r="F32" s="461">
        <f>SUMIF(100:100,E32,101:101)-SUMIF(100:100,C32,101:101)+100</f>
        <v>100</v>
      </c>
      <c r="G32" s="2617" t="s">
        <v>3099</v>
      </c>
      <c r="H32" s="435">
        <f>SUMIF(100:100,G32,101:101)-SUMIF(100:100,C32,101:101)+100</f>
        <v>100</v>
      </c>
      <c r="I32" s="2617" t="s">
        <v>3099</v>
      </c>
      <c r="J32" s="467">
        <f>SUMIF(100:100,I32,101:101)-SUMIF(100:100,C32,101:101)+100</f>
        <v>100</v>
      </c>
      <c r="K32" s="612">
        <v>5</v>
      </c>
      <c r="L32" s="1142"/>
      <c r="M32" s="1133"/>
      <c r="N32" s="1133"/>
      <c r="O32" s="1133"/>
      <c r="P32" s="3267" t="s">
        <v>2563</v>
      </c>
      <c r="Q32" s="1812" t="str">
        <f t="shared" si="11"/>
        <v>商业类型</v>
      </c>
      <c r="R32" s="773" t="s">
        <v>17</v>
      </c>
      <c r="S32" s="774">
        <f t="shared" si="12"/>
        <v>100</v>
      </c>
      <c r="T32" s="773" t="s">
        <v>17</v>
      </c>
      <c r="U32" s="774">
        <f t="shared" si="13"/>
        <v>100</v>
      </c>
      <c r="V32" s="773" t="s">
        <v>17</v>
      </c>
      <c r="W32" s="774">
        <f t="shared" si="14"/>
        <v>100</v>
      </c>
      <c r="X32" s="1815"/>
      <c r="Y32" s="3270" t="s">
        <v>2563</v>
      </c>
      <c r="Z32" s="1816" t="str">
        <f t="shared" si="15"/>
        <v>商业类型</v>
      </c>
      <c r="AA32" s="1813">
        <f t="shared" si="3"/>
        <v>1</v>
      </c>
      <c r="AB32" s="1813">
        <f t="shared" si="4"/>
        <v>1</v>
      </c>
      <c r="AC32" s="1813">
        <f t="shared" si="5"/>
        <v>1</v>
      </c>
    </row>
    <row r="33" spans="1:29" s="471" customFormat="1" ht="15" hidden="1">
      <c r="A33" s="468"/>
      <c r="B33" s="422" t="s">
        <v>2564</v>
      </c>
      <c r="C33" s="469">
        <v>191290</v>
      </c>
      <c r="D33" s="136">
        <v>100</v>
      </c>
      <c r="E33" s="430">
        <v>191290</v>
      </c>
      <c r="F33" s="425">
        <f>LOOKUP(E33,103:103,104:104)-LOOKUP(C33,103:103,104:104)+100</f>
        <v>100</v>
      </c>
      <c r="G33" s="429">
        <v>191290</v>
      </c>
      <c r="H33" s="136">
        <f>LOOKUP(G33,103:103,104:104)-LOOKUP(C33,103:103,104:104)+100</f>
        <v>100</v>
      </c>
      <c r="I33" s="429">
        <v>191290</v>
      </c>
      <c r="J33" s="136">
        <f>LOOKUP(I33,103:103,104:104)-LOOKUP(C33,103:103,104:104)+100</f>
        <v>100</v>
      </c>
      <c r="K33" s="613"/>
      <c r="L33" s="1140"/>
      <c r="M33" s="1143"/>
      <c r="N33" s="1143"/>
      <c r="O33" s="1143"/>
      <c r="P33" s="3268"/>
      <c r="Q33" s="775" t="str">
        <f t="shared" si="11"/>
        <v>项目建筑规模</v>
      </c>
      <c r="R33" s="776" t="s">
        <v>17</v>
      </c>
      <c r="S33" s="777">
        <f t="shared" si="12"/>
        <v>100</v>
      </c>
      <c r="T33" s="776" t="s">
        <v>17</v>
      </c>
      <c r="U33" s="777">
        <f t="shared" si="13"/>
        <v>100</v>
      </c>
      <c r="V33" s="776" t="s">
        <v>17</v>
      </c>
      <c r="W33" s="777">
        <f t="shared" si="14"/>
        <v>100</v>
      </c>
      <c r="X33" s="778"/>
      <c r="Y33" s="3270"/>
      <c r="Z33" s="779" t="str">
        <f t="shared" si="15"/>
        <v>项目建筑规模</v>
      </c>
      <c r="AA33" s="1813">
        <f t="shared" si="3"/>
        <v>1</v>
      </c>
      <c r="AB33" s="1813">
        <f t="shared" si="4"/>
        <v>1</v>
      </c>
      <c r="AC33" s="1813">
        <f t="shared" si="5"/>
        <v>1</v>
      </c>
    </row>
    <row r="34" spans="1:29" ht="15">
      <c r="A34" s="472"/>
      <c r="B34" s="422" t="s">
        <v>2565</v>
      </c>
      <c r="C34" s="2619" t="s">
        <v>3072</v>
      </c>
      <c r="D34" s="435">
        <v>100</v>
      </c>
      <c r="E34" s="2619" t="s">
        <v>3072</v>
      </c>
      <c r="F34" s="461">
        <f>SUMIF(105:105,E34,106:106)-SUMIF(105:105,C34,106:106)+100</f>
        <v>100</v>
      </c>
      <c r="G34" s="2619" t="s">
        <v>3072</v>
      </c>
      <c r="H34" s="435">
        <f>SUMIF(105:105,G34,106:106)-SUMIF(105:105,C34,106:106)+100</f>
        <v>100</v>
      </c>
      <c r="I34" s="2619" t="s">
        <v>3072</v>
      </c>
      <c r="J34" s="435">
        <f>SUMIF(105:105,I34,106:106)-SUMIF(105:105,C34,106:106)+100</f>
        <v>100</v>
      </c>
      <c r="K34" s="612"/>
      <c r="L34" s="1142"/>
      <c r="M34" s="1133"/>
      <c r="N34" s="1133"/>
      <c r="O34" s="1133"/>
      <c r="P34" s="3268"/>
      <c r="Q34" s="1812" t="str">
        <f t="shared" si="11"/>
        <v>建筑结构</v>
      </c>
      <c r="R34" s="773" t="s">
        <v>17</v>
      </c>
      <c r="S34" s="774">
        <f t="shared" si="12"/>
        <v>100</v>
      </c>
      <c r="T34" s="773" t="s">
        <v>17</v>
      </c>
      <c r="U34" s="774">
        <f t="shared" si="13"/>
        <v>100</v>
      </c>
      <c r="V34" s="773" t="s">
        <v>17</v>
      </c>
      <c r="W34" s="774">
        <f t="shared" si="14"/>
        <v>100</v>
      </c>
      <c r="X34" s="1815"/>
      <c r="Y34" s="3270"/>
      <c r="Z34" s="1816" t="str">
        <f t="shared" si="15"/>
        <v>建筑结构</v>
      </c>
      <c r="AA34" s="1813">
        <f t="shared" si="3"/>
        <v>1</v>
      </c>
      <c r="AB34" s="1813">
        <f t="shared" si="4"/>
        <v>1</v>
      </c>
      <c r="AC34" s="1813">
        <f t="shared" si="5"/>
        <v>1</v>
      </c>
    </row>
    <row r="35" spans="1:29" ht="15">
      <c r="A35" s="472"/>
      <c r="B35" s="422" t="s">
        <v>2659</v>
      </c>
      <c r="C35" s="2613" t="s">
        <v>3106</v>
      </c>
      <c r="D35" s="435">
        <v>100</v>
      </c>
      <c r="E35" s="2613" t="s">
        <v>3106</v>
      </c>
      <c r="F35" s="461">
        <f>SUMIF(107:107,E35,108:108)-SUMIF(107:107,C35,108:108)+100</f>
        <v>100</v>
      </c>
      <c r="G35" s="2613" t="s">
        <v>3106</v>
      </c>
      <c r="H35" s="435">
        <f>SUMIF(107:107,G35,108:108)-SUMIF(107:107,C35,108:108)+100</f>
        <v>100</v>
      </c>
      <c r="I35" s="2613" t="s">
        <v>3106</v>
      </c>
      <c r="J35" s="435">
        <f>SUMIF(107:107,I35,108:108)-SUMIF(107:107,C35,108:108)+100</f>
        <v>100</v>
      </c>
      <c r="K35" s="612">
        <v>3</v>
      </c>
      <c r="L35" s="1142"/>
      <c r="M35" s="1133"/>
      <c r="N35" s="1133"/>
      <c r="O35" s="1133"/>
      <c r="P35" s="3268"/>
      <c r="Q35" s="1812" t="str">
        <f t="shared" si="11"/>
        <v>公共部分装修</v>
      </c>
      <c r="R35" s="773" t="s">
        <v>17</v>
      </c>
      <c r="S35" s="774">
        <f t="shared" si="12"/>
        <v>100</v>
      </c>
      <c r="T35" s="773" t="s">
        <v>17</v>
      </c>
      <c r="U35" s="774">
        <f t="shared" si="13"/>
        <v>100</v>
      </c>
      <c r="V35" s="773" t="s">
        <v>17</v>
      </c>
      <c r="W35" s="774">
        <f t="shared" si="14"/>
        <v>100</v>
      </c>
      <c r="X35" s="1815"/>
      <c r="Y35" s="3270"/>
      <c r="Z35" s="1816" t="str">
        <f t="shared" si="15"/>
        <v>公共部分装修</v>
      </c>
      <c r="AA35" s="1813">
        <f t="shared" si="3"/>
        <v>1</v>
      </c>
      <c r="AB35" s="1813">
        <f t="shared" si="4"/>
        <v>1</v>
      </c>
      <c r="AC35" s="1813">
        <f t="shared" si="5"/>
        <v>1</v>
      </c>
    </row>
    <row r="36" spans="1:29" ht="15">
      <c r="A36" s="472"/>
      <c r="B36" s="422" t="s">
        <v>2660</v>
      </c>
      <c r="C36" s="474">
        <f>'数据-取费表'!N6</f>
        <v>0.98</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2</v>
      </c>
      <c r="L36" s="1142"/>
      <c r="M36" s="1133"/>
      <c r="N36" s="1133"/>
      <c r="O36" s="1133"/>
      <c r="P36" s="3268"/>
      <c r="Q36" s="1812" t="str">
        <f t="shared" si="11"/>
        <v>成新度</v>
      </c>
      <c r="R36" s="773" t="s">
        <v>17</v>
      </c>
      <c r="S36" s="774">
        <f t="shared" si="12"/>
        <v>100</v>
      </c>
      <c r="T36" s="773" t="s">
        <v>17</v>
      </c>
      <c r="U36" s="774">
        <f t="shared" si="13"/>
        <v>100</v>
      </c>
      <c r="V36" s="773" t="s">
        <v>17</v>
      </c>
      <c r="W36" s="774">
        <f t="shared" si="14"/>
        <v>100</v>
      </c>
      <c r="X36" s="1815"/>
      <c r="Y36" s="3270"/>
      <c r="Z36" s="1816" t="str">
        <f t="shared" si="15"/>
        <v>成新度</v>
      </c>
      <c r="AA36" s="1813">
        <f t="shared" si="3"/>
        <v>1</v>
      </c>
      <c r="AB36" s="1813">
        <f t="shared" si="4"/>
        <v>1</v>
      </c>
      <c r="AC36" s="1813">
        <f t="shared" si="5"/>
        <v>1</v>
      </c>
    </row>
    <row r="37" spans="1:29" s="117" customFormat="1" ht="15">
      <c r="A37" s="473"/>
      <c r="B37" s="422" t="s">
        <v>2661</v>
      </c>
      <c r="C37" s="2613" t="s">
        <v>3081</v>
      </c>
      <c r="D37" s="136">
        <v>100</v>
      </c>
      <c r="E37" s="2613" t="s">
        <v>3081</v>
      </c>
      <c r="F37" s="461">
        <f>SUMIF(112:112,E37,113:113)-SUMIF(112:112,C37,113:113)+100</f>
        <v>100</v>
      </c>
      <c r="G37" s="2613" t="s">
        <v>3081</v>
      </c>
      <c r="H37" s="435">
        <f>SUMIF(112:112,G37,113:113)-SUMIF(112:112,C37,113:113)+100</f>
        <v>100</v>
      </c>
      <c r="I37" s="2613" t="s">
        <v>3081</v>
      </c>
      <c r="J37" s="435">
        <f>SUMIF(112:112,I37,113:113)-SUMIF(112:112,C37,113:113)+100</f>
        <v>100</v>
      </c>
      <c r="K37" s="612"/>
      <c r="L37" s="1134"/>
      <c r="M37" s="1135"/>
      <c r="N37" s="1135"/>
      <c r="O37" s="1135"/>
      <c r="P37" s="3268"/>
      <c r="Q37" s="1797" t="str">
        <f t="shared" si="11"/>
        <v>市政基础设施</v>
      </c>
      <c r="R37" s="769" t="s">
        <v>17</v>
      </c>
      <c r="S37" s="770">
        <f t="shared" si="12"/>
        <v>100</v>
      </c>
      <c r="T37" s="769" t="s">
        <v>17</v>
      </c>
      <c r="U37" s="770">
        <f t="shared" si="13"/>
        <v>100</v>
      </c>
      <c r="V37" s="769" t="s">
        <v>17</v>
      </c>
      <c r="W37" s="770">
        <f t="shared" si="14"/>
        <v>100</v>
      </c>
      <c r="X37" s="771"/>
      <c r="Y37" s="3270"/>
      <c r="Z37" s="55" t="str">
        <f t="shared" si="15"/>
        <v>市政基础设施</v>
      </c>
      <c r="AA37" s="772">
        <f t="shared" si="3"/>
        <v>1</v>
      </c>
      <c r="AB37" s="772">
        <f t="shared" si="4"/>
        <v>1</v>
      </c>
      <c r="AC37" s="772">
        <f t="shared" si="5"/>
        <v>1</v>
      </c>
    </row>
    <row r="38" spans="1:29" ht="15">
      <c r="A38" s="472"/>
      <c r="B38" s="422" t="s">
        <v>2662</v>
      </c>
      <c r="C38" s="2613" t="s">
        <v>3117</v>
      </c>
      <c r="D38" s="435">
        <v>100</v>
      </c>
      <c r="E38" s="2613" t="s">
        <v>3117</v>
      </c>
      <c r="F38" s="461">
        <f>SUMIF(114:114,E38,115:115)-SUMIF(114:114,C38,115:115)+100</f>
        <v>100</v>
      </c>
      <c r="G38" s="2613" t="s">
        <v>3117</v>
      </c>
      <c r="H38" s="435">
        <f>SUMIF(114:114,G38,115:115)-SUMIF(114:114,C38,115:115)+100</f>
        <v>100</v>
      </c>
      <c r="I38" s="2613" t="s">
        <v>3117</v>
      </c>
      <c r="J38" s="435">
        <f>SUMIF(114:114,I38,115:115)-SUMIF(114:114,C38,115:115)+100</f>
        <v>100</v>
      </c>
      <c r="K38" s="612">
        <v>5</v>
      </c>
      <c r="L38" s="1142"/>
      <c r="M38" s="1133"/>
      <c r="N38" s="1133"/>
      <c r="O38" s="1133"/>
      <c r="P38" s="3268" t="s">
        <v>2563</v>
      </c>
      <c r="Q38" s="1812" t="str">
        <f t="shared" si="11"/>
        <v>业态</v>
      </c>
      <c r="R38" s="773" t="s">
        <v>17</v>
      </c>
      <c r="S38" s="774">
        <f t="shared" si="12"/>
        <v>100</v>
      </c>
      <c r="T38" s="773" t="s">
        <v>17</v>
      </c>
      <c r="U38" s="774">
        <f t="shared" si="13"/>
        <v>100</v>
      </c>
      <c r="V38" s="773" t="s">
        <v>17</v>
      </c>
      <c r="W38" s="774">
        <f t="shared" si="14"/>
        <v>100</v>
      </c>
      <c r="X38" s="1815"/>
      <c r="Y38" s="3270" t="s">
        <v>2563</v>
      </c>
      <c r="Z38" s="1816" t="str">
        <f t="shared" si="15"/>
        <v>业态</v>
      </c>
      <c r="AA38" s="1813">
        <f t="shared" si="3"/>
        <v>1</v>
      </c>
      <c r="AB38" s="1813">
        <f t="shared" si="4"/>
        <v>1</v>
      </c>
      <c r="AC38" s="1813">
        <f t="shared" si="5"/>
        <v>1</v>
      </c>
    </row>
    <row r="39" spans="1:29" ht="15">
      <c r="A39" s="472"/>
      <c r="B39" s="422" t="s">
        <v>2663</v>
      </c>
      <c r="C39" s="2613" t="s">
        <v>3119</v>
      </c>
      <c r="D39" s="435">
        <v>100</v>
      </c>
      <c r="E39" s="2613" t="s">
        <v>3119</v>
      </c>
      <c r="F39" s="461">
        <f>SUMIF(116:116,E39,117:117)-SUMIF(116:116,C39,117:117)+100</f>
        <v>100</v>
      </c>
      <c r="G39" s="2613" t="s">
        <v>3119</v>
      </c>
      <c r="H39" s="435">
        <f>SUMIF(116:116,G39,117:117)-SUMIF(116:116,C39,117:117)+100</f>
        <v>100</v>
      </c>
      <c r="I39" s="2613" t="s">
        <v>3119</v>
      </c>
      <c r="J39" s="435">
        <f>SUMIF(116:116,I39,117:117)-SUMIF(116:116,C39,117:117)+100</f>
        <v>100</v>
      </c>
      <c r="K39" s="612"/>
      <c r="L39" s="1142"/>
      <c r="M39" s="1133"/>
      <c r="N39" s="1133"/>
      <c r="O39" s="1133"/>
      <c r="P39" s="3268"/>
      <c r="Q39" s="1812" t="str">
        <f t="shared" si="11"/>
        <v>层高</v>
      </c>
      <c r="R39" s="773" t="s">
        <v>17</v>
      </c>
      <c r="S39" s="774">
        <f t="shared" si="12"/>
        <v>100</v>
      </c>
      <c r="T39" s="773" t="s">
        <v>17</v>
      </c>
      <c r="U39" s="774">
        <f t="shared" si="13"/>
        <v>100</v>
      </c>
      <c r="V39" s="773" t="s">
        <v>17</v>
      </c>
      <c r="W39" s="774">
        <f t="shared" si="14"/>
        <v>100</v>
      </c>
      <c r="X39" s="1815"/>
      <c r="Y39" s="3270"/>
      <c r="Z39" s="1816" t="str">
        <f t="shared" si="15"/>
        <v>层高</v>
      </c>
      <c r="AA39" s="1813">
        <f t="shared" si="3"/>
        <v>1</v>
      </c>
      <c r="AB39" s="1813">
        <f t="shared" si="4"/>
        <v>1</v>
      </c>
      <c r="AC39" s="1813">
        <f t="shared" si="5"/>
        <v>1</v>
      </c>
    </row>
    <row r="40" spans="1:29" ht="15">
      <c r="A40" s="472"/>
      <c r="B40" s="422" t="s">
        <v>2664</v>
      </c>
      <c r="C40" s="2953">
        <f>Sheet1!E3</f>
        <v>139.15</v>
      </c>
      <c r="D40" s="435">
        <v>100</v>
      </c>
      <c r="E40" s="617">
        <v>105</v>
      </c>
      <c r="F40" s="461">
        <f>SUMIF(118:118,E40,119:119)-SUMIF(118:118,C40,119:119)+100</f>
        <v>100</v>
      </c>
      <c r="G40" s="617">
        <v>62</v>
      </c>
      <c r="H40" s="435">
        <f>SUMIF(118:118,G40,119:119)-SUMIF(118:118,C40,119:119)+100</f>
        <v>101</v>
      </c>
      <c r="I40" s="617">
        <v>65</v>
      </c>
      <c r="J40" s="435">
        <f>SUMIF(118:118,I40,119:119)-SUMIF(118:118,C40,119:119)+100</f>
        <v>101</v>
      </c>
      <c r="K40" s="613"/>
      <c r="L40" s="1142"/>
      <c r="M40" s="1133"/>
      <c r="N40" s="1133"/>
      <c r="O40" s="1133"/>
      <c r="P40" s="3268"/>
      <c r="Q40" s="1812" t="str">
        <f t="shared" si="11"/>
        <v>单套建筑面积</v>
      </c>
      <c r="R40" s="773" t="s">
        <v>17</v>
      </c>
      <c r="S40" s="774">
        <f t="shared" si="12"/>
        <v>100</v>
      </c>
      <c r="T40" s="773" t="s">
        <v>17</v>
      </c>
      <c r="U40" s="774">
        <f t="shared" si="13"/>
        <v>101</v>
      </c>
      <c r="V40" s="773" t="s">
        <v>17</v>
      </c>
      <c r="W40" s="774">
        <f t="shared" si="14"/>
        <v>101</v>
      </c>
      <c r="X40" s="1815"/>
      <c r="Y40" s="3270"/>
      <c r="Z40" s="1816" t="str">
        <f t="shared" si="15"/>
        <v>单套建筑面积</v>
      </c>
      <c r="AA40" s="1813">
        <f t="shared" si="3"/>
        <v>1</v>
      </c>
      <c r="AB40" s="1813">
        <f t="shared" si="4"/>
        <v>0.99009900990099009</v>
      </c>
      <c r="AC40" s="1813">
        <f t="shared" si="5"/>
        <v>0.99009900990099009</v>
      </c>
    </row>
    <row r="41" spans="1:29" s="471" customFormat="1" ht="15">
      <c r="A41" s="468"/>
      <c r="B41" s="1814" t="s">
        <v>2665</v>
      </c>
      <c r="C41" s="616" t="s">
        <v>3080</v>
      </c>
      <c r="D41" s="435">
        <v>100</v>
      </c>
      <c r="E41" s="616" t="s">
        <v>3080</v>
      </c>
      <c r="F41" s="461">
        <f>SUMIF(120:120,E41,121:121)-SUMIF(120:120,C41,121:121)+100</f>
        <v>100</v>
      </c>
      <c r="G41" s="616" t="s">
        <v>3080</v>
      </c>
      <c r="H41" s="435">
        <f>SUMIF(120:120,G41,121:121)-SUMIF(120:120,C41,121:121)+100</f>
        <v>100</v>
      </c>
      <c r="I41" s="616" t="s">
        <v>3080</v>
      </c>
      <c r="J41" s="435">
        <f>SUMIF(120:120,I41,121:121)-SUMIF(120:120,C41,121:121)+100</f>
        <v>100</v>
      </c>
      <c r="K41" s="612">
        <v>3</v>
      </c>
      <c r="L41" s="1140"/>
      <c r="M41" s="1143"/>
      <c r="N41" s="1143"/>
      <c r="O41" s="1143"/>
      <c r="P41" s="3268"/>
      <c r="Q41" s="775" t="str">
        <f t="shared" si="11"/>
        <v>进深比</v>
      </c>
      <c r="R41" s="776" t="s">
        <v>17</v>
      </c>
      <c r="S41" s="777">
        <f t="shared" si="12"/>
        <v>100</v>
      </c>
      <c r="T41" s="776" t="s">
        <v>17</v>
      </c>
      <c r="U41" s="777">
        <f t="shared" si="13"/>
        <v>100</v>
      </c>
      <c r="V41" s="776" t="s">
        <v>17</v>
      </c>
      <c r="W41" s="777">
        <f t="shared" si="14"/>
        <v>100</v>
      </c>
      <c r="X41" s="778"/>
      <c r="Y41" s="3270"/>
      <c r="Z41" s="779" t="str">
        <f t="shared" si="15"/>
        <v>进深比</v>
      </c>
      <c r="AA41" s="1813">
        <f t="shared" si="3"/>
        <v>1</v>
      </c>
      <c r="AB41" s="1813">
        <f t="shared" si="4"/>
        <v>1</v>
      </c>
      <c r="AC41" s="1813">
        <f t="shared" si="5"/>
        <v>1</v>
      </c>
    </row>
    <row r="42" spans="1:29" ht="15">
      <c r="A42" s="472"/>
      <c r="B42" s="422" t="s">
        <v>2666</v>
      </c>
      <c r="C42" s="2613" t="s">
        <v>3108</v>
      </c>
      <c r="D42" s="435">
        <v>100</v>
      </c>
      <c r="E42" s="2613" t="s">
        <v>3108</v>
      </c>
      <c r="F42" s="461">
        <f>SUMIF(122:122,E42,123:123)-SUMIF(122:122,C42,123:123)+100</f>
        <v>100</v>
      </c>
      <c r="G42" s="2613" t="s">
        <v>3108</v>
      </c>
      <c r="H42" s="435">
        <f>SUMIF(122:122,G42,123:123)-SUMIF(122:122,C42,123:123)+100</f>
        <v>100</v>
      </c>
      <c r="I42" s="2613" t="s">
        <v>3108</v>
      </c>
      <c r="J42" s="435">
        <f>SUMIF(122:122,I42,123:123)-SUMIF(122:122,C42,123:123)+100</f>
        <v>100</v>
      </c>
      <c r="K42" s="612">
        <v>3</v>
      </c>
      <c r="L42" s="1142"/>
      <c r="M42" s="1133"/>
      <c r="N42" s="1133"/>
      <c r="O42" s="1133"/>
      <c r="P42" s="3268"/>
      <c r="Q42" s="1812" t="str">
        <f t="shared" si="11"/>
        <v>内部装修</v>
      </c>
      <c r="R42" s="773" t="s">
        <v>17</v>
      </c>
      <c r="S42" s="774">
        <f t="shared" si="12"/>
        <v>100</v>
      </c>
      <c r="T42" s="773" t="s">
        <v>17</v>
      </c>
      <c r="U42" s="774">
        <f t="shared" si="13"/>
        <v>100</v>
      </c>
      <c r="V42" s="773" t="s">
        <v>17</v>
      </c>
      <c r="W42" s="774">
        <f t="shared" si="14"/>
        <v>100</v>
      </c>
      <c r="X42" s="1815"/>
      <c r="Y42" s="3270"/>
      <c r="Z42" s="1816" t="str">
        <f t="shared" si="15"/>
        <v>内部装修</v>
      </c>
      <c r="AA42" s="1813">
        <f t="shared" si="3"/>
        <v>1</v>
      </c>
      <c r="AB42" s="1813">
        <f t="shared" si="4"/>
        <v>1</v>
      </c>
      <c r="AC42" s="1813">
        <f t="shared" si="5"/>
        <v>1</v>
      </c>
    </row>
    <row r="43" spans="1:29" ht="15.75" thickBot="1">
      <c r="A43" s="472"/>
      <c r="B43" s="422" t="s">
        <v>2574</v>
      </c>
      <c r="C43" s="2613" t="s">
        <v>3080</v>
      </c>
      <c r="D43" s="435">
        <v>100</v>
      </c>
      <c r="E43" s="2613" t="s">
        <v>3080</v>
      </c>
      <c r="F43" s="461">
        <f>SUMIF(124:124,E43,125:125)-SUMIF(124:124,C43,125:125)+100</f>
        <v>100</v>
      </c>
      <c r="G43" s="2613" t="s">
        <v>3080</v>
      </c>
      <c r="H43" s="435">
        <f>SUMIF(124:124,G43,125:125)-SUMIF(124:124,C43,125:125)+100</f>
        <v>100</v>
      </c>
      <c r="I43" s="2613" t="s">
        <v>3080</v>
      </c>
      <c r="J43" s="435">
        <f>SUMIF(124:124,I43,125:125)-SUMIF(124:124,C43,125:125)+100</f>
        <v>100</v>
      </c>
      <c r="K43" s="612">
        <v>3</v>
      </c>
      <c r="L43" s="1142"/>
      <c r="M43" s="1133"/>
      <c r="N43" s="1133"/>
      <c r="O43" s="1133"/>
      <c r="P43" s="3268"/>
      <c r="Q43" s="1812" t="str">
        <f t="shared" si="11"/>
        <v>内部装修维护情况</v>
      </c>
      <c r="R43" s="773" t="s">
        <v>17</v>
      </c>
      <c r="S43" s="774">
        <f t="shared" si="12"/>
        <v>100</v>
      </c>
      <c r="T43" s="773" t="s">
        <v>17</v>
      </c>
      <c r="U43" s="774">
        <f t="shared" si="13"/>
        <v>100</v>
      </c>
      <c r="V43" s="773" t="s">
        <v>17</v>
      </c>
      <c r="W43" s="774">
        <f t="shared" si="14"/>
        <v>100</v>
      </c>
      <c r="X43" s="1815"/>
      <c r="Y43" s="3270"/>
      <c r="Z43" s="1816" t="str">
        <f t="shared" si="15"/>
        <v>内部装修维护情况</v>
      </c>
      <c r="AA43" s="1813">
        <f t="shared" si="3"/>
        <v>1</v>
      </c>
      <c r="AB43" s="1813">
        <f t="shared" si="4"/>
        <v>1</v>
      </c>
      <c r="AC43" s="1813">
        <f t="shared" si="5"/>
        <v>1</v>
      </c>
    </row>
    <row r="44" spans="1:29" s="117" customFormat="1" ht="15" hidden="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68"/>
      <c r="Q44" s="1797">
        <f t="shared" si="11"/>
        <v>111</v>
      </c>
      <c r="R44" s="769" t="s">
        <v>17</v>
      </c>
      <c r="S44" s="770">
        <f t="shared" si="12"/>
        <v>100</v>
      </c>
      <c r="T44" s="769" t="s">
        <v>17</v>
      </c>
      <c r="U44" s="770">
        <f t="shared" si="13"/>
        <v>100</v>
      </c>
      <c r="V44" s="769" t="s">
        <v>17</v>
      </c>
      <c r="W44" s="770">
        <f t="shared" si="14"/>
        <v>100</v>
      </c>
      <c r="X44" s="771"/>
      <c r="Y44" s="3270"/>
      <c r="Z44" s="55">
        <f t="shared" si="15"/>
        <v>111</v>
      </c>
      <c r="AA44" s="772">
        <f t="shared" si="3"/>
        <v>1</v>
      </c>
      <c r="AB44" s="772">
        <f t="shared" si="4"/>
        <v>1</v>
      </c>
      <c r="AC44" s="772">
        <f t="shared" si="5"/>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68"/>
      <c r="Q45" s="1812">
        <f t="shared" si="11"/>
        <v>111</v>
      </c>
      <c r="R45" s="773" t="s">
        <v>17</v>
      </c>
      <c r="S45" s="774">
        <f t="shared" si="12"/>
        <v>100</v>
      </c>
      <c r="T45" s="773" t="s">
        <v>17</v>
      </c>
      <c r="U45" s="774">
        <f t="shared" si="13"/>
        <v>100</v>
      </c>
      <c r="V45" s="773" t="s">
        <v>17</v>
      </c>
      <c r="W45" s="774">
        <f t="shared" si="14"/>
        <v>100</v>
      </c>
      <c r="X45" s="1815"/>
      <c r="Y45" s="3270"/>
      <c r="Z45" s="1816">
        <f t="shared" si="15"/>
        <v>111</v>
      </c>
      <c r="AA45" s="1813">
        <f t="shared" si="3"/>
        <v>1</v>
      </c>
      <c r="AB45" s="1813">
        <f t="shared" si="4"/>
        <v>1</v>
      </c>
      <c r="AC45" s="1813">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69"/>
      <c r="Q46" s="1812">
        <f t="shared" si="11"/>
        <v>111</v>
      </c>
      <c r="R46" s="773" t="s">
        <v>17</v>
      </c>
      <c r="S46" s="774">
        <f t="shared" si="12"/>
        <v>100</v>
      </c>
      <c r="T46" s="773" t="s">
        <v>17</v>
      </c>
      <c r="U46" s="774">
        <f t="shared" si="13"/>
        <v>100</v>
      </c>
      <c r="V46" s="773" t="s">
        <v>17</v>
      </c>
      <c r="W46" s="774">
        <f t="shared" si="14"/>
        <v>100</v>
      </c>
      <c r="X46" s="1815"/>
      <c r="Y46" s="3271"/>
      <c r="Z46" s="1816">
        <f t="shared" si="15"/>
        <v>111</v>
      </c>
      <c r="AA46" s="1813">
        <f t="shared" si="3"/>
        <v>1</v>
      </c>
      <c r="AB46" s="1813">
        <f t="shared" si="4"/>
        <v>1</v>
      </c>
      <c r="AC46" s="1813">
        <f t="shared" si="5"/>
        <v>1</v>
      </c>
    </row>
    <row r="47" spans="1:29" ht="15">
      <c r="A47" s="479" t="s">
        <v>2575</v>
      </c>
      <c r="B47" s="480"/>
      <c r="C47" s="1409" t="s">
        <v>1</v>
      </c>
      <c r="D47" s="1410"/>
      <c r="E47" s="1411">
        <f>ROUND(35000*0.95,0)</f>
        <v>33250</v>
      </c>
      <c r="F47" s="1412"/>
      <c r="G47" s="1413">
        <v>32419</v>
      </c>
      <c r="H47" s="1414"/>
      <c r="I47" s="1411">
        <f>ROUND(35000*0.98,0)</f>
        <v>34300</v>
      </c>
      <c r="J47" s="1414"/>
      <c r="K47" s="782"/>
      <c r="L47" s="1145"/>
      <c r="M47" s="1146"/>
      <c r="N47" s="1133"/>
      <c r="O47" s="1146"/>
      <c r="P47" s="3272" t="str">
        <f>A47</f>
        <v>成交单价（元/平方米）</v>
      </c>
      <c r="Q47" s="3272"/>
      <c r="R47" s="3233">
        <f>E47</f>
        <v>33250</v>
      </c>
      <c r="S47" s="3233"/>
      <c r="T47" s="3233">
        <f>G47</f>
        <v>32419</v>
      </c>
      <c r="U47" s="3233"/>
      <c r="V47" s="3233">
        <f>I47</f>
        <v>34300</v>
      </c>
      <c r="W47" s="3233"/>
      <c r="X47" s="758"/>
      <c r="Y47" s="780"/>
      <c r="Z47" s="758"/>
      <c r="AA47" s="758"/>
      <c r="AB47" s="758"/>
      <c r="AC47" s="758"/>
    </row>
    <row r="48" spans="1:29" ht="15.75" thickBot="1">
      <c r="A48" s="486" t="s">
        <v>2667</v>
      </c>
      <c r="B48" s="487"/>
      <c r="C48" s="1415">
        <f>R49</f>
        <v>33103</v>
      </c>
      <c r="D48" s="1416"/>
      <c r="E48" s="1417">
        <f>R48</f>
        <v>33250</v>
      </c>
      <c r="F48" s="1417"/>
      <c r="G48" s="1415">
        <f>T48</f>
        <v>32098</v>
      </c>
      <c r="H48" s="1416"/>
      <c r="I48" s="1417">
        <f>V48</f>
        <v>33960</v>
      </c>
      <c r="J48" s="1416"/>
      <c r="K48" s="783"/>
      <c r="L48" s="1145"/>
      <c r="M48" s="1146"/>
      <c r="N48" s="1133"/>
      <c r="O48" s="1146"/>
      <c r="P48" s="3272" t="str">
        <f>A48</f>
        <v>比较价值（元/平方米）</v>
      </c>
      <c r="Q48" s="3272"/>
      <c r="R48" s="3273">
        <f>IF(F1="售价",ROUND(PRODUCT(R47,AA7:AA46),0),ROUND(PRODUCT(R47,AA7:AA46),1))</f>
        <v>33250</v>
      </c>
      <c r="S48" s="3273"/>
      <c r="T48" s="3273">
        <f>IF(F1="售价",ROUND(PRODUCT(T47,AB7:AB46),0),ROUND(PRODUCT(T47,AB7:AB46),1))</f>
        <v>32098</v>
      </c>
      <c r="U48" s="3273"/>
      <c r="V48" s="3273">
        <f>IF(F1="售价",ROUND(PRODUCT(V47,AC7:AC46),0),ROUND(PRODUCT(V47,AC7:AC46),1))</f>
        <v>33960</v>
      </c>
      <c r="W48" s="3273"/>
      <c r="X48" s="758"/>
      <c r="Y48" s="758"/>
      <c r="Z48" s="758"/>
      <c r="AA48" s="758"/>
      <c r="AB48" s="758"/>
      <c r="AC48" s="758"/>
    </row>
    <row r="49" spans="1:29" ht="15.75" thickBot="1">
      <c r="A49" s="492" t="s">
        <v>2668</v>
      </c>
      <c r="B49" s="493"/>
      <c r="C49" s="1419">
        <f>R49</f>
        <v>33103</v>
      </c>
      <c r="D49" s="1419"/>
      <c r="E49" s="1419"/>
      <c r="F49" s="1419"/>
      <c r="G49" s="1419"/>
      <c r="H49" s="1419"/>
      <c r="I49" s="1419"/>
      <c r="J49" s="1419"/>
      <c r="K49" s="784"/>
      <c r="L49" s="1145"/>
      <c r="M49" s="1146"/>
      <c r="N49" s="1133"/>
      <c r="O49" s="1146"/>
      <c r="P49" s="3274" t="str">
        <f>A49</f>
        <v>估价对象XX用房的比较价值（楼面单价，元/平方米）</v>
      </c>
      <c r="Q49" s="3275"/>
      <c r="R49" s="3276">
        <f>IF(F1="售价",ROUND(AVERAGE(R48:V48),0),ROUND(AVERAGE(R48:V48),1))</f>
        <v>33103</v>
      </c>
      <c r="S49" s="3276"/>
      <c r="T49" s="3276"/>
      <c r="U49" s="3276"/>
      <c r="V49" s="3276"/>
      <c r="W49" s="327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2669</v>
      </c>
      <c r="D52" s="498"/>
      <c r="E52" s="499">
        <f>IF(E47&lt;E48,E48/E47-1,E47/E48-1)</f>
        <v>0</v>
      </c>
      <c r="F52" s="500" t="str">
        <f>IF(OR(E52&gt;=0.3,E52&lt;=-0.3),"超过30%","")</f>
        <v/>
      </c>
      <c r="G52" s="499">
        <f>IF(G47&lt;G48,G48/G47-1,G47/G48-1)</f>
        <v>1.0000623091781513E-2</v>
      </c>
      <c r="H52" s="500" t="str">
        <f>IF(OR(G52&gt;=0.3,G52&lt;=-0.3),"超过30%","")</f>
        <v/>
      </c>
      <c r="I52" s="499">
        <f>IF(I47&lt;I48,I48/I47-1,I47/I48-1)</f>
        <v>1.0011778563015383E-2</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2670</v>
      </c>
      <c r="D53" s="501"/>
      <c r="E53" s="499">
        <f>IF(E48&lt;G48,G48/E48-1,E48/G48-1)</f>
        <v>3.5890086609757565E-2</v>
      </c>
      <c r="F53" s="500" t="str">
        <f>IF(OR(E53&gt;=0.2,E53&lt;=-0.2),"超过20%","")</f>
        <v/>
      </c>
      <c r="G53" s="499">
        <f>IF(G48&lt;I48,I48/G48-1,G48/I48-1)</f>
        <v>5.8009844850146486E-2</v>
      </c>
      <c r="H53" s="500" t="str">
        <f>IF(OR(G53&gt;=0.2,G53&lt;=-0.2),"超过20%","")</f>
        <v/>
      </c>
      <c r="I53" s="499">
        <f>IF(I48&lt;E48,E48/I48-1,I48/E48-1)</f>
        <v>2.1353383458646569E-2</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2671</v>
      </c>
      <c r="D54" s="501"/>
      <c r="E54" s="499">
        <f>IF(E47&lt;G47,G47/E47-1,E47/G47-1)</f>
        <v>2.5633116382368426E-2</v>
      </c>
      <c r="F54" s="500" t="str">
        <f>IF(OR(E54&gt;=0.3,E54&lt;=-0.3),"超过30%","")</f>
        <v/>
      </c>
      <c r="G54" s="499">
        <f>IF(G47&lt;I47,I47/G47-1,G47/I47-1)</f>
        <v>5.8021530583916903E-2</v>
      </c>
      <c r="H54" s="500" t="str">
        <f>IF(OR(G54&gt;=0.3,G54&lt;=-0.3),"超过30%","")</f>
        <v/>
      </c>
      <c r="I54" s="499">
        <f>IF(I47&lt;E47,E47/I47-1,I47/E47-1)</f>
        <v>3.1578947368421151E-2</v>
      </c>
      <c r="J54" s="500" t="str">
        <f>IF(OR(I54&gt;=0.3,I54&lt;=-0.3),"超过30%","")</f>
        <v/>
      </c>
      <c r="K54" s="1150"/>
      <c r="L54" s="1151"/>
      <c r="M54" s="1147"/>
      <c r="N54" s="1147"/>
      <c r="O54" s="1147"/>
      <c r="P54" s="2666"/>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8" customFormat="1" ht="15">
      <c r="A58" s="505" t="s">
        <v>2546</v>
      </c>
      <c r="B58" s="506"/>
      <c r="C58" s="1576" t="str">
        <f>YEAR(C7)&amp;"-"&amp;MONTH(C7)</f>
        <v>2018-4</v>
      </c>
      <c r="D58" s="1577">
        <f>EDATE(C58,-1)</f>
        <v>43160</v>
      </c>
      <c r="E58" s="1577">
        <f t="shared" ref="E58:N58" si="16">EDATE(D58,-1)</f>
        <v>43132</v>
      </c>
      <c r="F58" s="1577">
        <f t="shared" si="16"/>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EDATE(N58,-1)</f>
        <v>42826</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t="str">
        <f>C9</f>
        <v>商业</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0"/>
      <c r="Q66" s="504"/>
    </row>
    <row r="67" spans="1:17" ht="15.75" thickTop="1">
      <c r="A67" s="534"/>
      <c r="B67" s="546" t="s">
        <v>2556</v>
      </c>
      <c r="C67" s="547" t="str">
        <f>C68&amp;"（含）"&amp;"-"&amp;D68</f>
        <v>0（含）-2</v>
      </c>
      <c r="D67" s="547" t="str">
        <f t="shared" ref="D67:L67" si="17">D68&amp;"（含）"&amp;"-"&amp;E68</f>
        <v>2（含）-4</v>
      </c>
      <c r="E67" s="547" t="str">
        <f t="shared" si="17"/>
        <v>4（含）-6</v>
      </c>
      <c r="F67" s="547" t="str">
        <f t="shared" si="17"/>
        <v>6（含）-8</v>
      </c>
      <c r="G67" s="547" t="str">
        <f t="shared" si="17"/>
        <v>8（含）-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v>0</v>
      </c>
      <c r="D68" s="549">
        <v>2</v>
      </c>
      <c r="E68" s="549">
        <v>4</v>
      </c>
      <c r="F68" s="549">
        <v>6</v>
      </c>
      <c r="G68" s="549">
        <v>8</v>
      </c>
      <c r="H68" s="549"/>
      <c r="I68" s="549"/>
      <c r="J68" s="549"/>
      <c r="K68" s="550"/>
      <c r="L68" s="551"/>
      <c r="M68" s="552"/>
      <c r="N68" s="1154"/>
      <c r="O68" s="1154"/>
      <c r="P68" s="2630"/>
      <c r="Q68" s="504"/>
    </row>
    <row r="69" spans="1:17" ht="15.75" thickBot="1">
      <c r="A69" s="534"/>
      <c r="B69" s="535"/>
      <c r="C69" s="544">
        <v>100</v>
      </c>
      <c r="D69" s="544">
        <f t="shared" ref="D69:M69" si="18">C69-$K11</f>
        <v>95</v>
      </c>
      <c r="E69" s="544">
        <f t="shared" si="18"/>
        <v>90</v>
      </c>
      <c r="F69" s="544">
        <f t="shared" si="18"/>
        <v>85</v>
      </c>
      <c r="G69" s="544">
        <f t="shared" si="18"/>
        <v>80</v>
      </c>
      <c r="H69" s="544">
        <f t="shared" si="18"/>
        <v>75</v>
      </c>
      <c r="I69" s="544">
        <f t="shared" si="18"/>
        <v>70</v>
      </c>
      <c r="J69" s="544">
        <f t="shared" si="18"/>
        <v>65</v>
      </c>
      <c r="K69" s="544">
        <f t="shared" si="18"/>
        <v>60</v>
      </c>
      <c r="L69" s="544">
        <f t="shared" si="18"/>
        <v>55</v>
      </c>
      <c r="M69" s="545">
        <f t="shared" si="18"/>
        <v>50</v>
      </c>
      <c r="N69" s="1155"/>
      <c r="O69" s="1155"/>
      <c r="P69" s="2630"/>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31"/>
      <c r="Q70" s="559"/>
    </row>
    <row r="71" spans="1:17" s="471" customFormat="1" ht="15.75" hidden="1" thickBot="1">
      <c r="A71" s="553"/>
      <c r="B71" s="543"/>
      <c r="C71" s="560"/>
      <c r="D71" s="536"/>
      <c r="E71" s="536"/>
      <c r="F71" s="536"/>
      <c r="G71" s="536"/>
      <c r="H71" s="536"/>
      <c r="I71" s="536"/>
      <c r="J71" s="536"/>
      <c r="K71" s="536"/>
      <c r="L71" s="536"/>
      <c r="M71" s="537"/>
      <c r="N71" s="1155"/>
      <c r="O71" s="1155"/>
      <c r="P71" s="2631"/>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32"/>
      <c r="Q72" s="561"/>
    </row>
    <row r="73" spans="1:17" s="471" customFormat="1" ht="15.75" hidden="1" thickBot="1">
      <c r="A73" s="553"/>
      <c r="B73" s="543"/>
      <c r="C73" s="560"/>
      <c r="D73" s="536"/>
      <c r="E73" s="536"/>
      <c r="F73" s="536"/>
      <c r="G73" s="560"/>
      <c r="H73" s="562"/>
      <c r="I73" s="562"/>
      <c r="J73" s="562"/>
      <c r="K73" s="562"/>
      <c r="L73" s="562"/>
      <c r="M73" s="563"/>
      <c r="N73" s="1156"/>
      <c r="O73" s="1156"/>
      <c r="P73" s="2631"/>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3"/>
      <c r="Q74" s="559"/>
    </row>
    <row r="75" spans="1:17" s="471" customFormat="1" ht="15.75" hidden="1" thickBot="1">
      <c r="A75" s="568"/>
      <c r="B75" s="569"/>
      <c r="C75" s="570"/>
      <c r="D75" s="570"/>
      <c r="E75" s="570"/>
      <c r="F75" s="570"/>
      <c r="G75" s="570"/>
      <c r="H75" s="571"/>
      <c r="I75" s="571"/>
      <c r="J75" s="571"/>
      <c r="K75" s="571"/>
      <c r="L75" s="571"/>
      <c r="M75" s="572"/>
      <c r="N75" s="1156"/>
      <c r="O75" s="1156"/>
      <c r="P75" s="2631"/>
      <c r="Q75" s="559"/>
    </row>
    <row r="76" spans="1:17" ht="15" thickTop="1">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5"/>
      <c r="O81" s="1155"/>
      <c r="P81" s="2630"/>
      <c r="Q81" s="504"/>
    </row>
    <row r="82" spans="1:17" ht="15.75" thickTop="1">
      <c r="A82" s="534"/>
      <c r="B82" s="546" t="s">
        <v>2653</v>
      </c>
      <c r="C82" s="659" t="s">
        <v>2673</v>
      </c>
      <c r="D82" s="659" t="s">
        <v>2674</v>
      </c>
      <c r="E82" s="659" t="s">
        <v>2675</v>
      </c>
      <c r="F82" s="659" t="s">
        <v>2676</v>
      </c>
      <c r="G82" s="659" t="s">
        <v>2677</v>
      </c>
      <c r="H82" s="539"/>
      <c r="I82" s="539"/>
      <c r="J82" s="539"/>
      <c r="K82" s="539"/>
      <c r="L82" s="539"/>
      <c r="M82" s="1384"/>
      <c r="N82" s="1155"/>
      <c r="O82" s="1155"/>
      <c r="P82" s="2630"/>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5"/>
      <c r="O85" s="1155"/>
      <c r="P85" s="2630"/>
      <c r="Q85" s="504"/>
    </row>
    <row r="86" spans="1:17" s="117" customFormat="1" ht="15.75" thickTop="1">
      <c r="A86" s="579"/>
      <c r="B86" s="538" t="s">
        <v>2678</v>
      </c>
      <c r="C86" s="2948" t="s">
        <v>3082</v>
      </c>
      <c r="D86" s="2948" t="s">
        <v>3083</v>
      </c>
      <c r="E86" s="2948" t="s">
        <v>3085</v>
      </c>
      <c r="F86" s="2948" t="s">
        <v>3086</v>
      </c>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5"/>
      <c r="O87" s="1155"/>
      <c r="P87" s="2630"/>
      <c r="Q87" s="504"/>
    </row>
    <row r="88" spans="1:17" s="117" customFormat="1" ht="15.75" thickTop="1">
      <c r="A88" s="579"/>
      <c r="B88" s="538" t="str">
        <f>B26</f>
        <v>平面位置/可视性</v>
      </c>
      <c r="C88" s="2948" t="s">
        <v>3087</v>
      </c>
      <c r="D88" s="2948" t="s">
        <v>3088</v>
      </c>
      <c r="E88" s="2948" t="s">
        <v>3089</v>
      </c>
      <c r="F88" s="2949" t="s">
        <v>3090</v>
      </c>
      <c r="G88" s="2948" t="s">
        <v>3091</v>
      </c>
      <c r="H88" s="554"/>
      <c r="I88" s="554"/>
      <c r="J88" s="554"/>
      <c r="K88" s="554"/>
      <c r="L88" s="554"/>
      <c r="M88" s="581"/>
      <c r="N88" s="1153"/>
      <c r="O88" s="1153"/>
      <c r="P88" s="2630"/>
      <c r="Q88" s="504"/>
    </row>
    <row r="89" spans="1:17" s="117" customFormat="1" ht="15.75" thickBot="1">
      <c r="A89" s="579"/>
      <c r="B89" s="543"/>
      <c r="C89" s="560">
        <v>100</v>
      </c>
      <c r="D89" s="536">
        <v>97</v>
      </c>
      <c r="E89" s="536">
        <v>94</v>
      </c>
      <c r="F89" s="536">
        <v>91</v>
      </c>
      <c r="G89" s="536">
        <v>88</v>
      </c>
      <c r="H89" s="536"/>
      <c r="I89" s="536"/>
      <c r="J89" s="536"/>
      <c r="K89" s="536"/>
      <c r="L89" s="536"/>
      <c r="M89" s="536"/>
      <c r="N89" s="1155"/>
      <c r="O89" s="1155"/>
      <c r="P89" s="2630"/>
      <c r="Q89" s="504"/>
    </row>
    <row r="90" spans="1:17" s="471" customFormat="1" ht="15.75" thickTop="1">
      <c r="A90" s="553"/>
      <c r="B90" s="538" t="str">
        <f>B27</f>
        <v>人流量</v>
      </c>
      <c r="C90" s="2948" t="s">
        <v>3087</v>
      </c>
      <c r="D90" s="2948" t="s">
        <v>3088</v>
      </c>
      <c r="E90" s="2948" t="s">
        <v>3089</v>
      </c>
      <c r="F90" s="2949" t="s">
        <v>3090</v>
      </c>
      <c r="G90" s="2948" t="s">
        <v>3091</v>
      </c>
      <c r="H90" s="555"/>
      <c r="I90" s="555"/>
      <c r="J90" s="555"/>
      <c r="K90" s="555"/>
      <c r="L90" s="556"/>
      <c r="M90" s="557"/>
      <c r="N90" s="1156"/>
      <c r="O90" s="1156"/>
      <c r="P90" s="2631"/>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6"/>
      <c r="O91" s="1156"/>
      <c r="P91" s="2631"/>
      <c r="Q91" s="559"/>
    </row>
    <row r="92" spans="1:17" ht="15.75" thickTop="1">
      <c r="A92" s="534"/>
      <c r="B92" s="538" t="str">
        <f>B28</f>
        <v>楼层</v>
      </c>
      <c r="C92" s="554" t="s">
        <v>3092</v>
      </c>
      <c r="D92" s="554" t="s">
        <v>3094</v>
      </c>
      <c r="E92" s="554" t="s">
        <v>3093</v>
      </c>
      <c r="F92" s="554" t="s">
        <v>3095</v>
      </c>
      <c r="G92" s="554"/>
      <c r="H92" s="554"/>
      <c r="I92" s="554"/>
      <c r="J92" s="554"/>
      <c r="K92" s="554"/>
      <c r="L92" s="580"/>
      <c r="M92" s="581"/>
      <c r="N92" s="1154"/>
      <c r="O92" s="1154"/>
      <c r="P92" s="2630"/>
      <c r="Q92" s="504"/>
    </row>
    <row r="93" spans="1:17" ht="15.75" thickBot="1">
      <c r="A93" s="534"/>
      <c r="B93" s="543"/>
      <c r="C93" s="536">
        <v>100</v>
      </c>
      <c r="D93" s="536">
        <v>85</v>
      </c>
      <c r="E93" s="536">
        <v>60</v>
      </c>
      <c r="F93" s="536">
        <v>50</v>
      </c>
      <c r="G93" s="536"/>
      <c r="H93" s="536"/>
      <c r="I93" s="536"/>
      <c r="J93" s="536"/>
      <c r="K93" s="536"/>
      <c r="L93" s="536"/>
      <c r="M93" s="537"/>
      <c r="N93" s="1155"/>
      <c r="O93" s="1155"/>
      <c r="P93" s="2630"/>
      <c r="Q93" s="504"/>
    </row>
    <row r="94" spans="1:17" ht="15.75" hidden="1" thickTop="1">
      <c r="A94" s="534"/>
      <c r="B94" s="538">
        <f>B29</f>
        <v>111</v>
      </c>
      <c r="C94" s="554"/>
      <c r="D94" s="554"/>
      <c r="E94" s="554"/>
      <c r="F94" s="554"/>
      <c r="G94" s="583"/>
      <c r="H94" s="583"/>
      <c r="I94" s="583"/>
      <c r="J94" s="583"/>
      <c r="K94" s="584"/>
      <c r="L94" s="585"/>
      <c r="M94" s="586"/>
      <c r="N94" s="1154"/>
      <c r="O94" s="1154"/>
      <c r="P94" s="2630"/>
      <c r="Q94" s="504"/>
    </row>
    <row r="95" spans="1:17" ht="15.75" hidden="1" thickBot="1">
      <c r="A95" s="534"/>
      <c r="B95" s="543"/>
      <c r="C95" s="560"/>
      <c r="D95" s="536"/>
      <c r="E95" s="536"/>
      <c r="F95" s="536"/>
      <c r="G95" s="536"/>
      <c r="H95" s="536"/>
      <c r="I95" s="536"/>
      <c r="J95" s="536"/>
      <c r="K95" s="536"/>
      <c r="L95" s="536"/>
      <c r="M95" s="537"/>
      <c r="N95" s="1155"/>
      <c r="O95" s="1155"/>
      <c r="P95" s="2630"/>
      <c r="Q95" s="504"/>
    </row>
    <row r="96" spans="1:17" ht="15.75" hidden="1" thickTop="1">
      <c r="A96" s="534"/>
      <c r="B96" s="538">
        <f>B30</f>
        <v>111</v>
      </c>
      <c r="C96" s="554"/>
      <c r="D96" s="554"/>
      <c r="E96" s="554"/>
      <c r="F96" s="554"/>
      <c r="G96" s="583"/>
      <c r="H96" s="583"/>
      <c r="I96" s="583"/>
      <c r="J96" s="583"/>
      <c r="K96" s="584"/>
      <c r="L96" s="585"/>
      <c r="M96" s="586"/>
      <c r="N96" s="1154"/>
      <c r="O96" s="1154"/>
      <c r="P96" s="2630"/>
      <c r="Q96" s="504"/>
    </row>
    <row r="97" spans="1:17" ht="15.75" hidden="1" thickBot="1">
      <c r="A97" s="534"/>
      <c r="B97" s="543"/>
      <c r="C97" s="560"/>
      <c r="D97" s="536"/>
      <c r="E97" s="536"/>
      <c r="F97" s="536"/>
      <c r="G97" s="536"/>
      <c r="H97" s="536"/>
      <c r="I97" s="536"/>
      <c r="J97" s="536"/>
      <c r="K97" s="536"/>
      <c r="L97" s="536"/>
      <c r="M97" s="537"/>
      <c r="N97" s="1155"/>
      <c r="O97" s="1155"/>
      <c r="P97" s="2630"/>
      <c r="Q97" s="504"/>
    </row>
    <row r="98" spans="1:17" ht="15.75" hidden="1" thickTop="1">
      <c r="A98" s="534"/>
      <c r="B98" s="546">
        <f>B31</f>
        <v>111</v>
      </c>
      <c r="C98" s="554"/>
      <c r="D98" s="554"/>
      <c r="E98" s="554"/>
      <c r="F98" s="554"/>
      <c r="G98" s="587"/>
      <c r="H98" s="587"/>
      <c r="I98" s="587"/>
      <c r="J98" s="587"/>
      <c r="K98" s="588"/>
      <c r="L98" s="589"/>
      <c r="M98" s="590"/>
      <c r="N98" s="1154"/>
      <c r="O98" s="1154"/>
      <c r="P98" s="2630"/>
      <c r="Q98" s="504"/>
    </row>
    <row r="99" spans="1:17" ht="15.75" hidden="1" thickBot="1">
      <c r="A99" s="2636"/>
      <c r="B99" s="569"/>
      <c r="C99" s="570"/>
      <c r="D99" s="570"/>
      <c r="E99" s="570"/>
      <c r="F99" s="570"/>
      <c r="G99" s="591"/>
      <c r="H99" s="591"/>
      <c r="I99" s="591"/>
      <c r="J99" s="591"/>
      <c r="K99" s="591"/>
      <c r="L99" s="591"/>
      <c r="M99" s="592"/>
      <c r="N99" s="1155"/>
      <c r="O99" s="1155"/>
      <c r="P99" s="2630"/>
      <c r="Q99" s="504"/>
    </row>
    <row r="100" spans="1:17" ht="15" thickTop="1">
      <c r="A100" s="527" t="s">
        <v>2561</v>
      </c>
      <c r="B100" s="528" t="s">
        <v>2679</v>
      </c>
      <c r="C100" s="2950" t="s">
        <v>3096</v>
      </c>
      <c r="D100" s="2950" t="s">
        <v>3097</v>
      </c>
      <c r="E100" s="2950" t="s">
        <v>3098</v>
      </c>
      <c r="F100" s="2950" t="s">
        <v>3100</v>
      </c>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5"/>
      <c r="O101" s="1155"/>
      <c r="P101" s="2630"/>
      <c r="Q101" s="504"/>
    </row>
    <row r="102" spans="1:17" ht="29.25" thickTop="1">
      <c r="A102" s="534"/>
      <c r="B102" s="538" t="s">
        <v>2611</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1" t="str">
        <f>M103&amp;"(含)"&amp;"-"&amp;P103</f>
        <v>(含)-</v>
      </c>
      <c r="N102" s="1153"/>
      <c r="O102" s="1153"/>
      <c r="P102" s="2630"/>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6"/>
      <c r="O103" s="1156"/>
      <c r="P103" s="2631"/>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7"/>
      <c r="N104" s="1155"/>
      <c r="O104" s="1155"/>
      <c r="P104" s="2631"/>
      <c r="Q104" s="559"/>
    </row>
    <row r="105" spans="1:17" ht="15" thickTop="1">
      <c r="A105" s="599"/>
      <c r="B105" s="538" t="s">
        <v>2612</v>
      </c>
      <c r="C105" s="2948" t="s">
        <v>3101</v>
      </c>
      <c r="D105" s="2948" t="s">
        <v>3102</v>
      </c>
      <c r="E105" s="2951" t="s">
        <v>3103</v>
      </c>
      <c r="F105" s="2951" t="s">
        <v>3104</v>
      </c>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0"/>
      <c r="Q106" s="504"/>
    </row>
    <row r="107" spans="1:17" ht="15" thickTop="1">
      <c r="A107" s="599"/>
      <c r="B107" s="538" t="s">
        <v>2614</v>
      </c>
      <c r="C107" s="2948" t="s">
        <v>3105</v>
      </c>
      <c r="D107" s="2948" t="s">
        <v>3107</v>
      </c>
      <c r="E107" s="2948" t="s">
        <v>3109</v>
      </c>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97</v>
      </c>
      <c r="E108" s="544">
        <f t="shared" si="25"/>
        <v>94</v>
      </c>
      <c r="F108" s="544">
        <f t="shared" si="25"/>
        <v>91</v>
      </c>
      <c r="G108" s="544">
        <f t="shared" si="25"/>
        <v>88</v>
      </c>
      <c r="H108" s="544">
        <f t="shared" si="25"/>
        <v>85</v>
      </c>
      <c r="I108" s="544">
        <f t="shared" si="25"/>
        <v>82</v>
      </c>
      <c r="J108" s="544">
        <f t="shared" si="25"/>
        <v>79</v>
      </c>
      <c r="K108" s="544">
        <f t="shared" si="25"/>
        <v>76</v>
      </c>
      <c r="L108" s="544">
        <f t="shared" si="25"/>
        <v>73</v>
      </c>
      <c r="M108" s="545">
        <f t="shared" si="25"/>
        <v>70</v>
      </c>
      <c r="N108" s="1155"/>
      <c r="O108" s="1155"/>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0"/>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5"/>
      <c r="O111" s="1155"/>
      <c r="P111" s="2630"/>
      <c r="Q111" s="504"/>
    </row>
    <row r="112" spans="1:17" s="471" customFormat="1" ht="15" thickTop="1">
      <c r="A112" s="593"/>
      <c r="B112" s="538" t="s">
        <v>2616</v>
      </c>
      <c r="C112" s="2948" t="s">
        <v>3114</v>
      </c>
      <c r="D112" s="2948" t="s">
        <v>3110</v>
      </c>
      <c r="E112" s="2948" t="s">
        <v>3111</v>
      </c>
      <c r="F112" s="2948" t="s">
        <v>3112</v>
      </c>
      <c r="G112" s="2948" t="s">
        <v>3113</v>
      </c>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1"/>
      <c r="Q113" s="559"/>
    </row>
    <row r="114" spans="1:17" ht="15" thickTop="1">
      <c r="A114" s="599"/>
      <c r="B114" s="538" t="s">
        <v>2680</v>
      </c>
      <c r="C114" s="2948" t="s">
        <v>3115</v>
      </c>
      <c r="D114" s="2948" t="s">
        <v>3116</v>
      </c>
      <c r="E114" s="2951" t="s">
        <v>3118</v>
      </c>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5"/>
      <c r="O115" s="1155"/>
      <c r="P115" s="2630"/>
      <c r="Q115" s="504"/>
    </row>
    <row r="116" spans="1:17" ht="15" thickTop="1">
      <c r="A116" s="599"/>
      <c r="B116" s="538" t="s">
        <v>2681</v>
      </c>
      <c r="C116" s="2948" t="s">
        <v>3120</v>
      </c>
      <c r="D116" s="2948" t="s">
        <v>3121</v>
      </c>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2682</v>
      </c>
      <c r="C118" s="3000">
        <f>C40</f>
        <v>139.15</v>
      </c>
      <c r="D118" s="626">
        <v>105</v>
      </c>
      <c r="E118" s="626">
        <v>62</v>
      </c>
      <c r="F118" s="626">
        <v>65</v>
      </c>
      <c r="G118" s="626"/>
      <c r="H118" s="555"/>
      <c r="I118" s="555"/>
      <c r="J118" s="555"/>
      <c r="K118" s="555"/>
      <c r="L118" s="556"/>
      <c r="M118" s="557"/>
      <c r="N118" s="1154"/>
      <c r="O118" s="1154"/>
      <c r="P118" s="2630"/>
      <c r="Q118" s="504"/>
    </row>
    <row r="119" spans="1:17" ht="15.75" thickBot="1">
      <c r="A119" s="534"/>
      <c r="B119" s="543"/>
      <c r="C119" s="560">
        <v>100</v>
      </c>
      <c r="D119" s="536">
        <v>100</v>
      </c>
      <c r="E119" s="536">
        <v>101</v>
      </c>
      <c r="F119" s="536">
        <v>101</v>
      </c>
      <c r="G119" s="536"/>
      <c r="H119" s="536"/>
      <c r="I119" s="536"/>
      <c r="J119" s="536"/>
      <c r="K119" s="536"/>
      <c r="L119" s="536"/>
      <c r="M119" s="537"/>
      <c r="N119" s="1155"/>
      <c r="O119" s="1155"/>
      <c r="P119" s="2630"/>
      <c r="Q119" s="504"/>
    </row>
    <row r="120" spans="1:17" s="471" customFormat="1" ht="15" thickTop="1">
      <c r="A120" s="593"/>
      <c r="B120" s="538" t="s">
        <v>2683</v>
      </c>
      <c r="C120" s="2948" t="s">
        <v>3087</v>
      </c>
      <c r="D120" s="2948" t="s">
        <v>3088</v>
      </c>
      <c r="E120" s="2948" t="s">
        <v>3089</v>
      </c>
      <c r="F120" s="2949" t="s">
        <v>3090</v>
      </c>
      <c r="G120" s="2948" t="s">
        <v>3091</v>
      </c>
      <c r="H120" s="555"/>
      <c r="I120" s="555"/>
      <c r="J120" s="555"/>
      <c r="K120" s="555"/>
      <c r="L120" s="556"/>
      <c r="M120" s="557"/>
      <c r="N120" s="1156"/>
      <c r="O120" s="1156"/>
      <c r="P120" s="2631"/>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6"/>
      <c r="O121" s="1156"/>
      <c r="P121" s="2631"/>
      <c r="Q121" s="559"/>
    </row>
    <row r="122" spans="1:17" ht="15" thickTop="1">
      <c r="A122" s="599"/>
      <c r="B122" s="538" t="s">
        <v>2618</v>
      </c>
      <c r="C122" s="2948" t="s">
        <v>3105</v>
      </c>
      <c r="D122" s="2948" t="s">
        <v>3107</v>
      </c>
      <c r="E122" s="2948" t="s">
        <v>3109</v>
      </c>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97</v>
      </c>
      <c r="E125" s="544">
        <f>D125-$K43</f>
        <v>94</v>
      </c>
      <c r="F125" s="544">
        <f>E125-$K43</f>
        <v>91</v>
      </c>
      <c r="G125" s="544">
        <f>F125-$K43</f>
        <v>88</v>
      </c>
      <c r="H125" s="544"/>
      <c r="I125" s="544"/>
      <c r="J125" s="544"/>
      <c r="K125" s="544"/>
      <c r="L125" s="544"/>
      <c r="M125" s="545"/>
      <c r="N125" s="1155"/>
      <c r="O125" s="1155"/>
      <c r="P125" s="2630"/>
      <c r="Q125" s="504"/>
    </row>
    <row r="126" spans="1:17" s="471" customFormat="1" ht="15" hidden="1"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hidden="1" thickBot="1">
      <c r="A127" s="553"/>
      <c r="B127" s="543"/>
      <c r="C127" s="560"/>
      <c r="D127" s="536"/>
      <c r="E127" s="536"/>
      <c r="F127" s="536"/>
      <c r="G127" s="560"/>
      <c r="H127" s="562"/>
      <c r="I127" s="562"/>
      <c r="J127" s="562"/>
      <c r="K127" s="562"/>
      <c r="L127" s="562"/>
      <c r="M127" s="563"/>
      <c r="N127" s="1156"/>
      <c r="O127" s="1156"/>
      <c r="P127" s="2631"/>
      <c r="Q127" s="559"/>
    </row>
    <row r="128" spans="1:17" ht="15" hidden="1" thickTop="1">
      <c r="A128" s="599"/>
      <c r="B128" s="538">
        <f>B45</f>
        <v>111</v>
      </c>
      <c r="C128" s="554"/>
      <c r="D128" s="554"/>
      <c r="E128" s="554"/>
      <c r="F128" s="554"/>
      <c r="G128" s="583"/>
      <c r="H128" s="583"/>
      <c r="I128" s="583"/>
      <c r="J128" s="583"/>
      <c r="K128" s="584"/>
      <c r="L128" s="585"/>
      <c r="M128" s="586"/>
      <c r="N128" s="1154"/>
      <c r="O128" s="1154"/>
      <c r="P128" s="2630"/>
      <c r="Q128" s="504"/>
    </row>
    <row r="129" spans="1:17" ht="15.75" hidden="1" thickBot="1">
      <c r="A129" s="534"/>
      <c r="B129" s="543"/>
      <c r="C129" s="560"/>
      <c r="D129" s="536"/>
      <c r="E129" s="536"/>
      <c r="F129" s="536"/>
      <c r="G129" s="536"/>
      <c r="H129" s="536"/>
      <c r="I129" s="536"/>
      <c r="J129" s="536"/>
      <c r="K129" s="536"/>
      <c r="L129" s="536"/>
      <c r="M129" s="537"/>
      <c r="N129" s="1155"/>
      <c r="O129" s="1155"/>
      <c r="P129" s="2630"/>
      <c r="Q129" s="504"/>
    </row>
    <row r="130" spans="1:17" ht="15" hidden="1" thickTop="1">
      <c r="A130" s="599"/>
      <c r="B130" s="546">
        <f>B46</f>
        <v>111</v>
      </c>
      <c r="C130" s="554"/>
      <c r="D130" s="554"/>
      <c r="E130" s="554"/>
      <c r="F130" s="554"/>
      <c r="G130" s="587"/>
      <c r="H130" s="587"/>
      <c r="I130" s="587"/>
      <c r="J130" s="587"/>
      <c r="K130" s="523"/>
      <c r="L130" s="524"/>
      <c r="M130" s="590"/>
      <c r="N130" s="1154"/>
      <c r="O130" s="1154"/>
      <c r="P130" s="2630"/>
      <c r="Q130" s="504"/>
    </row>
    <row r="131" spans="1:17" ht="15.75" hidden="1" thickBot="1">
      <c r="A131" s="2636"/>
      <c r="B131" s="569"/>
      <c r="C131" s="570"/>
      <c r="D131" s="570"/>
      <c r="E131" s="570"/>
      <c r="F131" s="570"/>
      <c r="G131" s="591"/>
      <c r="H131" s="591"/>
      <c r="I131" s="591"/>
      <c r="J131" s="591"/>
      <c r="K131" s="591"/>
      <c r="L131" s="591"/>
      <c r="M131" s="592"/>
      <c r="N131" s="1155"/>
      <c r="O131" s="1155"/>
      <c r="P131" s="2630"/>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00B0F0"/>
  </sheetPr>
  <dimension ref="A1:AK83"/>
  <sheetViews>
    <sheetView zoomScale="90" zoomScaleNormal="90" zoomScaleSheetLayoutView="90" workbookViewId="0">
      <selection activeCell="J34" sqref="J34"/>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3067</v>
      </c>
      <c r="D1" s="1822" t="s">
        <v>70</v>
      </c>
      <c r="E1" s="1823" t="s">
        <v>1387</v>
      </c>
      <c r="F1" s="1285">
        <f ca="1">J53</f>
        <v>31.37</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387</v>
      </c>
      <c r="C2" s="1847" t="s">
        <v>1516</v>
      </c>
      <c r="D2" s="1847"/>
      <c r="E2" s="1848"/>
      <c r="F2" s="1849"/>
      <c r="G2" s="1850"/>
      <c r="H2" s="1842"/>
      <c r="I2" s="1842"/>
      <c r="J2" s="1842"/>
      <c r="K2" s="1843"/>
      <c r="L2" s="1842"/>
      <c r="M2" s="1842"/>
    </row>
    <row r="3" spans="1:37" ht="18" customHeight="1" thickBot="1">
      <c r="A3" s="1851" t="s">
        <v>1517</v>
      </c>
      <c r="B3" s="1852">
        <f ca="1">IF(ISERROR(B2*10000/F43),0,ROUND(B2*10000/F43,0))</f>
        <v>27812</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22</v>
      </c>
      <c r="D5" s="1824" t="s">
        <v>1402</v>
      </c>
      <c r="E5" s="1295"/>
      <c r="F5" s="1296"/>
      <c r="G5" s="1853"/>
      <c r="H5" s="344">
        <v>1</v>
      </c>
      <c r="I5" s="345" t="s">
        <v>1401</v>
      </c>
      <c r="J5" s="1294">
        <f ca="1">J6+J10+J12</f>
        <v>0</v>
      </c>
      <c r="K5" s="1824" t="s">
        <v>1402</v>
      </c>
      <c r="L5" s="1295"/>
      <c r="M5" s="1296"/>
    </row>
    <row r="6" spans="1:37" ht="18" customHeight="1">
      <c r="A6" s="1293" t="s">
        <v>1035</v>
      </c>
      <c r="B6" s="3279" t="s">
        <v>1403</v>
      </c>
      <c r="C6" s="1298">
        <f ca="1">ROUND(F6*F8*F7*(1-F9)/10000,0)</f>
        <v>22</v>
      </c>
      <c r="D6" s="164" t="s">
        <v>3030</v>
      </c>
      <c r="E6" s="347" t="s">
        <v>1405</v>
      </c>
      <c r="F6" s="348">
        <f ca="1">INDIRECT("'数据-取费表'!u"&amp;$G$1)</f>
        <v>5.5</v>
      </c>
      <c r="G6" s="1853"/>
      <c r="H6" s="1293" t="s">
        <v>1035</v>
      </c>
      <c r="I6" s="3279" t="s">
        <v>1403</v>
      </c>
      <c r="J6" s="346">
        <f ca="1">ROUND(M6*M8*M7*(1-M9)/10000,0)</f>
        <v>0</v>
      </c>
      <c r="K6" s="164" t="s">
        <v>3029</v>
      </c>
      <c r="L6" s="347" t="s">
        <v>1405</v>
      </c>
      <c r="M6" s="348">
        <f ca="1">INDIRECT("'数据-取费表'!z"&amp;$G$1)</f>
        <v>0</v>
      </c>
    </row>
    <row r="7" spans="1:37" ht="18" customHeight="1">
      <c r="A7" s="1297"/>
      <c r="B7" s="3280"/>
      <c r="C7" s="1299"/>
      <c r="D7" s="352"/>
      <c r="E7" s="1300" t="s">
        <v>1406</v>
      </c>
      <c r="F7" s="348">
        <f ca="1">IF(INDIRECT("'数据-取费表'!ah"&amp;$G$1)="",INDIRECT("'数据-取费表'!k"&amp;$G$1),INDIRECT("'数据-取费表'!ah"&amp;$G$1))</f>
        <v>139.15</v>
      </c>
      <c r="G7" s="1853"/>
      <c r="H7" s="349"/>
      <c r="I7" s="3280"/>
      <c r="J7" s="351"/>
      <c r="K7" s="352"/>
      <c r="L7" s="347" t="s">
        <v>1406</v>
      </c>
      <c r="M7" s="348">
        <f ca="1">F7</f>
        <v>139.15</v>
      </c>
    </row>
    <row r="8" spans="1:37" ht="18" customHeight="1">
      <c r="A8" s="349"/>
      <c r="B8" s="3280"/>
      <c r="C8" s="351"/>
      <c r="D8" s="352"/>
      <c r="E8" s="347" t="s">
        <v>1407</v>
      </c>
      <c r="F8" s="348">
        <f ca="1">INDIRECT("'数据-取费表'!ai"&amp;$G$1)</f>
        <v>365</v>
      </c>
      <c r="G8" s="1853"/>
      <c r="H8" s="349"/>
      <c r="I8" s="3280"/>
      <c r="J8" s="351"/>
      <c r="K8" s="352"/>
      <c r="L8" s="347" t="s">
        <v>1407</v>
      </c>
      <c r="M8" s="348">
        <f ca="1">INDIRECT("'数据-取费表'!ai"&amp;$G$1)</f>
        <v>365</v>
      </c>
    </row>
    <row r="9" spans="1:37" ht="18" customHeight="1">
      <c r="A9" s="349"/>
      <c r="B9" s="3281"/>
      <c r="C9" s="351"/>
      <c r="D9" s="352"/>
      <c r="E9" s="347" t="s">
        <v>1408</v>
      </c>
      <c r="F9" s="357">
        <f ca="1">INDIRECT("'数据-取费表'!w"&amp;$G$1)</f>
        <v>0.2</v>
      </c>
      <c r="G9" s="1853"/>
      <c r="H9" s="349"/>
      <c r="I9" s="3281"/>
      <c r="J9" s="351"/>
      <c r="K9" s="352"/>
      <c r="L9" s="358" t="s">
        <v>1408</v>
      </c>
      <c r="M9" s="359">
        <f ca="1">INDIRECT("'数据-取费表'!ab"&amp;$G$1)</f>
        <v>0</v>
      </c>
    </row>
    <row r="10" spans="1:37" ht="18" customHeight="1">
      <c r="A10" s="1293" t="s">
        <v>1039</v>
      </c>
      <c r="B10" s="1825" t="s">
        <v>1409</v>
      </c>
      <c r="C10" s="2960">
        <f ca="1">ROUND(IF(F10="押一",C6/12*F11,IF(F10="押二",C6/12*2*F11,IF(F10="押三",C6/12*3*F11,C11*F11))),1)</f>
        <v>0</v>
      </c>
      <c r="D10" s="1826" t="s">
        <v>3039</v>
      </c>
      <c r="E10" s="358" t="s">
        <v>1410</v>
      </c>
      <c r="F10" s="1368" t="s">
        <v>3183</v>
      </c>
      <c r="G10" s="1853"/>
      <c r="H10" s="1293" t="s">
        <v>1039</v>
      </c>
      <c r="I10" s="1825" t="s">
        <v>1409</v>
      </c>
      <c r="J10" s="346">
        <f ca="1">ROUND(IF(M10="押一",J6/12*M11,IF(M10="押二",J6/12*2*M11,IF(M10="押三",J6/12*3*M11,J11*M11))),0)</f>
        <v>0</v>
      </c>
      <c r="K10" s="1826" t="s">
        <v>3038</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67</v>
      </c>
      <c r="D13" s="1333" t="s">
        <v>1415</v>
      </c>
      <c r="E13" s="1333" t="s">
        <v>1416</v>
      </c>
      <c r="F13" s="1334">
        <f ca="1">INDIRECT("'数据-取费表'!y"&amp;$G$1)</f>
        <v>0.98</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42</v>
      </c>
      <c r="D14" s="1802" t="s">
        <v>1418</v>
      </c>
      <c r="E14" s="1796"/>
      <c r="F14" s="364"/>
      <c r="G14" s="1853"/>
      <c r="H14" s="1203" t="s">
        <v>1035</v>
      </c>
      <c r="I14" s="347" t="s">
        <v>1419</v>
      </c>
      <c r="J14" s="24">
        <f ca="1">C29</f>
        <v>68</v>
      </c>
      <c r="K14" s="15"/>
      <c r="L14" s="981"/>
      <c r="M14" s="982"/>
    </row>
    <row r="15" spans="1:37" s="1860" customFormat="1" ht="18" customHeight="1" thickBot="1">
      <c r="A15" s="1203" t="s">
        <v>1036</v>
      </c>
      <c r="B15" s="347" t="s">
        <v>1420</v>
      </c>
      <c r="C15" s="24">
        <f ca="1">ROUND(C14*F15,0)</f>
        <v>1</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2</v>
      </c>
      <c r="K16" s="1339" t="s">
        <v>1425</v>
      </c>
      <c r="L16" s="1340"/>
      <c r="M16" s="1296"/>
    </row>
    <row r="17" spans="1:37" s="1860" customFormat="1" ht="18" customHeight="1">
      <c r="A17" s="1203" t="s">
        <v>1390</v>
      </c>
      <c r="B17" s="347" t="s">
        <v>1426</v>
      </c>
      <c r="C17" s="24">
        <f ca="1">ROUND(F17*(F43+INDIRECT("'数据-取费表'!S"&amp;$G$1))/10000,0)</f>
        <v>3</v>
      </c>
      <c r="D17" s="347" t="s">
        <v>1427</v>
      </c>
      <c r="E17" s="347" t="s">
        <v>1428</v>
      </c>
      <c r="F17" s="26">
        <f>'数据-取费表'!B35</f>
        <v>200</v>
      </c>
      <c r="G17" s="1856"/>
      <c r="H17" s="1203" t="s">
        <v>1035</v>
      </c>
      <c r="I17" s="347" t="s">
        <v>1429</v>
      </c>
      <c r="J17" s="24">
        <f ca="1">ROUND(IF(项目基本情况!B11="自然人",J5*M17,J18+J19+J20),1)</f>
        <v>0.6</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1</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47</v>
      </c>
      <c r="D19" s="140" t="s">
        <v>1436</v>
      </c>
      <c r="E19" s="1820"/>
      <c r="F19" s="26"/>
      <c r="G19" s="1853"/>
      <c r="H19" s="1203" t="s">
        <v>1036</v>
      </c>
      <c r="I19" s="347" t="s">
        <v>1437</v>
      </c>
      <c r="J19" s="24">
        <f ca="1">IF(K19="按租金收入计税",ROUND(J5*M19,2),ROUND(C29*M19*0.7,2))</f>
        <v>0.56999999999999995</v>
      </c>
      <c r="K19" s="1830" t="s">
        <v>1438</v>
      </c>
      <c r="L19" s="347" t="s">
        <v>1422</v>
      </c>
      <c r="M19" s="367">
        <f>IF(K19="按租金收入计税",'数据-取费表'!B51,'数据-取费表'!B50)</f>
        <v>1.2E-2</v>
      </c>
    </row>
    <row r="20" spans="1:37" s="1860" customFormat="1" ht="18" customHeight="1">
      <c r="A20" s="1203" t="s">
        <v>1039</v>
      </c>
      <c r="B20" s="347" t="s">
        <v>1439</v>
      </c>
      <c r="C20" s="24">
        <f ca="1">ROUND(C19*F20,0)</f>
        <v>1</v>
      </c>
      <c r="D20" s="369" t="s">
        <v>1440</v>
      </c>
      <c r="E20" s="347" t="s">
        <v>1422</v>
      </c>
      <c r="F20" s="367">
        <f>'数据-取费表'!B37</f>
        <v>0.02</v>
      </c>
      <c r="G20" s="1856"/>
      <c r="H20" s="1203" t="s">
        <v>1389</v>
      </c>
      <c r="I20" s="164" t="s">
        <v>1441</v>
      </c>
      <c r="J20" s="25">
        <f ca="1">ROUND(M20*M21/10000,2)</f>
        <v>7.0000000000000007E-2</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45.61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1</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3</v>
      </c>
      <c r="D23" s="375" t="str">
        <f>IF(F23&lt;=1,"(建造成本+管理费用)×利率×(建设周期÷2)","(建造成本+管理费用)×((1+利率)^(建设周期÷2)-1)")</f>
        <v>(建造成本+管理费用)×((1+利率)^(建设周期÷2)-1)</v>
      </c>
      <c r="E23" s="347" t="s">
        <v>1452</v>
      </c>
      <c r="F23" s="371">
        <f>'数据-取费表'!B20</f>
        <v>3</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-2</v>
      </c>
      <c r="K25" s="1347" t="s">
        <v>1464</v>
      </c>
      <c r="L25" s="1348"/>
      <c r="M25" s="1349"/>
    </row>
    <row r="26" spans="1:37">
      <c r="A26" s="1203" t="s">
        <v>1034</v>
      </c>
      <c r="B26" s="347" t="s">
        <v>1465</v>
      </c>
      <c r="C26" s="24">
        <f ca="1">ROUND((C19+C20)*F26,0)</f>
        <v>12</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5.0000000000000001E-3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68</v>
      </c>
      <c r="D29" s="1344"/>
      <c r="E29" s="1342"/>
      <c r="F29" s="1345"/>
      <c r="G29" s="1856"/>
      <c r="H29" s="380" t="s">
        <v>1033</v>
      </c>
      <c r="I29" s="381" t="s">
        <v>1479</v>
      </c>
      <c r="J29" s="382">
        <f ca="1">ROUND(J26/(1+F40)^F41,0)</f>
        <v>0</v>
      </c>
      <c r="K29" s="383" t="s">
        <v>1480</v>
      </c>
      <c r="L29" s="384"/>
      <c r="M29" s="385">
        <f ca="1">INDIRECT("'数据-取费表'!k"&amp;$G$1)</f>
        <v>139.15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5</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3.9</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1.17</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2.64</v>
      </c>
      <c r="D33" s="2959" t="s">
        <v>3131</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7.0000000000000007E-2</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45.61</v>
      </c>
      <c r="G35" s="1853"/>
      <c r="H35" s="744"/>
      <c r="I35" s="1862"/>
      <c r="J35" s="1863"/>
      <c r="K35" s="1864"/>
      <c r="L35" s="1861"/>
      <c r="M35" s="1861"/>
    </row>
    <row r="36" spans="1:18" ht="18" customHeight="1">
      <c r="A36" s="1354" t="s">
        <v>1039</v>
      </c>
      <c r="B36" s="347" t="s">
        <v>1449</v>
      </c>
      <c r="C36" s="24">
        <f ca="1">ROUND(C29*F36,1)</f>
        <v>1</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0.1</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0.2</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17</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385</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31.37</v>
      </c>
      <c r="G41" s="1853"/>
      <c r="H41" s="731"/>
      <c r="I41" s="1862"/>
      <c r="J41" s="1863"/>
      <c r="K41" s="750"/>
      <c r="L41" s="731"/>
      <c r="M41" s="731"/>
    </row>
    <row r="42" spans="1:18" ht="18" customHeight="1">
      <c r="A42" s="353"/>
      <c r="B42" s="354"/>
      <c r="C42" s="355"/>
      <c r="D42" s="373"/>
      <c r="E42" s="347" t="s">
        <v>1477</v>
      </c>
      <c r="F42" s="357">
        <f ca="1">INDIRECT("'数据-取费表'!v"&amp;$G$1)</f>
        <v>0.03</v>
      </c>
      <c r="G42" s="1853"/>
      <c r="H42" s="731"/>
      <c r="I42" s="1862"/>
      <c r="J42" s="1863"/>
      <c r="K42" s="750"/>
      <c r="L42" s="731"/>
      <c r="M42" s="731"/>
    </row>
    <row r="43" spans="1:18" ht="18" customHeight="1" thickBot="1">
      <c r="A43" s="380" t="s">
        <v>1033</v>
      </c>
      <c r="B43" s="381" t="s">
        <v>1487</v>
      </c>
      <c r="C43" s="382">
        <f ca="1">ROUND(C40*10000/F43,0)</f>
        <v>27668</v>
      </c>
      <c r="D43" s="383" t="s">
        <v>1488</v>
      </c>
      <c r="E43" s="384" t="s">
        <v>1489</v>
      </c>
      <c r="F43" s="385">
        <f ca="1">INDIRECT("'数据-取费表'!k"&amp;$G$1)</f>
        <v>139.15</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24.75" thickBot="1">
      <c r="A46" s="1872" t="s">
        <v>1520</v>
      </c>
      <c r="C46" s="1873">
        <f ca="1">C68-C40</f>
        <v>-495</v>
      </c>
      <c r="D46" s="1874" t="str">
        <f>C2</f>
        <v>万元</v>
      </c>
      <c r="E46" s="1868"/>
      <c r="F46" s="1868"/>
      <c r="I46" s="2968" t="s">
        <v>1521</v>
      </c>
      <c r="J46" s="2969"/>
      <c r="K46" s="2970"/>
      <c r="L46" s="2971">
        <f ca="1">IF(M47="住宅",0,IF(L48&gt;J51,L60,J60))</f>
        <v>2</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2972" t="s">
        <v>1526</v>
      </c>
      <c r="J47" s="2783" t="s">
        <v>3072</v>
      </c>
      <c r="K47" s="2973" t="s">
        <v>1527</v>
      </c>
      <c r="L47" s="2974">
        <f ca="1">INDIRECT("'数据-取费表'!d"&amp;$G$1)</f>
        <v>40</v>
      </c>
      <c r="M47" s="1840" t="str">
        <f>IF(ISNUMBER(FIND("住宅",C1)),"住宅","非住宅")</f>
        <v>非住宅</v>
      </c>
      <c r="O47" s="1886" t="s">
        <v>1040</v>
      </c>
      <c r="P47" s="1887" t="s">
        <v>1528</v>
      </c>
      <c r="Q47" s="1888">
        <f ca="1">C40+J29</f>
        <v>385</v>
      </c>
      <c r="R47" s="1888" t="s">
        <v>1529</v>
      </c>
    </row>
    <row r="48" spans="1:18" s="1844" customFormat="1" ht="28.5" thickBot="1">
      <c r="A48" s="1362" t="s">
        <v>1135</v>
      </c>
      <c r="B48" s="345" t="s">
        <v>1401</v>
      </c>
      <c r="C48" s="1819">
        <f ca="1">C49+C53+C55</f>
        <v>0</v>
      </c>
      <c r="D48" s="1364"/>
      <c r="E48" s="1365"/>
      <c r="F48" s="1183"/>
      <c r="G48" s="791"/>
      <c r="H48" s="792"/>
      <c r="I48" s="1924" t="s">
        <v>1530</v>
      </c>
      <c r="J48" s="2975" t="s">
        <v>3073</v>
      </c>
      <c r="K48" s="2976" t="s">
        <v>1531</v>
      </c>
      <c r="L48" s="818">
        <f ca="1">INDIRECT("'数据-取费表'!f"&amp;$G$1)</f>
        <v>31.37</v>
      </c>
      <c r="O48" s="1886" t="s">
        <v>1041</v>
      </c>
      <c r="P48" s="1887" t="s">
        <v>1532</v>
      </c>
      <c r="Q48" s="1888">
        <f ca="1">J60</f>
        <v>2</v>
      </c>
      <c r="R48" s="1888" t="s">
        <v>1533</v>
      </c>
    </row>
    <row r="49" spans="1:18" s="1844" customFormat="1" ht="13.5" thickBot="1">
      <c r="A49" s="1196" t="s">
        <v>1136</v>
      </c>
      <c r="B49" s="1831" t="s">
        <v>1490</v>
      </c>
      <c r="C49" s="1366">
        <f ca="1">ROUND(F49*F51*F50*(1-F52)/10000,0)</f>
        <v>0</v>
      </c>
      <c r="D49" s="1278" t="s">
        <v>3031</v>
      </c>
      <c r="E49" s="1832" t="s">
        <v>1491</v>
      </c>
      <c r="F49" s="1283"/>
      <c r="G49" s="1893"/>
      <c r="H49" s="792"/>
      <c r="I49" s="1924" t="s">
        <v>1534</v>
      </c>
      <c r="J49" s="3003">
        <v>2017</v>
      </c>
      <c r="K49" s="2976" t="s">
        <v>1535</v>
      </c>
      <c r="L49" s="2767"/>
      <c r="O49" s="1896" t="s">
        <v>1042</v>
      </c>
      <c r="P49" s="1887" t="s">
        <v>1536</v>
      </c>
      <c r="Q49" s="1888">
        <f ca="1">C29</f>
        <v>68</v>
      </c>
      <c r="R49" s="1888" t="s">
        <v>1529</v>
      </c>
    </row>
    <row r="50" spans="1:18" s="1844" customFormat="1" ht="13.5" thickBot="1">
      <c r="A50" s="1197"/>
      <c r="B50" s="1200"/>
      <c r="C50" s="1370"/>
      <c r="D50" s="1174"/>
      <c r="E50" s="1279" t="s">
        <v>1406</v>
      </c>
      <c r="F50" s="1280">
        <f ca="1">F7</f>
        <v>139.15</v>
      </c>
      <c r="H50" s="792"/>
      <c r="I50" s="1924" t="s">
        <v>1537</v>
      </c>
      <c r="J50" s="2977">
        <f>SUMPRODUCT((I63:I65=J47)*(J62:L62=J48)*(J63:L65))</f>
        <v>60</v>
      </c>
      <c r="K50" s="2976" t="s">
        <v>1538</v>
      </c>
      <c r="L50" s="2767"/>
      <c r="M50" s="1898"/>
      <c r="O50" s="1896" t="s">
        <v>1043</v>
      </c>
      <c r="P50" s="1887" t="s">
        <v>1539</v>
      </c>
      <c r="Q50" s="1899">
        <f ca="1">J58</f>
        <v>0.46100000000000002</v>
      </c>
      <c r="R50" s="1888"/>
    </row>
    <row r="51" spans="1:18" s="1844" customFormat="1" ht="13.5" thickBot="1">
      <c r="A51" s="1198"/>
      <c r="B51" s="1200"/>
      <c r="C51" s="1201"/>
      <c r="D51" s="1174"/>
      <c r="E51" s="1202" t="s">
        <v>1407</v>
      </c>
      <c r="F51" s="348">
        <f ca="1">F8</f>
        <v>365</v>
      </c>
      <c r="I51" s="2978" t="s">
        <v>1540</v>
      </c>
      <c r="J51" s="2979">
        <f>IF(J49="",J50,J49+J50-YEAR('数据-取费表'!B2))</f>
        <v>59</v>
      </c>
      <c r="K51" s="2980" t="s">
        <v>1541</v>
      </c>
      <c r="L51" s="2981">
        <f ca="1">ROUND(-PV(INDIRECT("'数据-取费表'!h"&amp;$G$1),L48,(C39-C13*C76),0),0)</f>
        <v>188</v>
      </c>
      <c r="M51" s="1904"/>
      <c r="O51" s="1896" t="s">
        <v>1044</v>
      </c>
      <c r="P51" s="1887" t="s">
        <v>1542</v>
      </c>
      <c r="Q51" s="1899">
        <f>J52</f>
        <v>0.09</v>
      </c>
      <c r="R51" s="1888"/>
    </row>
    <row r="52" spans="1:18" s="1844" customFormat="1" ht="13.5" thickBot="1">
      <c r="A52" s="1198"/>
      <c r="B52" s="1200"/>
      <c r="C52" s="1201"/>
      <c r="D52" s="1174"/>
      <c r="E52" s="1202" t="s">
        <v>1408</v>
      </c>
      <c r="F52" s="1277"/>
      <c r="I52" s="2869" t="s">
        <v>1543</v>
      </c>
      <c r="J52" s="2982">
        <v>0.09</v>
      </c>
      <c r="K52" s="2869" t="s">
        <v>1544</v>
      </c>
      <c r="L52" s="2982"/>
      <c r="O52" s="1896" t="s">
        <v>1045</v>
      </c>
      <c r="P52" s="1887" t="s">
        <v>1545</v>
      </c>
      <c r="Q52" s="1888">
        <f ca="1">J53</f>
        <v>31.37</v>
      </c>
      <c r="R52" s="1888" t="s">
        <v>1546</v>
      </c>
    </row>
    <row r="53" spans="1:18" s="1844" customFormat="1" ht="24.75" thickBot="1">
      <c r="A53" s="1407" t="s">
        <v>1137</v>
      </c>
      <c r="B53" s="1833" t="s">
        <v>1409</v>
      </c>
      <c r="C53" s="361">
        <f ca="1">ROUND(IF(F53="押一",C49/12*F11,IF(F53="押二",C49/12*2*F11,IF(F53="押三",C49/12*3*F11,C54*F11))),0)</f>
        <v>0</v>
      </c>
      <c r="D53" s="1826" t="s">
        <v>3038</v>
      </c>
      <c r="E53" s="358" t="s">
        <v>1410</v>
      </c>
      <c r="F53" s="1368"/>
      <c r="I53" s="1907" t="s">
        <v>1547</v>
      </c>
      <c r="J53" s="2983">
        <f ca="1">IF(M47="住宅",J51,IF(D1="——",MIN(J51,L48),IF(D1="在建（套用方法）",MIN(J51,L48-'数据-取费表'!B24),IF(D1="土地（套用方法）",MIN(J51,L48-'数据-取费表'!B20)))))</f>
        <v>31.37</v>
      </c>
      <c r="K53" s="3277" t="s">
        <v>1548</v>
      </c>
      <c r="L53" s="3278"/>
      <c r="O53" s="1886" t="s">
        <v>1046</v>
      </c>
      <c r="P53" s="1887" t="s">
        <v>1549</v>
      </c>
      <c r="Q53" s="1888">
        <f ca="1">Q47+Q48</f>
        <v>387</v>
      </c>
      <c r="R53" s="1888" t="s">
        <v>1047</v>
      </c>
    </row>
    <row r="54" spans="1:18" s="1844" customFormat="1" ht="51.75" thickBot="1">
      <c r="A54" s="1408"/>
      <c r="B54" s="1827" t="s">
        <v>1388</v>
      </c>
      <c r="C54" s="1180"/>
      <c r="D54" s="1826"/>
      <c r="E54" s="1834"/>
      <c r="F54" s="1909"/>
      <c r="I54" s="29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2985">
        <f ca="1">ROUND(IF(J47="钢混",J57/J50,1-(1-2%)*(J50-J57)/J50),3)</f>
        <v>0.46100000000000002</v>
      </c>
      <c r="K55" s="2986" t="s">
        <v>1552</v>
      </c>
      <c r="L55" s="2987" t="s">
        <v>3074</v>
      </c>
      <c r="O55" s="1879" t="s">
        <v>1522</v>
      </c>
      <c r="P55" s="1880" t="s">
        <v>1523</v>
      </c>
      <c r="Q55" s="1881" t="s">
        <v>1524</v>
      </c>
      <c r="R55" s="1881" t="s">
        <v>1525</v>
      </c>
    </row>
    <row r="56" spans="1:18" s="1844" customFormat="1" ht="25.5" thickTop="1" thickBot="1">
      <c r="A56" s="1178">
        <v>2</v>
      </c>
      <c r="B56" s="1179" t="s">
        <v>1414</v>
      </c>
      <c r="C56" s="276">
        <f ca="1">C13</f>
        <v>67</v>
      </c>
      <c r="D56" s="1916"/>
      <c r="E56" s="1917"/>
      <c r="F56" s="1909"/>
      <c r="I56" s="1918" t="s">
        <v>1553</v>
      </c>
      <c r="J56" s="2988" t="s">
        <v>3051</v>
      </c>
      <c r="K56" s="1924" t="s">
        <v>1554</v>
      </c>
      <c r="L56" s="818" t="str">
        <f ca="1">IF(L48&lt;J51,"——",L48-J53)</f>
        <v>——</v>
      </c>
      <c r="O56" s="1886" t="s">
        <v>1040</v>
      </c>
      <c r="P56" s="1887" t="s">
        <v>1528</v>
      </c>
      <c r="Q56" s="1888">
        <f ca="1">C40+J29</f>
        <v>385</v>
      </c>
      <c r="R56" s="1888" t="s">
        <v>1529</v>
      </c>
    </row>
    <row r="57" spans="1:18" s="1844" customFormat="1" ht="24.75" thickBot="1">
      <c r="A57" s="1920"/>
      <c r="B57" s="1171" t="s">
        <v>1478</v>
      </c>
      <c r="C57" s="282">
        <f ca="1">C29</f>
        <v>68</v>
      </c>
      <c r="D57" s="1921"/>
      <c r="E57" s="1922"/>
      <c r="F57" s="1923"/>
      <c r="I57" s="1924" t="s">
        <v>1555</v>
      </c>
      <c r="J57" s="235">
        <f ca="1">IF(OR(M47="住宅",J51&lt;L48,J56="是"),"——",J51-L48)</f>
        <v>27.63</v>
      </c>
      <c r="K57" s="1924" t="s">
        <v>1556</v>
      </c>
      <c r="L57" s="818"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7</v>
      </c>
      <c r="D58" s="1181" t="s">
        <v>1425</v>
      </c>
      <c r="E58" s="1182"/>
      <c r="F58" s="1183"/>
      <c r="I58" s="1924" t="s">
        <v>1559</v>
      </c>
      <c r="J58" s="2989">
        <f ca="1">IF(J55&lt;0.4,0.4,J55)</f>
        <v>0.46100000000000002</v>
      </c>
      <c r="K58" s="2980" t="s">
        <v>1560</v>
      </c>
      <c r="L58" s="818"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5.8</v>
      </c>
      <c r="D59" s="1184" t="s">
        <v>1430</v>
      </c>
      <c r="E59" s="1185" t="s">
        <v>1431</v>
      </c>
      <c r="F59" s="368" t="str">
        <f ca="1">IF(项目基本情况!B11="企业","",IF(INDIRECT("'数据-取费表'!c"&amp;$G$1)="住宅",5%,IF(F49*F50*F51/12/(1+'数据-取费表'!C42)&gt;20000,12%,7%)))</f>
        <v/>
      </c>
      <c r="I59" s="1924" t="s">
        <v>1562</v>
      </c>
      <c r="J59" s="235">
        <f ca="1">IF(OR(M47="住宅",J51&lt;L48,J56="是"),"——",ROUND(C29*J58,0))</f>
        <v>31</v>
      </c>
      <c r="K59" s="19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8"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2990" t="s">
        <v>1564</v>
      </c>
      <c r="J60" s="2991">
        <f ca="1">IF(OR(M47="住宅",J51&lt;L48,J56="是"),"0",ROUND(J59/(1+J52)^J53,0))</f>
        <v>2</v>
      </c>
      <c r="K60" s="2992" t="s">
        <v>1565</v>
      </c>
      <c r="L60" s="2991">
        <f ca="1">IF(OR(M47="住宅",L48&lt;J51),0,ROUND(L57*(L58/L59-1),0))</f>
        <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5.71</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1495</v>
      </c>
      <c r="B62" s="1170" t="s">
        <v>1496</v>
      </c>
      <c r="C62" s="25">
        <f ca="1">IF(项目基本情况!B11="自然人","——",ROUND(F62*F63/10000,2))</f>
        <v>7.0000000000000007E-2</v>
      </c>
      <c r="D62" s="1186" t="s">
        <v>1497</v>
      </c>
      <c r="E62" s="1171" t="s">
        <v>1498</v>
      </c>
      <c r="F62" s="371">
        <f t="shared" si="0"/>
        <v>16</v>
      </c>
      <c r="I62" s="1931" t="s">
        <v>1569</v>
      </c>
      <c r="J62" s="1932" t="s">
        <v>1570</v>
      </c>
      <c r="K62" s="1932" t="s">
        <v>1571</v>
      </c>
      <c r="L62" s="1932" t="s">
        <v>1572</v>
      </c>
      <c r="M62" s="1933" t="s">
        <v>1573</v>
      </c>
      <c r="O62" s="1886" t="s">
        <v>1046</v>
      </c>
      <c r="P62" s="1887" t="s">
        <v>1574</v>
      </c>
      <c r="Q62" s="1888">
        <f ca="1">Q56+Q57</f>
        <v>385</v>
      </c>
      <c r="R62" s="1888" t="s">
        <v>1047</v>
      </c>
    </row>
    <row r="63" spans="1:18" s="1844" customFormat="1" ht="13.5" thickBot="1">
      <c r="A63" s="372"/>
      <c r="B63" s="1177"/>
      <c r="C63" s="29"/>
      <c r="D63" s="1187"/>
      <c r="E63" s="1171" t="s">
        <v>1499</v>
      </c>
      <c r="F63" s="348">
        <f t="shared" ca="1" si="0"/>
        <v>45.61</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1</v>
      </c>
      <c r="D64" s="1185" t="s">
        <v>1502</v>
      </c>
      <c r="E64" s="1171" t="s">
        <v>1494</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0.1</v>
      </c>
      <c r="D65" s="1185" t="s">
        <v>1454</v>
      </c>
      <c r="E65" s="1171" t="s">
        <v>1455</v>
      </c>
      <c r="F65" s="376">
        <f t="shared" ca="1" si="0"/>
        <v>1.5E-3</v>
      </c>
      <c r="I65" s="1931" t="s">
        <v>1578</v>
      </c>
      <c r="J65" s="1932">
        <v>40</v>
      </c>
      <c r="K65" s="1932">
        <v>30</v>
      </c>
      <c r="L65" s="1932">
        <v>50</v>
      </c>
      <c r="M65" s="1934">
        <v>0.02</v>
      </c>
      <c r="O65" s="1886" t="s">
        <v>1040</v>
      </c>
      <c r="P65" s="1887" t="s">
        <v>1579</v>
      </c>
      <c r="Q65" s="1888">
        <f ca="1">C40+J29</f>
        <v>385</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-7</v>
      </c>
      <c r="D67" s="1184" t="s">
        <v>1464</v>
      </c>
      <c r="E67" s="1189"/>
      <c r="F67" s="1190"/>
      <c r="O67" s="1896" t="s">
        <v>1042</v>
      </c>
      <c r="P67" s="1887" t="s">
        <v>1561</v>
      </c>
      <c r="Q67" s="1935">
        <f ca="1">L51</f>
        <v>188</v>
      </c>
      <c r="R67" s="1888" t="s">
        <v>1581</v>
      </c>
    </row>
    <row r="68" spans="1:18" s="1844" customFormat="1" ht="16.5" thickBot="1">
      <c r="A68" s="1168" t="s">
        <v>1032</v>
      </c>
      <c r="B68" s="1169" t="s">
        <v>1485</v>
      </c>
      <c r="C68" s="346">
        <f ca="1">ROUND(C67*(1-((1+F70)/(1+F68))^F69)/(F68-F70),0)</f>
        <v>-110</v>
      </c>
      <c r="D68" s="1186" t="s">
        <v>1469</v>
      </c>
      <c r="E68" s="1171" t="s">
        <v>1470</v>
      </c>
      <c r="F68" s="357">
        <f ca="1">F40</f>
        <v>0.05</v>
      </c>
      <c r="O68" s="1896" t="s">
        <v>1043</v>
      </c>
      <c r="P68" s="1936" t="s">
        <v>1582</v>
      </c>
      <c r="Q68" s="1888">
        <f ca="1">ROUND(Q69-Q70*Q71,0)</f>
        <v>11</v>
      </c>
      <c r="R68" s="1888" t="s">
        <v>1051</v>
      </c>
    </row>
    <row r="69" spans="1:18" s="1844" customFormat="1" ht="13.5" thickBot="1">
      <c r="A69" s="1172"/>
      <c r="B69" s="1173"/>
      <c r="C69" s="351"/>
      <c r="D69" s="1191" t="s">
        <v>1473</v>
      </c>
      <c r="E69" s="1171" t="s">
        <v>1474</v>
      </c>
      <c r="F69" s="379">
        <f ca="1">F41</f>
        <v>31.37</v>
      </c>
      <c r="O69" s="1896" t="s">
        <v>1048</v>
      </c>
      <c r="P69" s="1936" t="s">
        <v>1583</v>
      </c>
      <c r="Q69" s="1888">
        <f ca="1">C39</f>
        <v>17</v>
      </c>
      <c r="R69" s="1888" t="s">
        <v>1529</v>
      </c>
    </row>
    <row r="70" spans="1:18" s="1844" customFormat="1" ht="13.5" thickBot="1">
      <c r="A70" s="1175"/>
      <c r="B70" s="1176"/>
      <c r="C70" s="355"/>
      <c r="D70" s="1187"/>
      <c r="E70" s="1171" t="s">
        <v>1477</v>
      </c>
      <c r="F70" s="1277"/>
      <c r="O70" s="1896" t="s">
        <v>1049</v>
      </c>
      <c r="P70" s="1936" t="s">
        <v>1584</v>
      </c>
      <c r="Q70" s="1888">
        <f ca="1">C13</f>
        <v>67</v>
      </c>
      <c r="R70" s="1888" t="s">
        <v>1529</v>
      </c>
    </row>
    <row r="71" spans="1:18" s="1844" customFormat="1" ht="13.5" thickBot="1">
      <c r="A71" s="1192" t="s">
        <v>1033</v>
      </c>
      <c r="B71" s="1193" t="s">
        <v>1487</v>
      </c>
      <c r="C71" s="382">
        <f ca="1">ROUND(C68*10000/F71,0)</f>
        <v>-7905</v>
      </c>
      <c r="D71" s="1194" t="s">
        <v>1488</v>
      </c>
      <c r="E71" s="1195" t="s">
        <v>1489</v>
      </c>
      <c r="F71" s="385">
        <f ca="1">F43</f>
        <v>139.15</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1506</v>
      </c>
      <c r="C75" s="387">
        <f ca="1">ROUND(C13*C76,0)</f>
        <v>6</v>
      </c>
      <c r="D75" s="1844"/>
      <c r="E75" s="1844"/>
      <c r="F75" s="1844"/>
      <c r="K75" s="1870"/>
      <c r="L75" s="1844"/>
      <c r="O75" s="1886" t="s">
        <v>1046</v>
      </c>
      <c r="P75" s="1887" t="s">
        <v>1549</v>
      </c>
      <c r="Q75" s="1888">
        <f ca="1">Q65+Q66</f>
        <v>385</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0.64700000000000002</v>
      </c>
    </row>
    <row r="80" spans="1:18">
      <c r="B80" s="386" t="s">
        <v>1511</v>
      </c>
      <c r="C80" s="318">
        <f ca="1">ROUND(C75/C39,3)</f>
        <v>0.35299999999999998</v>
      </c>
    </row>
    <row r="81" spans="2:3">
      <c r="B81" s="314" t="s">
        <v>1512</v>
      </c>
      <c r="C81" s="282"/>
    </row>
    <row r="82" spans="2:3">
      <c r="B82" s="317" t="s">
        <v>1513</v>
      </c>
      <c r="C82" s="319">
        <f ca="1">1-C83</f>
        <v>0.82600000000000007</v>
      </c>
    </row>
    <row r="83" spans="2:3">
      <c r="B83" s="317" t="s">
        <v>1514</v>
      </c>
      <c r="C83" s="318">
        <f ca="1">ROUND(C13/C40,3)</f>
        <v>0.17399999999999999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c r="D1" s="1822"/>
      <c r="E1" s="1823" t="s">
        <v>1387</v>
      </c>
      <c r="F1" s="1285"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279" t="s">
        <v>1403</v>
      </c>
      <c r="C6" s="1298">
        <f ca="1">ROUND(F6*F8*F7*(1-F9),0)</f>
        <v>0</v>
      </c>
      <c r="D6" s="164" t="s">
        <v>3027</v>
      </c>
      <c r="E6" s="347" t="s">
        <v>1405</v>
      </c>
      <c r="F6" s="348">
        <f ca="1">INDIRECT("'数据-取费表'!u"&amp;$G$1)</f>
        <v>0</v>
      </c>
      <c r="G6" s="1853"/>
      <c r="H6" s="1293" t="s">
        <v>1035</v>
      </c>
      <c r="I6" s="3279" t="s">
        <v>1403</v>
      </c>
      <c r="J6" s="346">
        <f ca="1">ROUND(M6*M8*M7*(1-M9),0)</f>
        <v>0</v>
      </c>
      <c r="K6" s="1836" t="s">
        <v>3028</v>
      </c>
      <c r="L6" s="347" t="s">
        <v>1405</v>
      </c>
      <c r="M6" s="348">
        <f ca="1">INDIRECT("'数据-取费表'!z"&amp;$G$1)</f>
        <v>0</v>
      </c>
    </row>
    <row r="7" spans="1:37" ht="18" customHeight="1">
      <c r="A7" s="1297"/>
      <c r="B7" s="3280"/>
      <c r="C7" s="1299"/>
      <c r="D7" s="352"/>
      <c r="E7" s="1300" t="s">
        <v>1406</v>
      </c>
      <c r="F7" s="348">
        <f ca="1">IF(INDIRECT("'数据-取费表'!ah"&amp;$G$1)="",INDIRECT("'数据-取费表'!k"&amp;$G$1),INDIRECT("'数据-取费表'!ah"&amp;$G$1))</f>
        <v>0</v>
      </c>
      <c r="G7" s="1853"/>
      <c r="H7" s="349"/>
      <c r="I7" s="3280"/>
      <c r="J7" s="351"/>
      <c r="K7" s="352"/>
      <c r="L7" s="347" t="s">
        <v>1406</v>
      </c>
      <c r="M7" s="348">
        <f ca="1">F7</f>
        <v>0</v>
      </c>
    </row>
    <row r="8" spans="1:37" ht="18" customHeight="1">
      <c r="A8" s="349"/>
      <c r="B8" s="3280"/>
      <c r="C8" s="351"/>
      <c r="D8" s="352"/>
      <c r="E8" s="347" t="s">
        <v>1407</v>
      </c>
      <c r="F8" s="348">
        <f ca="1">INDIRECT("'数据-取费表'!ai"&amp;$G$1)</f>
        <v>0</v>
      </c>
      <c r="G8" s="1853"/>
      <c r="H8" s="349"/>
      <c r="I8" s="3280"/>
      <c r="J8" s="351"/>
      <c r="K8" s="352"/>
      <c r="L8" s="347" t="s">
        <v>1407</v>
      </c>
      <c r="M8" s="348">
        <f ca="1">INDIRECT("'数据-取费表'!ai"&amp;$G$1)</f>
        <v>0</v>
      </c>
    </row>
    <row r="9" spans="1:37" ht="18" customHeight="1">
      <c r="A9" s="349"/>
      <c r="B9" s="3281"/>
      <c r="C9" s="351"/>
      <c r="D9" s="352"/>
      <c r="E9" s="347" t="s">
        <v>1408</v>
      </c>
      <c r="F9" s="357">
        <f ca="1">INDIRECT("'数据-取费表'!w"&amp;$G$1)</f>
        <v>0</v>
      </c>
      <c r="G9" s="1853"/>
      <c r="H9" s="349"/>
      <c r="I9" s="3281"/>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3038</v>
      </c>
      <c r="E10" s="358" t="s">
        <v>1410</v>
      </c>
      <c r="F10" s="1368"/>
      <c r="G10" s="1853"/>
      <c r="H10" s="1293" t="s">
        <v>1039</v>
      </c>
      <c r="I10" s="1825" t="s">
        <v>1409</v>
      </c>
      <c r="J10" s="346">
        <f ca="1">ROUND(IF(M10="押一",J6/12*M11,IF(M10="押二",J6/12*2*M11,IF(M10="押三",J6/12*3*M11,J11*M11))),0)</f>
        <v>0</v>
      </c>
      <c r="K10" s="1837" t="s">
        <v>3040</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3041</v>
      </c>
      <c r="E53" s="358" t="s">
        <v>1410</v>
      </c>
      <c r="F53" s="1368"/>
      <c r="I53" s="1907" t="s">
        <v>1547</v>
      </c>
      <c r="J53" s="1908" t="b">
        <f>IF(M47="住宅",J51,IF(D1="——",MIN(J51,L48),IF(D1="在建（套用方法）",MIN(J51,L48-'数据-取费表'!B24),IF(D1="土地（套用方法）",MIN(J51,L48-'数据-取费表'!B20)))))</f>
        <v>0</v>
      </c>
      <c r="K53" s="3277" t="s">
        <v>1548</v>
      </c>
      <c r="L53" s="3278"/>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16</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2524</v>
      </c>
      <c r="B1" s="2562"/>
      <c r="C1" s="2562"/>
      <c r="D1" s="2562"/>
      <c r="E1" s="2563"/>
    </row>
    <row r="2" spans="1:6" ht="15.75">
      <c r="A2" s="2564" t="s">
        <v>2325</v>
      </c>
      <c r="B2" s="2565">
        <f ca="1">SUMIF(B6:B13,"&lt;&gt;#ref!",B6:B13)</f>
        <v>387</v>
      </c>
      <c r="C2" s="2566" t="s">
        <v>2517</v>
      </c>
      <c r="D2" s="2567" t="s">
        <v>2518</v>
      </c>
      <c r="E2" s="2568">
        <f>SUM(E6:E13)</f>
        <v>139.15</v>
      </c>
    </row>
    <row r="3" spans="1:6" ht="15.75">
      <c r="A3" s="2564" t="s">
        <v>1395</v>
      </c>
      <c r="B3" s="2565">
        <f ca="1">ROUND(B2*10000/E2,0)</f>
        <v>27812</v>
      </c>
      <c r="C3" s="2566" t="s">
        <v>2525</v>
      </c>
      <c r="D3" s="2569"/>
      <c r="E3" s="2570"/>
    </row>
    <row r="4" spans="1:6" ht="15.75">
      <c r="A4" s="2571"/>
      <c r="B4" s="2569"/>
      <c r="C4" s="2569"/>
      <c r="D4" s="2569"/>
      <c r="E4" s="2570"/>
    </row>
    <row r="5" spans="1:6" ht="15">
      <c r="A5" s="2572" t="s">
        <v>2519</v>
      </c>
      <c r="B5" s="3282" t="s">
        <v>2520</v>
      </c>
      <c r="C5" s="3282"/>
      <c r="D5" s="2573"/>
      <c r="E5" s="2574" t="s">
        <v>2521</v>
      </c>
      <c r="F5" s="2575" t="s">
        <v>2522</v>
      </c>
    </row>
    <row r="6" spans="1:6">
      <c r="A6" s="2576" t="str">
        <f>'数据-取费表'!AN6</f>
        <v>收益法</v>
      </c>
      <c r="B6" s="2575">
        <f ca="1">IF(F6="是",'数据-取费表'!AO6,0)</f>
        <v>387</v>
      </c>
      <c r="C6" s="2566" t="s">
        <v>2517</v>
      </c>
      <c r="D6" s="2569"/>
      <c r="E6" s="2577">
        <f>IF(OR(A6=0,F6="否"),0,'数据-取费表'!K6+'数据-取费表'!S6)</f>
        <v>139.15</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3" t="s">
        <v>1076</v>
      </c>
      <c r="B1" s="3284"/>
      <c r="C1" s="3285"/>
      <c r="D1" s="3286">
        <f>SUM(I10,I15,I20,I21,I23)</f>
        <v>0</v>
      </c>
      <c r="E1" s="3286"/>
      <c r="F1" s="3286"/>
      <c r="G1" s="3286"/>
      <c r="H1" s="3286"/>
      <c r="I1" s="3287"/>
    </row>
    <row r="2" spans="1:9">
      <c r="A2" s="3288" t="s">
        <v>1077</v>
      </c>
      <c r="B2" s="3289" t="s">
        <v>1078</v>
      </c>
      <c r="C2" s="3289"/>
      <c r="D2" s="1303" t="s">
        <v>1079</v>
      </c>
      <c r="E2" s="1303" t="s">
        <v>1080</v>
      </c>
      <c r="F2" s="1303" t="s">
        <v>1081</v>
      </c>
      <c r="G2" s="1303" t="s">
        <v>1082</v>
      </c>
      <c r="H2" s="1303" t="s">
        <v>1083</v>
      </c>
      <c r="I2" s="1304" t="s">
        <v>1084</v>
      </c>
    </row>
    <row r="3" spans="1:9">
      <c r="A3" s="3288"/>
      <c r="B3" s="3289" t="s">
        <v>1085</v>
      </c>
      <c r="C3" s="3289"/>
      <c r="D3" s="1305"/>
      <c r="E3" s="1303"/>
      <c r="F3" s="1306"/>
      <c r="G3" s="1306"/>
      <c r="H3" s="1307"/>
      <c r="I3" s="1308">
        <f>ROUND(D3*E3*F3*G3*H3/10000,0)</f>
        <v>0</v>
      </c>
    </row>
    <row r="4" spans="1:9">
      <c r="A4" s="3288"/>
      <c r="B4" s="3289" t="s">
        <v>1086</v>
      </c>
      <c r="C4" s="3289"/>
      <c r="D4" s="1305"/>
      <c r="E4" s="1303"/>
      <c r="F4" s="1306"/>
      <c r="G4" s="1306"/>
      <c r="H4" s="1307"/>
      <c r="I4" s="1308">
        <f t="shared" ref="I4:I9" si="0">ROUND(D4*E4*F4*G4*H4/10000,0)</f>
        <v>0</v>
      </c>
    </row>
    <row r="5" spans="1:9">
      <c r="A5" s="3288"/>
      <c r="B5" s="3289" t="s">
        <v>1087</v>
      </c>
      <c r="C5" s="3289"/>
      <c r="D5" s="1305"/>
      <c r="E5" s="1303"/>
      <c r="F5" s="1306"/>
      <c r="G5" s="1306"/>
      <c r="H5" s="1307"/>
      <c r="I5" s="1308">
        <f t="shared" si="0"/>
        <v>0</v>
      </c>
    </row>
    <row r="6" spans="1:9">
      <c r="A6" s="3288"/>
      <c r="B6" s="3289" t="s">
        <v>1088</v>
      </c>
      <c r="C6" s="3289"/>
      <c r="D6" s="1305"/>
      <c r="E6" s="1303"/>
      <c r="F6" s="1306"/>
      <c r="G6" s="1306"/>
      <c r="H6" s="1307"/>
      <c r="I6" s="1308">
        <f t="shared" si="0"/>
        <v>0</v>
      </c>
    </row>
    <row r="7" spans="1:9">
      <c r="A7" s="3288"/>
      <c r="B7" s="3289" t="s">
        <v>1089</v>
      </c>
      <c r="C7" s="3289"/>
      <c r="D7" s="1305"/>
      <c r="E7" s="1303"/>
      <c r="F7" s="1306"/>
      <c r="G7" s="1306"/>
      <c r="H7" s="1307"/>
      <c r="I7" s="1308">
        <f t="shared" si="0"/>
        <v>0</v>
      </c>
    </row>
    <row r="8" spans="1:9">
      <c r="A8" s="3288"/>
      <c r="B8" s="3289" t="s">
        <v>1090</v>
      </c>
      <c r="C8" s="3289"/>
      <c r="D8" s="1305"/>
      <c r="E8" s="1303"/>
      <c r="F8" s="1306"/>
      <c r="G8" s="1306"/>
      <c r="H8" s="1307"/>
      <c r="I8" s="1308">
        <f t="shared" si="0"/>
        <v>0</v>
      </c>
    </row>
    <row r="9" spans="1:9">
      <c r="A9" s="3288"/>
      <c r="B9" s="3289" t="s">
        <v>1091</v>
      </c>
      <c r="C9" s="3289"/>
      <c r="D9" s="1305"/>
      <c r="E9" s="1303"/>
      <c r="F9" s="1306"/>
      <c r="G9" s="1306"/>
      <c r="H9" s="1307"/>
      <c r="I9" s="1308">
        <f t="shared" si="0"/>
        <v>0</v>
      </c>
    </row>
    <row r="10" spans="1:9">
      <c r="A10" s="3288"/>
      <c r="B10" s="3290" t="s">
        <v>1092</v>
      </c>
      <c r="C10" s="3290"/>
      <c r="D10" s="1309"/>
      <c r="E10" s="1309" t="e">
        <f>ROUND(D1*10000/D10/H9,0)</f>
        <v>#DIV/0!</v>
      </c>
      <c r="F10" s="1310"/>
      <c r="G10" s="1310"/>
      <c r="H10" s="1311"/>
      <c r="I10" s="1312">
        <f>SUM(I3:I9)</f>
        <v>0</v>
      </c>
    </row>
    <row r="11" spans="1:9" ht="14.25">
      <c r="A11" s="3288" t="s">
        <v>1093</v>
      </c>
      <c r="B11" s="3289" t="s">
        <v>1094</v>
      </c>
      <c r="C11" s="3289"/>
      <c r="D11" s="1305" t="s">
        <v>1095</v>
      </c>
      <c r="E11" s="1305" t="s">
        <v>1096</v>
      </c>
      <c r="F11" s="1306" t="s">
        <v>1097</v>
      </c>
      <c r="G11" s="1306" t="s">
        <v>1083</v>
      </c>
      <c r="H11" s="1313" t="s">
        <v>1098</v>
      </c>
      <c r="I11" s="1304" t="s">
        <v>1084</v>
      </c>
    </row>
    <row r="12" spans="1:9">
      <c r="A12" s="3288"/>
      <c r="B12" s="3289" t="s">
        <v>1099</v>
      </c>
      <c r="C12" s="3289"/>
      <c r="D12" s="1305"/>
      <c r="E12" s="1305"/>
      <c r="F12" s="1306"/>
      <c r="G12" s="1307"/>
      <c r="H12" s="1314"/>
      <c r="I12" s="1304">
        <f>ROUND(D12*E12*F12*G12/10000,0)</f>
        <v>0</v>
      </c>
    </row>
    <row r="13" spans="1:9">
      <c r="A13" s="3288"/>
      <c r="B13" s="3289" t="s">
        <v>1100</v>
      </c>
      <c r="C13" s="3289"/>
      <c r="D13" s="1305"/>
      <c r="E13" s="1305"/>
      <c r="F13" s="1306"/>
      <c r="G13" s="1307"/>
      <c r="H13" s="1314"/>
      <c r="I13" s="1304">
        <f>ROUND(D13*E13*F13*G13/10000,0)</f>
        <v>0</v>
      </c>
    </row>
    <row r="14" spans="1:9">
      <c r="A14" s="3288"/>
      <c r="B14" s="3289" t="s">
        <v>1101</v>
      </c>
      <c r="C14" s="3289"/>
      <c r="D14" s="1305"/>
      <c r="E14" s="1305"/>
      <c r="F14" s="1306"/>
      <c r="G14" s="1307"/>
      <c r="H14" s="1314"/>
      <c r="I14" s="1304">
        <f>ROUND(D14*E14*F14*G14/10000,0)</f>
        <v>0</v>
      </c>
    </row>
    <row r="15" spans="1:9">
      <c r="A15" s="3288"/>
      <c r="B15" s="3290" t="s">
        <v>1092</v>
      </c>
      <c r="C15" s="3290"/>
      <c r="D15" s="1309"/>
      <c r="E15" s="1309">
        <f>SUM(E12:E14)</f>
        <v>0</v>
      </c>
      <c r="F15" s="1310"/>
      <c r="G15" s="1307"/>
      <c r="H15" s="1314"/>
      <c r="I15" s="1315">
        <f>SUM(I12:I14)</f>
        <v>0</v>
      </c>
    </row>
    <row r="16" spans="1:9" ht="24">
      <c r="A16" s="3288" t="s">
        <v>1102</v>
      </c>
      <c r="B16" s="3289" t="s">
        <v>1103</v>
      </c>
      <c r="C16" s="3289"/>
      <c r="D16" s="1305" t="s">
        <v>1079</v>
      </c>
      <c r="E16" s="1316" t="s">
        <v>1104</v>
      </c>
      <c r="F16" s="1306" t="s">
        <v>1105</v>
      </c>
      <c r="G16" s="1307" t="s">
        <v>1083</v>
      </c>
      <c r="H16" s="1313" t="s">
        <v>1098</v>
      </c>
      <c r="I16" s="1304" t="s">
        <v>1084</v>
      </c>
    </row>
    <row r="17" spans="1:9" ht="14.25">
      <c r="A17" s="3288"/>
      <c r="B17" s="3289" t="s">
        <v>1106</v>
      </c>
      <c r="C17" s="3289"/>
      <c r="D17" s="1305"/>
      <c r="E17" s="1305"/>
      <c r="F17" s="1306"/>
      <c r="G17" s="1307"/>
      <c r="H17" s="1317"/>
      <c r="I17" s="1318">
        <f>ROUND(D17*E17*F17*G17/10000,0)</f>
        <v>0</v>
      </c>
    </row>
    <row r="18" spans="1:9" ht="14.25">
      <c r="A18" s="3288"/>
      <c r="B18" s="3289" t="s">
        <v>1107</v>
      </c>
      <c r="C18" s="3289"/>
      <c r="D18" s="1305"/>
      <c r="E18" s="1305"/>
      <c r="F18" s="1306"/>
      <c r="G18" s="1307"/>
      <c r="H18" s="1317"/>
      <c r="I18" s="1318">
        <f>ROUND(D18*E18*F18*G18/10000,0)</f>
        <v>0</v>
      </c>
    </row>
    <row r="19" spans="1:9" ht="14.25">
      <c r="A19" s="3288"/>
      <c r="B19" s="3289" t="s">
        <v>1108</v>
      </c>
      <c r="C19" s="3289"/>
      <c r="D19" s="1305"/>
      <c r="E19" s="1305"/>
      <c r="F19" s="1306"/>
      <c r="G19" s="1307"/>
      <c r="H19" s="1317"/>
      <c r="I19" s="1318">
        <f>ROUND(D19*E19*F19*G19/10000,0)</f>
        <v>0</v>
      </c>
    </row>
    <row r="20" spans="1:9">
      <c r="A20" s="3288"/>
      <c r="B20" s="3290" t="s">
        <v>1092</v>
      </c>
      <c r="C20" s="3290"/>
      <c r="D20" s="1309">
        <f>SUM(D17:D19)</f>
        <v>0</v>
      </c>
      <c r="E20" s="1309"/>
      <c r="F20" s="1310"/>
      <c r="G20" s="1307"/>
      <c r="H20" s="1314"/>
      <c r="I20" s="1315">
        <f>SUM(I17:I19)</f>
        <v>0</v>
      </c>
    </row>
    <row r="21" spans="1:9">
      <c r="A21" s="3288" t="s">
        <v>1109</v>
      </c>
      <c r="B21" s="3292"/>
      <c r="C21" s="3292"/>
      <c r="D21" s="3292"/>
      <c r="E21" s="3292"/>
      <c r="F21" s="3292"/>
      <c r="G21" s="3292"/>
      <c r="H21" s="1767">
        <v>0.1</v>
      </c>
      <c r="I21" s="1312">
        <f>ROUND(I10*H21,0)</f>
        <v>0</v>
      </c>
    </row>
    <row r="22" spans="1:9" ht="14.25">
      <c r="A22" s="3293" t="s">
        <v>1110</v>
      </c>
      <c r="B22" s="3294"/>
      <c r="C22" s="3295"/>
      <c r="D22" s="1319" t="s">
        <v>1111</v>
      </c>
      <c r="E22" s="1319" t="s">
        <v>1112</v>
      </c>
      <c r="F22" s="1320" t="s">
        <v>1113</v>
      </c>
      <c r="G22" s="1320" t="s">
        <v>1114</v>
      </c>
      <c r="H22" s="1313" t="s">
        <v>1115</v>
      </c>
      <c r="I22" s="1304" t="s">
        <v>1116</v>
      </c>
    </row>
    <row r="23" spans="1:9" ht="14.25" thickBot="1">
      <c r="A23" s="3296"/>
      <c r="B23" s="3297"/>
      <c r="C23" s="3298"/>
      <c r="D23" s="1321"/>
      <c r="E23" s="1321"/>
      <c r="F23" s="1321"/>
      <c r="G23" s="1322"/>
      <c r="H23" s="1323"/>
      <c r="I23" s="1324">
        <f>ROUND(E23*D23*F23*(1-G23)/10000,0)</f>
        <v>0</v>
      </c>
    </row>
    <row r="26" spans="1:9">
      <c r="A26" s="1325" t="s">
        <v>1117</v>
      </c>
      <c r="B26" s="1325"/>
      <c r="C26" s="1325"/>
      <c r="D26" s="1325"/>
      <c r="E26" s="3299">
        <f>C27-C30-C31-C32</f>
        <v>0</v>
      </c>
      <c r="F26" s="3299"/>
      <c r="G26" s="3299"/>
      <c r="H26" s="1739" t="s">
        <v>1340</v>
      </c>
    </row>
    <row r="27" spans="1:9">
      <c r="A27" s="1326">
        <v>1</v>
      </c>
      <c r="B27" s="1327" t="s">
        <v>1118</v>
      </c>
      <c r="C27" s="1327">
        <f>C28+C29</f>
        <v>0</v>
      </c>
      <c r="D27" s="1327"/>
      <c r="E27" s="3300"/>
      <c r="F27" s="3300"/>
      <c r="G27" s="3300"/>
    </row>
    <row r="28" spans="1:9">
      <c r="A28" s="1328" t="s">
        <v>1119</v>
      </c>
      <c r="B28" s="1327" t="s">
        <v>1120</v>
      </c>
      <c r="C28" s="1327"/>
      <c r="D28" s="1327"/>
      <c r="E28" s="3300"/>
      <c r="F28" s="3300"/>
      <c r="G28" s="3300"/>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91"/>
      <c r="F32" s="3291"/>
      <c r="G32" s="3291"/>
    </row>
    <row r="33" spans="1:7" hidden="1">
      <c r="A33" s="3301" t="s">
        <v>1129</v>
      </c>
      <c r="B33" s="3302"/>
      <c r="C33" s="3302"/>
      <c r="D33" s="3303"/>
      <c r="E33" s="3299"/>
      <c r="F33" s="3299"/>
      <c r="G33" s="3299"/>
    </row>
    <row r="34" spans="1:7" hidden="1">
      <c r="A34" s="1330">
        <v>1</v>
      </c>
      <c r="B34" s="1327" t="s">
        <v>1130</v>
      </c>
      <c r="C34" s="1327"/>
      <c r="D34" s="1327"/>
      <c r="E34" s="3300"/>
      <c r="F34" s="3300"/>
      <c r="G34" s="3300"/>
    </row>
    <row r="35" spans="1:7" hidden="1">
      <c r="A35" s="1330">
        <v>2</v>
      </c>
      <c r="B35" s="1327" t="s">
        <v>1131</v>
      </c>
      <c r="C35" s="1327"/>
      <c r="D35" s="1327"/>
      <c r="E35" s="3300"/>
      <c r="F35" s="3300"/>
      <c r="G35" s="3300"/>
    </row>
    <row r="36" spans="1:7" hidden="1">
      <c r="A36" s="1330">
        <v>3</v>
      </c>
      <c r="B36" s="1327" t="s">
        <v>1132</v>
      </c>
      <c r="C36" s="1327"/>
      <c r="D36" s="1327"/>
      <c r="E36" s="3300"/>
      <c r="F36" s="3300"/>
      <c r="G36" s="3300"/>
    </row>
    <row r="37" spans="1:7" hidden="1">
      <c r="A37" s="1330">
        <v>4</v>
      </c>
      <c r="B37" s="1327" t="s">
        <v>1133</v>
      </c>
      <c r="C37" s="1327"/>
      <c r="D37" s="1327"/>
      <c r="E37" s="3300"/>
      <c r="F37" s="3300"/>
      <c r="G37" s="3300"/>
    </row>
    <row r="38" spans="1:7" hidden="1">
      <c r="A38" s="3301" t="s">
        <v>1134</v>
      </c>
      <c r="B38" s="3302"/>
      <c r="C38" s="3302"/>
      <c r="D38" s="3303"/>
      <c r="E38" s="3299"/>
      <c r="F38" s="3299"/>
      <c r="G38" s="32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2527</v>
      </c>
      <c r="C1" s="1636" t="s">
        <v>2528</v>
      </c>
      <c r="D1" s="1623"/>
      <c r="E1" s="2583"/>
      <c r="F1" s="2584" t="s">
        <v>2529</v>
      </c>
      <c r="G1" s="1633" t="s">
        <v>2530</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6"/>
      <c r="D2" s="1367" t="e">
        <f ca="1">SUMIF(INDIRECT("'"&amp;F2&amp;"'"&amp;"!A:A"),"承租人权益价值",INDIRECT("'"&amp;F2&amp;"'"&amp;"!c:c"))</f>
        <v>#REF!</v>
      </c>
      <c r="E2" s="2587" t="s">
        <v>2531</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2532</v>
      </c>
      <c r="D3" s="399">
        <f>IF(D1="",'数据-汇总表'!E3,SUMIF('数据-汇总表'!$C19:$C33,D1,'数据-汇总表'!$E19:$E33))</f>
        <v>13306.869999999999</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2533</v>
      </c>
      <c r="B4" s="402"/>
      <c r="C4" s="3250" t="s">
        <v>2534</v>
      </c>
      <c r="D4" s="3251"/>
      <c r="E4" s="3252" t="s">
        <v>2535</v>
      </c>
      <c r="F4" s="3253"/>
      <c r="G4" s="3250" t="s">
        <v>2536</v>
      </c>
      <c r="H4" s="3251"/>
      <c r="I4" s="3250" t="s">
        <v>2537</v>
      </c>
      <c r="J4" s="3251"/>
      <c r="K4" s="2596" t="s">
        <v>2538</v>
      </c>
      <c r="L4" s="1132"/>
      <c r="M4" s="1133"/>
      <c r="N4" s="1133"/>
      <c r="O4" s="1133"/>
      <c r="P4" s="3254" t="s">
        <v>2539</v>
      </c>
      <c r="Q4" s="3255"/>
      <c r="R4" s="3236" t="s">
        <v>2535</v>
      </c>
      <c r="S4" s="3237"/>
      <c r="T4" s="3236" t="s">
        <v>2536</v>
      </c>
      <c r="U4" s="3237"/>
      <c r="V4" s="3233" t="s">
        <v>2537</v>
      </c>
      <c r="W4" s="3233"/>
      <c r="X4" s="1815"/>
      <c r="Y4" s="3236" t="s">
        <v>2539</v>
      </c>
      <c r="Z4" s="3237"/>
      <c r="AA4" s="3230" t="s">
        <v>2535</v>
      </c>
      <c r="AB4" s="3230" t="s">
        <v>2536</v>
      </c>
      <c r="AC4" s="3230" t="s">
        <v>2537</v>
      </c>
    </row>
    <row r="5" spans="1:29" ht="15">
      <c r="A5" s="404"/>
      <c r="B5" s="405"/>
      <c r="C5" s="3305" t="s">
        <v>2540</v>
      </c>
      <c r="D5" s="3243"/>
      <c r="E5" s="3304" t="s">
        <v>2541</v>
      </c>
      <c r="F5" s="3241"/>
      <c r="G5" s="3305" t="s">
        <v>2542</v>
      </c>
      <c r="H5" s="3243"/>
      <c r="I5" s="3305" t="s">
        <v>2543</v>
      </c>
      <c r="J5" s="3243"/>
      <c r="K5" s="2597"/>
      <c r="L5" s="1132"/>
      <c r="M5" s="1133"/>
      <c r="N5" s="1133"/>
      <c r="O5" s="1133"/>
      <c r="P5" s="3256"/>
      <c r="Q5" s="3257"/>
      <c r="R5" s="3238"/>
      <c r="S5" s="3239"/>
      <c r="T5" s="3238"/>
      <c r="U5" s="3239"/>
      <c r="V5" s="3233"/>
      <c r="W5" s="3233"/>
      <c r="X5" s="1815"/>
      <c r="Y5" s="3238"/>
      <c r="Z5" s="3239"/>
      <c r="AA5" s="3231"/>
      <c r="AB5" s="3231"/>
      <c r="AC5" s="3231"/>
    </row>
    <row r="6" spans="1:29" ht="15.75" thickBot="1">
      <c r="A6" s="406"/>
      <c r="B6" s="407"/>
      <c r="C6" s="3244" t="s">
        <v>2544</v>
      </c>
      <c r="D6" s="3245"/>
      <c r="E6" s="3306" t="s">
        <v>2544</v>
      </c>
      <c r="F6" s="3247"/>
      <c r="G6" s="3244" t="s">
        <v>2544</v>
      </c>
      <c r="H6" s="3245"/>
      <c r="I6" s="3244" t="s">
        <v>2544</v>
      </c>
      <c r="J6" s="3245"/>
      <c r="K6" s="2597" t="s">
        <v>2545</v>
      </c>
      <c r="L6" s="1132"/>
      <c r="M6" s="1133"/>
      <c r="N6" s="1133"/>
      <c r="O6" s="1133"/>
      <c r="P6" s="3258"/>
      <c r="Q6" s="3259"/>
      <c r="R6" s="3238"/>
      <c r="S6" s="3239"/>
      <c r="T6" s="3260"/>
      <c r="U6" s="3261"/>
      <c r="V6" s="3233"/>
      <c r="W6" s="3233"/>
      <c r="X6" s="1815"/>
      <c r="Y6" s="3260"/>
      <c r="Z6" s="3261"/>
      <c r="AA6" s="3232"/>
      <c r="AB6" s="3232"/>
      <c r="AC6" s="3232"/>
    </row>
    <row r="7" spans="1:29" s="117" customFormat="1" ht="15.75" thickBot="1">
      <c r="A7" s="408" t="s">
        <v>2546</v>
      </c>
      <c r="B7" s="409"/>
      <c r="C7" s="410">
        <f>'数据-取费表'!B2</f>
        <v>43209</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234" t="s">
        <v>2547</v>
      </c>
      <c r="Q7" s="3262"/>
      <c r="R7" s="769" t="s">
        <v>23</v>
      </c>
      <c r="S7" s="770">
        <f t="shared" ref="S7:S15" si="0">F7</f>
        <v>0</v>
      </c>
      <c r="T7" s="769" t="s">
        <v>23</v>
      </c>
      <c r="U7" s="770">
        <f t="shared" ref="U7:U15" si="1">H7</f>
        <v>0</v>
      </c>
      <c r="V7" s="769" t="s">
        <v>23</v>
      </c>
      <c r="W7" s="770">
        <f t="shared" ref="W7:W15" si="2">J7</f>
        <v>0</v>
      </c>
      <c r="X7" s="771"/>
      <c r="Y7" s="3234" t="s">
        <v>2547</v>
      </c>
      <c r="Z7" s="3235"/>
      <c r="AA7" s="772" t="e">
        <f>D7/F7</f>
        <v>#DIV/0!</v>
      </c>
      <c r="AB7" s="772" t="e">
        <f>D7/H7</f>
        <v>#DIV/0!</v>
      </c>
      <c r="AC7" s="772"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234" t="s">
        <v>2550</v>
      </c>
      <c r="Q8" s="3235"/>
      <c r="R8" s="769" t="s">
        <v>23</v>
      </c>
      <c r="S8" s="770">
        <f t="shared" si="0"/>
        <v>0</v>
      </c>
      <c r="T8" s="769" t="s">
        <v>23</v>
      </c>
      <c r="U8" s="770">
        <f t="shared" si="1"/>
        <v>0</v>
      </c>
      <c r="V8" s="769" t="s">
        <v>23</v>
      </c>
      <c r="W8" s="770">
        <f t="shared" si="2"/>
        <v>0</v>
      </c>
      <c r="X8" s="771"/>
      <c r="Y8" s="3234" t="s">
        <v>2550</v>
      </c>
      <c r="Z8" s="3235"/>
      <c r="AA8" s="772" t="e">
        <f t="shared" ref="AA8:AA19" si="3">D8/F8</f>
        <v>#DIV/0!</v>
      </c>
      <c r="AB8" s="772" t="e">
        <f t="shared" ref="AB8:AB19" si="4">D8/H8</f>
        <v>#DIV/0!</v>
      </c>
      <c r="AC8" s="772"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249" t="s">
        <v>2553</v>
      </c>
      <c r="Q9" s="1797" t="str">
        <f t="shared" ref="Q9:Q15" si="6">B9</f>
        <v>用途</v>
      </c>
      <c r="R9" s="769" t="s">
        <v>17</v>
      </c>
      <c r="S9" s="770">
        <f t="shared" si="0"/>
        <v>100</v>
      </c>
      <c r="T9" s="769" t="s">
        <v>17</v>
      </c>
      <c r="U9" s="770">
        <f t="shared" si="1"/>
        <v>100</v>
      </c>
      <c r="V9" s="769" t="s">
        <v>17</v>
      </c>
      <c r="W9" s="770">
        <f t="shared" si="2"/>
        <v>100</v>
      </c>
      <c r="X9" s="771"/>
      <c r="Y9" s="3107"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49"/>
      <c r="Q10" s="1797" t="str">
        <f t="shared" si="6"/>
        <v>土地使用年限（年）</v>
      </c>
      <c r="R10" s="769" t="s">
        <v>17</v>
      </c>
      <c r="S10" s="770">
        <f t="shared" si="0"/>
        <v>100</v>
      </c>
      <c r="T10" s="769" t="s">
        <v>17</v>
      </c>
      <c r="U10" s="770">
        <f t="shared" si="1"/>
        <v>100</v>
      </c>
      <c r="V10" s="769" t="s">
        <v>17</v>
      </c>
      <c r="W10" s="770">
        <f t="shared" si="2"/>
        <v>100</v>
      </c>
      <c r="X10" s="771"/>
      <c r="Y10" s="3107"/>
      <c r="Z10" s="55" t="str">
        <f t="shared" si="7"/>
        <v>土地使用年限（年）</v>
      </c>
      <c r="AA10" s="772">
        <f t="shared" si="3"/>
        <v>1</v>
      </c>
      <c r="AB10" s="772">
        <f t="shared" si="4"/>
        <v>1</v>
      </c>
      <c r="AC10" s="772">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49"/>
      <c r="Q11" s="1797" t="str">
        <f t="shared" si="6"/>
        <v>容积率</v>
      </c>
      <c r="R11" s="769" t="s">
        <v>21</v>
      </c>
      <c r="S11" s="770" t="e">
        <f t="shared" si="0"/>
        <v>#N/A</v>
      </c>
      <c r="T11" s="769" t="s">
        <v>21</v>
      </c>
      <c r="U11" s="770" t="e">
        <f t="shared" si="1"/>
        <v>#N/A</v>
      </c>
      <c r="V11" s="769" t="s">
        <v>21</v>
      </c>
      <c r="W11" s="770" t="e">
        <f t="shared" si="2"/>
        <v>#N/A</v>
      </c>
      <c r="X11" s="771"/>
      <c r="Y11" s="3107"/>
      <c r="Z11" s="55" t="str">
        <f t="shared" si="7"/>
        <v>容积率</v>
      </c>
      <c r="AA11" s="772" t="e">
        <f t="shared" si="3"/>
        <v>#N/A</v>
      </c>
      <c r="AB11" s="772" t="e">
        <f t="shared" si="4"/>
        <v>#N/A</v>
      </c>
      <c r="AC11" s="772"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249"/>
      <c r="Q12" s="1797">
        <f t="shared" si="6"/>
        <v>111</v>
      </c>
      <c r="R12" s="769" t="s">
        <v>21</v>
      </c>
      <c r="S12" s="770">
        <f t="shared" si="0"/>
        <v>100</v>
      </c>
      <c r="T12" s="769" t="s">
        <v>21</v>
      </c>
      <c r="U12" s="770">
        <f t="shared" si="1"/>
        <v>100</v>
      </c>
      <c r="V12" s="769" t="s">
        <v>21</v>
      </c>
      <c r="W12" s="770">
        <f t="shared" si="2"/>
        <v>100</v>
      </c>
      <c r="X12" s="771"/>
      <c r="Y12" s="3107"/>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249"/>
      <c r="Q13" s="1797">
        <f t="shared" si="6"/>
        <v>111</v>
      </c>
      <c r="R13" s="769" t="s">
        <v>21</v>
      </c>
      <c r="S13" s="770">
        <f t="shared" si="0"/>
        <v>100</v>
      </c>
      <c r="T13" s="769" t="s">
        <v>21</v>
      </c>
      <c r="U13" s="770">
        <f t="shared" si="1"/>
        <v>100</v>
      </c>
      <c r="V13" s="769" t="s">
        <v>21</v>
      </c>
      <c r="W13" s="770">
        <f t="shared" si="2"/>
        <v>100</v>
      </c>
      <c r="X13" s="771"/>
      <c r="Y13" s="3107"/>
      <c r="Z13" s="55">
        <f t="shared" si="7"/>
        <v>111</v>
      </c>
      <c r="AA13" s="772">
        <f t="shared" si="3"/>
        <v>1</v>
      </c>
      <c r="AB13" s="772">
        <f t="shared" si="4"/>
        <v>1</v>
      </c>
      <c r="AC13" s="772">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249"/>
      <c r="Q14" s="1797">
        <f t="shared" si="6"/>
        <v>111</v>
      </c>
      <c r="R14" s="769" t="s">
        <v>21</v>
      </c>
      <c r="S14" s="770">
        <f t="shared" si="0"/>
        <v>100</v>
      </c>
      <c r="T14" s="769" t="s">
        <v>21</v>
      </c>
      <c r="U14" s="770">
        <f t="shared" si="1"/>
        <v>100</v>
      </c>
      <c r="V14" s="769" t="s">
        <v>21</v>
      </c>
      <c r="W14" s="770">
        <f t="shared" si="2"/>
        <v>100</v>
      </c>
      <c r="X14" s="771"/>
      <c r="Y14" s="3107"/>
      <c r="Z14" s="55">
        <f t="shared" si="7"/>
        <v>111</v>
      </c>
      <c r="AA14" s="772">
        <f t="shared" si="3"/>
        <v>1</v>
      </c>
      <c r="AB14" s="772">
        <f t="shared" si="4"/>
        <v>1</v>
      </c>
      <c r="AC14" s="772">
        <f t="shared" si="5"/>
        <v>1</v>
      </c>
    </row>
    <row r="15" spans="1:29" ht="99.75">
      <c r="A15" s="440" t="s">
        <v>2557</v>
      </c>
      <c r="B15" s="69" t="s">
        <v>2082</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63" t="s">
        <v>2558</v>
      </c>
      <c r="Q15" s="1812" t="str">
        <f t="shared" si="6"/>
        <v>居住社区成熟度</v>
      </c>
      <c r="R15" s="773" t="s">
        <v>21</v>
      </c>
      <c r="S15" s="774">
        <f t="shared" si="0"/>
        <v>100</v>
      </c>
      <c r="T15" s="773" t="s">
        <v>21</v>
      </c>
      <c r="U15" s="774">
        <f t="shared" si="1"/>
        <v>100</v>
      </c>
      <c r="V15" s="773" t="s">
        <v>21</v>
      </c>
      <c r="W15" s="774">
        <f t="shared" si="2"/>
        <v>100</v>
      </c>
      <c r="X15" s="1815"/>
      <c r="Y15" s="3265" t="s">
        <v>2558</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2"/>
      <c r="M16" s="1133"/>
      <c r="N16" s="1133"/>
      <c r="O16" s="1133"/>
      <c r="P16" s="3264"/>
      <c r="Q16" s="1812"/>
      <c r="R16" s="773"/>
      <c r="S16" s="774"/>
      <c r="T16" s="773"/>
      <c r="U16" s="774"/>
      <c r="V16" s="773"/>
      <c r="W16" s="774"/>
      <c r="X16" s="1815"/>
      <c r="Y16" s="3266"/>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64"/>
      <c r="Q17" s="1812" t="str">
        <f>B17</f>
        <v>交通便捷度</v>
      </c>
      <c r="R17" s="773" t="s">
        <v>21</v>
      </c>
      <c r="S17" s="774">
        <f>F17</f>
        <v>100</v>
      </c>
      <c r="T17" s="773" t="s">
        <v>21</v>
      </c>
      <c r="U17" s="774">
        <f>H17</f>
        <v>100</v>
      </c>
      <c r="V17" s="773" t="s">
        <v>21</v>
      </c>
      <c r="W17" s="774">
        <f>J17</f>
        <v>100</v>
      </c>
      <c r="X17" s="1815"/>
      <c r="Y17" s="3266"/>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2"/>
      <c r="M18" s="1133"/>
      <c r="N18" s="1133"/>
      <c r="O18" s="1133"/>
      <c r="P18" s="3264"/>
      <c r="Q18" s="1812"/>
      <c r="R18" s="773"/>
      <c r="S18" s="774"/>
      <c r="T18" s="773"/>
      <c r="U18" s="774"/>
      <c r="V18" s="773"/>
      <c r="W18" s="774"/>
      <c r="X18" s="1815"/>
      <c r="Y18" s="3266"/>
      <c r="Z18" s="1816"/>
      <c r="AA18" s="1813">
        <v>1</v>
      </c>
      <c r="AB18" s="1813">
        <v>1</v>
      </c>
      <c r="AC18" s="1813">
        <v>1</v>
      </c>
    </row>
    <row r="19" spans="1:29" ht="42.75">
      <c r="A19" s="428"/>
      <c r="B19" s="451" t="s">
        <v>2092</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64"/>
      <c r="Q19" s="1812" t="str">
        <f>B19</f>
        <v>公共配套设施</v>
      </c>
      <c r="R19" s="773" t="s">
        <v>21</v>
      </c>
      <c r="S19" s="774">
        <f>F19</f>
        <v>100</v>
      </c>
      <c r="T19" s="773" t="s">
        <v>21</v>
      </c>
      <c r="U19" s="774">
        <f>H19</f>
        <v>100</v>
      </c>
      <c r="V19" s="773" t="s">
        <v>21</v>
      </c>
      <c r="W19" s="774">
        <f>J19</f>
        <v>100</v>
      </c>
      <c r="X19" s="1815"/>
      <c r="Y19" s="3266"/>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2"/>
      <c r="M20" s="1133"/>
      <c r="N20" s="1133"/>
      <c r="O20" s="1133"/>
      <c r="P20" s="3264"/>
      <c r="Q20" s="1812"/>
      <c r="R20" s="773"/>
      <c r="S20" s="774"/>
      <c r="T20" s="773"/>
      <c r="U20" s="774"/>
      <c r="V20" s="773"/>
      <c r="W20" s="774"/>
      <c r="X20" s="1815"/>
      <c r="Y20" s="3266"/>
      <c r="Z20" s="1816"/>
      <c r="AA20" s="1813">
        <v>1</v>
      </c>
      <c r="AB20" s="1813">
        <v>1</v>
      </c>
      <c r="AC20" s="1813">
        <v>1</v>
      </c>
    </row>
    <row r="21" spans="1:29" ht="28.5">
      <c r="A21" s="428"/>
      <c r="B21" s="1386" t="s">
        <v>2095</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64"/>
      <c r="Q21" s="1812" t="str">
        <f>B21</f>
        <v>基础设施水平</v>
      </c>
      <c r="R21" s="773" t="s">
        <v>17</v>
      </c>
      <c r="S21" s="774">
        <f>F21</f>
        <v>100</v>
      </c>
      <c r="T21" s="773" t="s">
        <v>17</v>
      </c>
      <c r="U21" s="774">
        <f>H21</f>
        <v>100</v>
      </c>
      <c r="V21" s="773" t="s">
        <v>17</v>
      </c>
      <c r="W21" s="774">
        <f>J21</f>
        <v>100</v>
      </c>
      <c r="X21" s="1815"/>
      <c r="Y21" s="3266"/>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2"/>
      <c r="M22" s="1133"/>
      <c r="N22" s="1133"/>
      <c r="O22" s="1133"/>
      <c r="P22" s="3264"/>
      <c r="Q22" s="1812"/>
      <c r="R22" s="773"/>
      <c r="S22" s="774"/>
      <c r="T22" s="773"/>
      <c r="U22" s="774"/>
      <c r="V22" s="773"/>
      <c r="W22" s="774"/>
      <c r="X22" s="1815"/>
      <c r="Y22" s="3266"/>
      <c r="Z22" s="1816"/>
      <c r="AA22" s="1813">
        <v>1</v>
      </c>
      <c r="AB22" s="1813">
        <v>1</v>
      </c>
      <c r="AC22" s="1813">
        <v>1</v>
      </c>
    </row>
    <row r="23" spans="1:29" ht="57">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64"/>
      <c r="Q23" s="1812" t="str">
        <f>B23</f>
        <v>自然及人文环境</v>
      </c>
      <c r="R23" s="773" t="s">
        <v>21</v>
      </c>
      <c r="S23" s="774">
        <f>F23</f>
        <v>100</v>
      </c>
      <c r="T23" s="773" t="s">
        <v>21</v>
      </c>
      <c r="U23" s="774">
        <f>H23</f>
        <v>100</v>
      </c>
      <c r="V23" s="773" t="s">
        <v>21</v>
      </c>
      <c r="W23" s="774">
        <f>J23</f>
        <v>100</v>
      </c>
      <c r="X23" s="1815"/>
      <c r="Y23" s="3266"/>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2"/>
      <c r="M24" s="1133"/>
      <c r="N24" s="1133"/>
      <c r="O24" s="1133"/>
      <c r="P24" s="3264"/>
      <c r="Q24" s="1812"/>
      <c r="R24" s="773"/>
      <c r="S24" s="774"/>
      <c r="T24" s="773"/>
      <c r="U24" s="774"/>
      <c r="V24" s="773"/>
      <c r="W24" s="774"/>
      <c r="X24" s="1815"/>
      <c r="Y24" s="3266"/>
      <c r="Z24" s="1816"/>
      <c r="AA24" s="1813">
        <v>1</v>
      </c>
      <c r="AB24" s="1813">
        <v>1</v>
      </c>
      <c r="AC24" s="1813">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264"/>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66"/>
      <c r="Z25" s="1816" t="str">
        <f>Q25</f>
        <v>楼层-1</v>
      </c>
      <c r="AA25" s="1813">
        <f t="shared" ref="AA25:AA46" si="15">D25/F25</f>
        <v>1</v>
      </c>
      <c r="AB25" s="1813">
        <f t="shared" ref="AB25:AB46" si="16">D25/H25</f>
        <v>1</v>
      </c>
      <c r="AC25" s="1813">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264"/>
      <c r="Q26" s="1812" t="str">
        <f t="shared" si="11"/>
        <v>朝向</v>
      </c>
      <c r="R26" s="773" t="s">
        <v>21</v>
      </c>
      <c r="S26" s="774">
        <f t="shared" si="12"/>
        <v>100</v>
      </c>
      <c r="T26" s="773" t="s">
        <v>21</v>
      </c>
      <c r="U26" s="774">
        <f t="shared" si="13"/>
        <v>100</v>
      </c>
      <c r="V26" s="773" t="s">
        <v>21</v>
      </c>
      <c r="W26" s="774">
        <f t="shared" si="14"/>
        <v>100</v>
      </c>
      <c r="X26" s="1815"/>
      <c r="Y26" s="3266"/>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264"/>
      <c r="Q27" s="1797">
        <f t="shared" si="11"/>
        <v>111</v>
      </c>
      <c r="R27" s="769" t="s">
        <v>21</v>
      </c>
      <c r="S27" s="770">
        <f t="shared" si="12"/>
        <v>100</v>
      </c>
      <c r="T27" s="769" t="s">
        <v>21</v>
      </c>
      <c r="U27" s="770">
        <f t="shared" si="13"/>
        <v>100</v>
      </c>
      <c r="V27" s="769" t="s">
        <v>21</v>
      </c>
      <c r="W27" s="770">
        <f t="shared" si="14"/>
        <v>100</v>
      </c>
      <c r="X27" s="771"/>
      <c r="Y27" s="3266"/>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264"/>
      <c r="Q28" s="1812">
        <f t="shared" si="11"/>
        <v>111</v>
      </c>
      <c r="R28" s="773" t="s">
        <v>21</v>
      </c>
      <c r="S28" s="774">
        <f t="shared" si="12"/>
        <v>100</v>
      </c>
      <c r="T28" s="773" t="s">
        <v>21</v>
      </c>
      <c r="U28" s="774">
        <f t="shared" si="13"/>
        <v>100</v>
      </c>
      <c r="V28" s="773" t="s">
        <v>21</v>
      </c>
      <c r="W28" s="774">
        <f t="shared" si="14"/>
        <v>100</v>
      </c>
      <c r="X28" s="1815"/>
      <c r="Y28" s="3266"/>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264"/>
      <c r="Q29" s="1812">
        <f t="shared" si="11"/>
        <v>111</v>
      </c>
      <c r="R29" s="773" t="s">
        <v>21</v>
      </c>
      <c r="S29" s="774">
        <f t="shared" si="12"/>
        <v>100</v>
      </c>
      <c r="T29" s="773" t="s">
        <v>21</v>
      </c>
      <c r="U29" s="774">
        <f t="shared" si="13"/>
        <v>100</v>
      </c>
      <c r="V29" s="773" t="s">
        <v>21</v>
      </c>
      <c r="W29" s="774">
        <f t="shared" si="14"/>
        <v>100</v>
      </c>
      <c r="X29" s="1815"/>
      <c r="Y29" s="3266"/>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264"/>
      <c r="Q30" s="1812">
        <f t="shared" si="11"/>
        <v>111</v>
      </c>
      <c r="R30" s="773" t="s">
        <v>21</v>
      </c>
      <c r="S30" s="774">
        <f t="shared" si="12"/>
        <v>100</v>
      </c>
      <c r="T30" s="773" t="s">
        <v>21</v>
      </c>
      <c r="U30" s="774">
        <f t="shared" si="13"/>
        <v>100</v>
      </c>
      <c r="V30" s="773" t="s">
        <v>21</v>
      </c>
      <c r="W30" s="774">
        <f t="shared" si="14"/>
        <v>100</v>
      </c>
      <c r="X30" s="1815"/>
      <c r="Y30" s="3266"/>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264"/>
      <c r="Q31" s="1812">
        <f t="shared" si="11"/>
        <v>111</v>
      </c>
      <c r="R31" s="773" t="s">
        <v>21</v>
      </c>
      <c r="S31" s="774">
        <f t="shared" si="12"/>
        <v>100</v>
      </c>
      <c r="T31" s="773" t="s">
        <v>21</v>
      </c>
      <c r="U31" s="774">
        <f t="shared" si="13"/>
        <v>100</v>
      </c>
      <c r="V31" s="773" t="s">
        <v>21</v>
      </c>
      <c r="W31" s="774">
        <f t="shared" si="14"/>
        <v>100</v>
      </c>
      <c r="X31" s="1815"/>
      <c r="Y31" s="3266"/>
      <c r="Z31" s="1816">
        <f t="shared" si="18"/>
        <v>111</v>
      </c>
      <c r="AA31" s="1813">
        <f t="shared" si="15"/>
        <v>1</v>
      </c>
      <c r="AB31" s="1813">
        <f t="shared" si="16"/>
        <v>1</v>
      </c>
      <c r="AC31" s="1813">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267" t="s">
        <v>2563</v>
      </c>
      <c r="Q32" s="1812" t="str">
        <f t="shared" si="11"/>
        <v>建筑类型</v>
      </c>
      <c r="R32" s="773" t="s">
        <v>21</v>
      </c>
      <c r="S32" s="774">
        <f t="shared" si="12"/>
        <v>100</v>
      </c>
      <c r="T32" s="773" t="s">
        <v>21</v>
      </c>
      <c r="U32" s="774">
        <f t="shared" si="13"/>
        <v>100</v>
      </c>
      <c r="V32" s="773" t="s">
        <v>21</v>
      </c>
      <c r="W32" s="774">
        <f t="shared" si="14"/>
        <v>100</v>
      </c>
      <c r="X32" s="1815"/>
      <c r="Y32" s="3270" t="s">
        <v>2563</v>
      </c>
      <c r="Z32" s="1816" t="str">
        <f t="shared" si="18"/>
        <v>建筑类型</v>
      </c>
      <c r="AA32" s="1813">
        <f t="shared" si="15"/>
        <v>1</v>
      </c>
      <c r="AB32" s="1813">
        <f t="shared" si="16"/>
        <v>1</v>
      </c>
      <c r="AC32" s="1813">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268"/>
      <c r="Q33" s="775" t="str">
        <f t="shared" si="11"/>
        <v>项目建筑规模</v>
      </c>
      <c r="R33" s="776" t="s">
        <v>21</v>
      </c>
      <c r="S33" s="777" t="e">
        <f t="shared" si="12"/>
        <v>#N/A</v>
      </c>
      <c r="T33" s="776" t="s">
        <v>21</v>
      </c>
      <c r="U33" s="777" t="e">
        <f t="shared" si="13"/>
        <v>#N/A</v>
      </c>
      <c r="V33" s="776" t="s">
        <v>21</v>
      </c>
      <c r="W33" s="777" t="e">
        <f t="shared" si="14"/>
        <v>#N/A</v>
      </c>
      <c r="X33" s="778"/>
      <c r="Y33" s="3270"/>
      <c r="Z33" s="779" t="str">
        <f t="shared" si="18"/>
        <v>项目建筑规模</v>
      </c>
      <c r="AA33" s="1813" t="e">
        <f t="shared" si="15"/>
        <v>#N/A</v>
      </c>
      <c r="AB33" s="1813" t="e">
        <f t="shared" si="16"/>
        <v>#N/A</v>
      </c>
      <c r="AC33" s="1813"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268"/>
      <c r="Q34" s="1812" t="str">
        <f t="shared" si="11"/>
        <v>建筑结构</v>
      </c>
      <c r="R34" s="773" t="s">
        <v>21</v>
      </c>
      <c r="S34" s="774">
        <f t="shared" si="12"/>
        <v>100</v>
      </c>
      <c r="T34" s="773" t="s">
        <v>21</v>
      </c>
      <c r="U34" s="774">
        <f t="shared" si="13"/>
        <v>100</v>
      </c>
      <c r="V34" s="773" t="s">
        <v>21</v>
      </c>
      <c r="W34" s="774">
        <f t="shared" si="14"/>
        <v>100</v>
      </c>
      <c r="X34" s="1815"/>
      <c r="Y34" s="3270"/>
      <c r="Z34" s="1816" t="str">
        <f t="shared" si="18"/>
        <v>建筑结构</v>
      </c>
      <c r="AA34" s="1813">
        <f t="shared" si="15"/>
        <v>1</v>
      </c>
      <c r="AB34" s="1813">
        <f t="shared" si="16"/>
        <v>1</v>
      </c>
      <c r="AC34" s="1813">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268"/>
      <c r="Q35" s="1812" t="str">
        <f t="shared" si="11"/>
        <v>建筑品质</v>
      </c>
      <c r="R35" s="773" t="s">
        <v>21</v>
      </c>
      <c r="S35" s="774">
        <f t="shared" si="12"/>
        <v>100</v>
      </c>
      <c r="T35" s="773" t="s">
        <v>21</v>
      </c>
      <c r="U35" s="774">
        <f t="shared" si="13"/>
        <v>100</v>
      </c>
      <c r="V35" s="773" t="s">
        <v>21</v>
      </c>
      <c r="W35" s="774">
        <f t="shared" si="14"/>
        <v>100</v>
      </c>
      <c r="X35" s="1815"/>
      <c r="Y35" s="3270"/>
      <c r="Z35" s="1816" t="str">
        <f t="shared" si="18"/>
        <v>建筑品质</v>
      </c>
      <c r="AA35" s="1813">
        <f t="shared" si="15"/>
        <v>1</v>
      </c>
      <c r="AB35" s="1813">
        <f t="shared" si="16"/>
        <v>1</v>
      </c>
      <c r="AC35" s="1813">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268"/>
      <c r="Q36" s="1812" t="str">
        <f t="shared" si="11"/>
        <v>公共部分装修</v>
      </c>
      <c r="R36" s="773" t="s">
        <v>21</v>
      </c>
      <c r="S36" s="774">
        <f t="shared" si="12"/>
        <v>100</v>
      </c>
      <c r="T36" s="773" t="s">
        <v>21</v>
      </c>
      <c r="U36" s="774">
        <f t="shared" si="13"/>
        <v>100</v>
      </c>
      <c r="V36" s="773" t="s">
        <v>21</v>
      </c>
      <c r="W36" s="774">
        <f t="shared" si="14"/>
        <v>100</v>
      </c>
      <c r="X36" s="1815"/>
      <c r="Y36" s="3270"/>
      <c r="Z36" s="1816" t="str">
        <f t="shared" si="18"/>
        <v>公共部分装修</v>
      </c>
      <c r="AA36" s="1813">
        <f t="shared" si="15"/>
        <v>1</v>
      </c>
      <c r="AB36" s="1813">
        <f t="shared" si="16"/>
        <v>1</v>
      </c>
      <c r="AC36" s="1813">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68"/>
      <c r="Q37" s="1797" t="str">
        <f t="shared" si="11"/>
        <v>成新度</v>
      </c>
      <c r="R37" s="769" t="s">
        <v>21</v>
      </c>
      <c r="S37" s="770" t="e">
        <f t="shared" si="12"/>
        <v>#N/A</v>
      </c>
      <c r="T37" s="769" t="s">
        <v>21</v>
      </c>
      <c r="U37" s="770" t="e">
        <f t="shared" si="13"/>
        <v>#N/A</v>
      </c>
      <c r="V37" s="769" t="s">
        <v>21</v>
      </c>
      <c r="W37" s="770" t="e">
        <f t="shared" si="14"/>
        <v>#N/A</v>
      </c>
      <c r="X37" s="771"/>
      <c r="Y37" s="3270"/>
      <c r="Z37" s="55" t="str">
        <f t="shared" si="18"/>
        <v>成新度</v>
      </c>
      <c r="AA37" s="772" t="e">
        <f t="shared" si="15"/>
        <v>#N/A</v>
      </c>
      <c r="AB37" s="772" t="e">
        <f t="shared" si="16"/>
        <v>#N/A</v>
      </c>
      <c r="AC37" s="772"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268" t="s">
        <v>2563</v>
      </c>
      <c r="Q38" s="1812" t="str">
        <f t="shared" si="11"/>
        <v>物业管理</v>
      </c>
      <c r="R38" s="773" t="s">
        <v>21</v>
      </c>
      <c r="S38" s="774">
        <f t="shared" si="12"/>
        <v>100</v>
      </c>
      <c r="T38" s="773" t="s">
        <v>21</v>
      </c>
      <c r="U38" s="774">
        <f t="shared" si="13"/>
        <v>100</v>
      </c>
      <c r="V38" s="773" t="s">
        <v>21</v>
      </c>
      <c r="W38" s="774">
        <f t="shared" si="14"/>
        <v>100</v>
      </c>
      <c r="X38" s="1815"/>
      <c r="Y38" s="3270" t="s">
        <v>2563</v>
      </c>
      <c r="Z38" s="1816" t="str">
        <f t="shared" si="18"/>
        <v>物业管理</v>
      </c>
      <c r="AA38" s="1813">
        <f t="shared" si="15"/>
        <v>1</v>
      </c>
      <c r="AB38" s="1813">
        <f t="shared" si="16"/>
        <v>1</v>
      </c>
      <c r="AC38" s="1813">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268"/>
      <c r="Q39" s="1812" t="str">
        <f t="shared" si="11"/>
        <v>市政基础设施</v>
      </c>
      <c r="R39" s="773" t="s">
        <v>21</v>
      </c>
      <c r="S39" s="774">
        <f t="shared" si="12"/>
        <v>100</v>
      </c>
      <c r="T39" s="773" t="s">
        <v>21</v>
      </c>
      <c r="U39" s="774">
        <f t="shared" si="13"/>
        <v>100</v>
      </c>
      <c r="V39" s="773" t="s">
        <v>21</v>
      </c>
      <c r="W39" s="774">
        <f t="shared" si="14"/>
        <v>100</v>
      </c>
      <c r="X39" s="1815"/>
      <c r="Y39" s="3270"/>
      <c r="Z39" s="1816" t="str">
        <f t="shared" si="18"/>
        <v>市政基础设施</v>
      </c>
      <c r="AA39" s="1813">
        <f t="shared" si="15"/>
        <v>1</v>
      </c>
      <c r="AB39" s="1813">
        <f t="shared" si="16"/>
        <v>1</v>
      </c>
      <c r="AC39" s="1813">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268"/>
      <c r="Q40" s="1812" t="str">
        <f t="shared" si="11"/>
        <v>房型</v>
      </c>
      <c r="R40" s="773" t="s">
        <v>21</v>
      </c>
      <c r="S40" s="774">
        <f t="shared" si="12"/>
        <v>100</v>
      </c>
      <c r="T40" s="773" t="s">
        <v>21</v>
      </c>
      <c r="U40" s="774">
        <f t="shared" si="13"/>
        <v>100</v>
      </c>
      <c r="V40" s="773" t="s">
        <v>21</v>
      </c>
      <c r="W40" s="774">
        <f t="shared" si="14"/>
        <v>100</v>
      </c>
      <c r="X40" s="1815"/>
      <c r="Y40" s="3270"/>
      <c r="Z40" s="1816" t="str">
        <f t="shared" si="18"/>
        <v>房型</v>
      </c>
      <c r="AA40" s="1813">
        <f t="shared" si="15"/>
        <v>1</v>
      </c>
      <c r="AB40" s="1813">
        <f t="shared" si="16"/>
        <v>1</v>
      </c>
      <c r="AC40" s="1813">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268"/>
      <c r="Q41" s="775" t="str">
        <f t="shared" si="11"/>
        <v>单套/主力户型建筑面积</v>
      </c>
      <c r="R41" s="776" t="s">
        <v>21</v>
      </c>
      <c r="S41" s="777">
        <f t="shared" si="12"/>
        <v>100</v>
      </c>
      <c r="T41" s="776" t="s">
        <v>21</v>
      </c>
      <c r="U41" s="777">
        <f t="shared" si="13"/>
        <v>100</v>
      </c>
      <c r="V41" s="776" t="s">
        <v>21</v>
      </c>
      <c r="W41" s="777">
        <f t="shared" si="14"/>
        <v>100</v>
      </c>
      <c r="X41" s="778"/>
      <c r="Y41" s="3270"/>
      <c r="Z41" s="779" t="str">
        <f t="shared" si="18"/>
        <v>单套/主力户型建筑面积</v>
      </c>
      <c r="AA41" s="1813">
        <f t="shared" si="15"/>
        <v>1</v>
      </c>
      <c r="AB41" s="1813">
        <f t="shared" si="16"/>
        <v>1</v>
      </c>
      <c r="AC41" s="1813">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268"/>
      <c r="Q42" s="1812" t="str">
        <f t="shared" si="11"/>
        <v>内部装修</v>
      </c>
      <c r="R42" s="773" t="s">
        <v>21</v>
      </c>
      <c r="S42" s="774">
        <f t="shared" si="12"/>
        <v>100</v>
      </c>
      <c r="T42" s="773" t="s">
        <v>21</v>
      </c>
      <c r="U42" s="774">
        <f t="shared" si="13"/>
        <v>100</v>
      </c>
      <c r="V42" s="773" t="s">
        <v>21</v>
      </c>
      <c r="W42" s="774">
        <f t="shared" si="14"/>
        <v>100</v>
      </c>
      <c r="X42" s="1815"/>
      <c r="Y42" s="3270"/>
      <c r="Z42" s="1816" t="str">
        <f t="shared" si="18"/>
        <v>内部装修</v>
      </c>
      <c r="AA42" s="1813">
        <f t="shared" si="15"/>
        <v>1</v>
      </c>
      <c r="AB42" s="1813">
        <f t="shared" si="16"/>
        <v>1</v>
      </c>
      <c r="AC42" s="1813">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268"/>
      <c r="Q43" s="1812" t="str">
        <f t="shared" si="11"/>
        <v>内部装修维护情况</v>
      </c>
      <c r="R43" s="773" t="s">
        <v>21</v>
      </c>
      <c r="S43" s="774">
        <f t="shared" si="12"/>
        <v>100</v>
      </c>
      <c r="T43" s="773" t="s">
        <v>21</v>
      </c>
      <c r="U43" s="774">
        <f t="shared" si="13"/>
        <v>100</v>
      </c>
      <c r="V43" s="773" t="s">
        <v>21</v>
      </c>
      <c r="W43" s="774">
        <f t="shared" si="14"/>
        <v>100</v>
      </c>
      <c r="X43" s="1815"/>
      <c r="Y43" s="3270"/>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268"/>
      <c r="Q44" s="1797">
        <f t="shared" si="11"/>
        <v>111</v>
      </c>
      <c r="R44" s="769" t="s">
        <v>21</v>
      </c>
      <c r="S44" s="770">
        <f t="shared" si="12"/>
        <v>100</v>
      </c>
      <c r="T44" s="769" t="s">
        <v>21</v>
      </c>
      <c r="U44" s="770">
        <f t="shared" si="13"/>
        <v>100</v>
      </c>
      <c r="V44" s="769" t="s">
        <v>21</v>
      </c>
      <c r="W44" s="770">
        <f t="shared" si="14"/>
        <v>100</v>
      </c>
      <c r="X44" s="771"/>
      <c r="Y44" s="3270"/>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268"/>
      <c r="Q45" s="1812">
        <f t="shared" si="11"/>
        <v>111</v>
      </c>
      <c r="R45" s="773" t="s">
        <v>21</v>
      </c>
      <c r="S45" s="774">
        <f t="shared" si="12"/>
        <v>100</v>
      </c>
      <c r="T45" s="773" t="s">
        <v>21</v>
      </c>
      <c r="U45" s="774">
        <f t="shared" si="13"/>
        <v>100</v>
      </c>
      <c r="V45" s="773" t="s">
        <v>21</v>
      </c>
      <c r="W45" s="774">
        <f t="shared" si="14"/>
        <v>100</v>
      </c>
      <c r="X45" s="1815"/>
      <c r="Y45" s="3270"/>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269"/>
      <c r="Q46" s="1812">
        <f t="shared" si="11"/>
        <v>111</v>
      </c>
      <c r="R46" s="773" t="s">
        <v>20</v>
      </c>
      <c r="S46" s="774">
        <f t="shared" si="12"/>
        <v>100</v>
      </c>
      <c r="T46" s="773" t="s">
        <v>20</v>
      </c>
      <c r="U46" s="774">
        <f t="shared" si="13"/>
        <v>100</v>
      </c>
      <c r="V46" s="773" t="s">
        <v>20</v>
      </c>
      <c r="W46" s="774">
        <f t="shared" si="14"/>
        <v>100</v>
      </c>
      <c r="X46" s="1815"/>
      <c r="Y46" s="3271"/>
      <c r="Z46" s="1816">
        <f t="shared" si="18"/>
        <v>111</v>
      </c>
      <c r="AA46" s="1813">
        <f t="shared" si="15"/>
        <v>1</v>
      </c>
      <c r="AB46" s="1813">
        <f t="shared" si="16"/>
        <v>1</v>
      </c>
      <c r="AC46" s="1813">
        <f t="shared" si="17"/>
        <v>1</v>
      </c>
    </row>
    <row r="47" spans="1:29" ht="15">
      <c r="A47" s="479" t="s">
        <v>2575</v>
      </c>
      <c r="B47" s="480"/>
      <c r="C47" s="1409" t="s">
        <v>19</v>
      </c>
      <c r="D47" s="1410"/>
      <c r="E47" s="1411"/>
      <c r="F47" s="1412"/>
      <c r="G47" s="1413"/>
      <c r="H47" s="1414"/>
      <c r="I47" s="1411"/>
      <c r="J47" s="1414"/>
      <c r="K47" s="2621"/>
      <c r="L47" s="1145"/>
      <c r="M47" s="1146"/>
      <c r="N47" s="1133"/>
      <c r="O47" s="1146"/>
      <c r="P47" s="3272" t="str">
        <f>A47</f>
        <v>成交单价（元/平方米）</v>
      </c>
      <c r="Q47" s="3272"/>
      <c r="R47" s="3273">
        <f>E47</f>
        <v>0</v>
      </c>
      <c r="S47" s="3273"/>
      <c r="T47" s="3273">
        <f>G47</f>
        <v>0</v>
      </c>
      <c r="U47" s="3273"/>
      <c r="V47" s="3273">
        <f>I47</f>
        <v>0</v>
      </c>
      <c r="W47" s="3273"/>
      <c r="X47" s="758"/>
      <c r="Y47" s="780"/>
      <c r="Z47" s="758"/>
      <c r="AA47" s="758"/>
      <c r="AB47" s="758"/>
      <c r="AC47" s="758"/>
    </row>
    <row r="48" spans="1:29" ht="15.75" thickBot="1">
      <c r="A48" s="486" t="s">
        <v>2576</v>
      </c>
      <c r="B48" s="487"/>
      <c r="C48" s="1415" t="e">
        <f>R49</f>
        <v>#DIV/0!</v>
      </c>
      <c r="D48" s="1416"/>
      <c r="E48" s="1417" t="e">
        <f>R48</f>
        <v>#DIV/0!</v>
      </c>
      <c r="F48" s="1417"/>
      <c r="G48" s="1415" t="e">
        <f>T48</f>
        <v>#DIV/0!</v>
      </c>
      <c r="H48" s="1416"/>
      <c r="I48" s="1417" t="e">
        <f>V48</f>
        <v>#DIV/0!</v>
      </c>
      <c r="J48" s="1416"/>
      <c r="K48" s="2622"/>
      <c r="L48" s="1145"/>
      <c r="M48" s="1146"/>
      <c r="N48" s="1146"/>
      <c r="O48" s="1146"/>
      <c r="P48" s="3272" t="str">
        <f>A48</f>
        <v>比较价值（元/平方米）</v>
      </c>
      <c r="Q48" s="3272"/>
      <c r="R48" s="3273" t="e">
        <f>IF(F1="售价",ROUND(PRODUCT(R47,AA7:AA46),0),ROUND(PRODUCT(R47,AA7:AA46),1))</f>
        <v>#DIV/0!</v>
      </c>
      <c r="S48" s="3273"/>
      <c r="T48" s="3273" t="e">
        <f>IF(F1="售价",ROUND(PRODUCT(T47,AB7:AB46),0),ROUND(PRODUCT(T47,AB7:AB46),1))</f>
        <v>#DIV/0!</v>
      </c>
      <c r="U48" s="3273"/>
      <c r="V48" s="3273" t="e">
        <f>IF(F1="售价",ROUND(PRODUCT(V47,AC7:AC46),0),ROUND(PRODUCT(V47,AC7:AC46),1))</f>
        <v>#DIV/0!</v>
      </c>
      <c r="W48" s="3273"/>
      <c r="X48" s="758"/>
      <c r="Y48" s="758"/>
      <c r="Z48" s="758"/>
      <c r="AA48" s="758"/>
      <c r="AB48" s="758"/>
      <c r="AC48" s="758"/>
    </row>
    <row r="49" spans="1:29" ht="15.75" thickBot="1">
      <c r="A49" s="492" t="s">
        <v>2577</v>
      </c>
      <c r="B49" s="493"/>
      <c r="C49" s="1418" t="e">
        <f>R49</f>
        <v>#DIV/0!</v>
      </c>
      <c r="D49" s="1419"/>
      <c r="E49" s="1419"/>
      <c r="F49" s="1419"/>
      <c r="G49" s="1419"/>
      <c r="H49" s="1419"/>
      <c r="I49" s="1419"/>
      <c r="J49" s="1419"/>
      <c r="K49" s="2623"/>
      <c r="L49" s="1145"/>
      <c r="M49" s="1146"/>
      <c r="N49" s="1146"/>
      <c r="O49" s="1146"/>
      <c r="P49" s="3274" t="str">
        <f>A49</f>
        <v>估价对象XX用房的比较价值（楼面单价，元/平方米）</v>
      </c>
      <c r="Q49" s="3275"/>
      <c r="R49" s="3276" t="e">
        <f>IF(F1="售价",ROUND(AVERAGE(R48:V48),0),ROUND(AVERAGE(R48:V48),1))</f>
        <v>#DIV/0!</v>
      </c>
      <c r="S49" s="3276"/>
      <c r="T49" s="3276"/>
      <c r="U49" s="3276"/>
      <c r="V49" s="3276"/>
      <c r="W49" s="327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6"/>
      <c r="Q57" s="504"/>
    </row>
    <row r="58" spans="1:29" s="508" customFormat="1" ht="15">
      <c r="A58" s="505" t="s">
        <v>2582</v>
      </c>
      <c r="B58" s="506"/>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2095</v>
      </c>
      <c r="C82" s="539" t="s">
        <v>2602</v>
      </c>
      <c r="D82" s="539" t="s">
        <v>2603</v>
      </c>
      <c r="E82" s="539" t="s">
        <v>2604</v>
      </c>
      <c r="F82" s="539" t="s">
        <v>2605</v>
      </c>
      <c r="G82" s="539" t="s">
        <v>2606</v>
      </c>
      <c r="H82" s="539"/>
      <c r="I82" s="539"/>
      <c r="J82" s="539"/>
      <c r="K82" s="539"/>
      <c r="L82" s="539"/>
      <c r="M82" s="1384"/>
      <c r="N82" s="1155"/>
      <c r="O82" s="1155"/>
      <c r="P82" s="2630"/>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2608</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2609</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2561</v>
      </c>
      <c r="B100" s="528" t="s">
        <v>2610</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2612</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2613</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2614</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2615</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2616</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2617</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2618</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6">
        <v>6</v>
      </c>
      <c r="C139" s="1087">
        <v>96</v>
      </c>
      <c r="D139" s="2648" t="s">
        <v>2629</v>
      </c>
      <c r="E139" s="1088">
        <v>100</v>
      </c>
      <c r="F139" s="1089">
        <v>102.5</v>
      </c>
      <c r="G139" s="2648" t="s">
        <v>2629</v>
      </c>
      <c r="H139" s="1090">
        <v>105</v>
      </c>
      <c r="I139" s="2649" t="s">
        <v>2630</v>
      </c>
      <c r="J139" s="1087">
        <v>20</v>
      </c>
      <c r="K139" s="1091">
        <f>C145/(J139-2)</f>
        <v>4.0555555555555553E-3</v>
      </c>
    </row>
    <row r="140" spans="1:17" ht="15">
      <c r="B140" s="1092">
        <v>5</v>
      </c>
      <c r="C140" s="1093">
        <v>100</v>
      </c>
      <c r="D140" s="1093"/>
      <c r="E140" s="1094"/>
      <c r="F140" s="1095">
        <v>102</v>
      </c>
      <c r="G140" s="1093"/>
      <c r="H140" s="1096"/>
      <c r="I140" s="2650" t="s">
        <v>2631</v>
      </c>
      <c r="J140" s="315">
        <f>ROUNDUP((J139-1)/2,0)</f>
        <v>10</v>
      </c>
      <c r="K140" s="1097">
        <v>100</v>
      </c>
    </row>
    <row r="141" spans="1:17" ht="15">
      <c r="B141" s="1092">
        <v>4</v>
      </c>
      <c r="C141" s="1093">
        <v>102</v>
      </c>
      <c r="D141" s="1093"/>
      <c r="E141" s="1094"/>
      <c r="F141" s="1095">
        <v>101.5</v>
      </c>
      <c r="G141" s="1093"/>
      <c r="H141" s="1096"/>
      <c r="I141" s="2650" t="s">
        <v>2632</v>
      </c>
      <c r="J141" s="315">
        <v>1</v>
      </c>
      <c r="K141" s="1098">
        <f>ROUND(100+(J141-J140)*K139*100,1)</f>
        <v>96.4</v>
      </c>
    </row>
    <row r="142" spans="1:17" ht="15">
      <c r="B142" s="1092">
        <v>3</v>
      </c>
      <c r="C142" s="1093">
        <v>103</v>
      </c>
      <c r="D142" s="1093"/>
      <c r="E142" s="1094"/>
      <c r="F142" s="1095">
        <v>101</v>
      </c>
      <c r="G142" s="1093"/>
      <c r="H142" s="1096"/>
      <c r="I142" s="2650" t="s">
        <v>2633</v>
      </c>
      <c r="J142" s="315">
        <f>J139</f>
        <v>20</v>
      </c>
      <c r="K142" s="1099">
        <v>95</v>
      </c>
    </row>
    <row r="143" spans="1:17" ht="15">
      <c r="B143" s="1092">
        <v>2</v>
      </c>
      <c r="C143" s="1093">
        <v>100</v>
      </c>
      <c r="D143" s="1093"/>
      <c r="E143" s="1094"/>
      <c r="F143" s="1095">
        <v>100.5</v>
      </c>
      <c r="G143" s="1093"/>
      <c r="H143" s="1096"/>
      <c r="I143" s="2650" t="s">
        <v>2634</v>
      </c>
      <c r="J143" s="1093">
        <v>15</v>
      </c>
      <c r="K143" s="1098">
        <f>ROUND(100+(J143-J140)*K139*100,1)</f>
        <v>102</v>
      </c>
    </row>
    <row r="144" spans="1:17" ht="15">
      <c r="B144" s="1092">
        <v>1</v>
      </c>
      <c r="C144" s="1093">
        <v>98</v>
      </c>
      <c r="D144" s="2651" t="s">
        <v>2635</v>
      </c>
      <c r="E144" s="1094">
        <v>102</v>
      </c>
      <c r="F144" s="1100">
        <v>100</v>
      </c>
      <c r="G144" s="2651" t="s">
        <v>2635</v>
      </c>
      <c r="H144" s="1096">
        <v>105</v>
      </c>
      <c r="I144" s="2650" t="s">
        <v>2634</v>
      </c>
      <c r="J144" s="1093">
        <v>18</v>
      </c>
      <c r="K144" s="1098">
        <f>ROUND(100+(J144-J140)*K139*100,1)</f>
        <v>103.2</v>
      </c>
    </row>
    <row r="145" spans="2:11" ht="15.75" thickBot="1">
      <c r="B145" s="2652" t="s">
        <v>2636</v>
      </c>
      <c r="C145" s="1101">
        <f>ROUND(MAX(C139:C144)/MIN(C139:C144)-1,3)</f>
        <v>7.2999999999999995E-2</v>
      </c>
      <c r="D145" s="1102"/>
      <c r="E145" s="1102"/>
      <c r="F145" s="2653" t="s">
        <v>2637</v>
      </c>
      <c r="G145" s="2654"/>
      <c r="H145" s="2655"/>
      <c r="I145" s="2656" t="s">
        <v>2634</v>
      </c>
      <c r="J145" s="1103">
        <v>8</v>
      </c>
      <c r="K145" s="1104">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2684</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IF(C2="——",ROUND(C50*D3/10000,0),ROUND(C50*D3/10000,0)-D2)</f>
        <v>#DIV/0!</v>
      </c>
      <c r="C2" s="2586"/>
      <c r="D2" s="1367"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IF(C2="——",C50,ROUND(B2*10000/D3,0))</f>
        <v>#DIV/0!</v>
      </c>
      <c r="C3" s="400" t="s">
        <v>2642</v>
      </c>
      <c r="D3" s="399">
        <f>IF(D1="",'数据-汇总表'!E3,SUMIF('数据-汇总表'!$C19:$C33,D1,'数据-汇总表'!$E19:$E33))</f>
        <v>13306.869999999999</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2643</v>
      </c>
      <c r="B4" s="402"/>
      <c r="C4" s="3250" t="s">
        <v>2644</v>
      </c>
      <c r="D4" s="3251"/>
      <c r="E4" s="3252" t="s">
        <v>2645</v>
      </c>
      <c r="F4" s="3253"/>
      <c r="G4" s="3250" t="s">
        <v>2646</v>
      </c>
      <c r="H4" s="3251"/>
      <c r="I4" s="3250" t="s">
        <v>2647</v>
      </c>
      <c r="J4" s="3251"/>
      <c r="K4" s="610" t="s">
        <v>2648</v>
      </c>
      <c r="L4" s="1132"/>
      <c r="M4" s="1133"/>
      <c r="N4" s="1133"/>
      <c r="O4" s="1133"/>
      <c r="P4" s="3313" t="s">
        <v>2649</v>
      </c>
      <c r="Q4" s="3314"/>
      <c r="R4" s="3308" t="s">
        <v>2645</v>
      </c>
      <c r="S4" s="3309"/>
      <c r="T4" s="3308" t="s">
        <v>2646</v>
      </c>
      <c r="U4" s="3309"/>
      <c r="V4" s="3317" t="s">
        <v>2647</v>
      </c>
      <c r="W4" s="3317"/>
      <c r="X4" s="2670"/>
      <c r="Y4" s="3308" t="s">
        <v>2649</v>
      </c>
      <c r="Z4" s="3309"/>
      <c r="AA4" s="3307" t="s">
        <v>2645</v>
      </c>
      <c r="AB4" s="3307" t="s">
        <v>2646</v>
      </c>
      <c r="AC4" s="3310" t="s">
        <v>2647</v>
      </c>
    </row>
    <row r="5" spans="1:29" ht="15">
      <c r="A5" s="404"/>
      <c r="B5" s="405"/>
      <c r="C5" s="3305" t="s">
        <v>2540</v>
      </c>
      <c r="D5" s="3243"/>
      <c r="E5" s="3304" t="s">
        <v>2541</v>
      </c>
      <c r="F5" s="3241"/>
      <c r="G5" s="3305" t="s">
        <v>2542</v>
      </c>
      <c r="H5" s="3243"/>
      <c r="I5" s="3305" t="s">
        <v>2543</v>
      </c>
      <c r="J5" s="3243"/>
      <c r="K5" s="610"/>
      <c r="L5" s="1132"/>
      <c r="M5" s="1133"/>
      <c r="N5" s="1133"/>
      <c r="O5" s="1133"/>
      <c r="P5" s="3315"/>
      <c r="Q5" s="3257"/>
      <c r="R5" s="3238"/>
      <c r="S5" s="3239"/>
      <c r="T5" s="3238"/>
      <c r="U5" s="3239"/>
      <c r="V5" s="3233"/>
      <c r="W5" s="3233"/>
      <c r="X5" s="1815"/>
      <c r="Y5" s="3238"/>
      <c r="Z5" s="3239"/>
      <c r="AA5" s="3231"/>
      <c r="AB5" s="3231"/>
      <c r="AC5" s="3311"/>
    </row>
    <row r="6" spans="1:29" ht="15.75" thickBot="1">
      <c r="A6" s="406"/>
      <c r="B6" s="407"/>
      <c r="C6" s="3244" t="s">
        <v>2544</v>
      </c>
      <c r="D6" s="3245"/>
      <c r="E6" s="3306" t="s">
        <v>2544</v>
      </c>
      <c r="F6" s="3247"/>
      <c r="G6" s="3244" t="s">
        <v>2544</v>
      </c>
      <c r="H6" s="3245"/>
      <c r="I6" s="3244" t="s">
        <v>2544</v>
      </c>
      <c r="J6" s="3245"/>
      <c r="K6" s="610" t="s">
        <v>2545</v>
      </c>
      <c r="L6" s="1132"/>
      <c r="M6" s="1133"/>
      <c r="N6" s="1133"/>
      <c r="O6" s="1133"/>
      <c r="P6" s="3316"/>
      <c r="Q6" s="3259"/>
      <c r="R6" s="3238"/>
      <c r="S6" s="3239"/>
      <c r="T6" s="3260"/>
      <c r="U6" s="3261"/>
      <c r="V6" s="3233"/>
      <c r="W6" s="3233"/>
      <c r="X6" s="1815"/>
      <c r="Y6" s="3260"/>
      <c r="Z6" s="3261"/>
      <c r="AA6" s="3232"/>
      <c r="AB6" s="3232"/>
      <c r="AC6" s="3312"/>
    </row>
    <row r="7" spans="1:29" s="117" customFormat="1" ht="15.75" thickBot="1">
      <c r="A7" s="408" t="s">
        <v>2546</v>
      </c>
      <c r="B7" s="409"/>
      <c r="C7" s="410">
        <f>'数据-取费表'!B2</f>
        <v>43209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18" t="s">
        <v>2547</v>
      </c>
      <c r="Q7" s="3262"/>
      <c r="R7" s="769" t="s">
        <v>17</v>
      </c>
      <c r="S7" s="770">
        <f t="shared" ref="S7:S15" si="0">F7</f>
        <v>0</v>
      </c>
      <c r="T7" s="769" t="s">
        <v>17</v>
      </c>
      <c r="U7" s="770">
        <f t="shared" ref="U7:U15" si="1">H7</f>
        <v>0</v>
      </c>
      <c r="V7" s="769" t="s">
        <v>17</v>
      </c>
      <c r="W7" s="770">
        <f t="shared" ref="W7:W15" si="2">J7</f>
        <v>0</v>
      </c>
      <c r="X7" s="771"/>
      <c r="Y7" s="3234" t="s">
        <v>2547</v>
      </c>
      <c r="Z7" s="3235"/>
      <c r="AA7" s="772" t="e">
        <f>D7/F7</f>
        <v>#DIV/0!</v>
      </c>
      <c r="AB7" s="772"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18" t="s">
        <v>2550</v>
      </c>
      <c r="Q8" s="3235"/>
      <c r="R8" s="769" t="s">
        <v>17</v>
      </c>
      <c r="S8" s="770">
        <f t="shared" si="0"/>
        <v>0</v>
      </c>
      <c r="T8" s="769" t="s">
        <v>17</v>
      </c>
      <c r="U8" s="770">
        <f t="shared" si="1"/>
        <v>0</v>
      </c>
      <c r="V8" s="769" t="s">
        <v>17</v>
      </c>
      <c r="W8" s="770">
        <f t="shared" si="2"/>
        <v>0</v>
      </c>
      <c r="X8" s="771"/>
      <c r="Y8" s="3234" t="s">
        <v>2550</v>
      </c>
      <c r="Z8" s="3235"/>
      <c r="AA8" s="772" t="e">
        <f t="shared" ref="AA8:AA47" si="3">D8/F8</f>
        <v>#DIV/0!</v>
      </c>
      <c r="AB8" s="772"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49" t="s">
        <v>2553</v>
      </c>
      <c r="Q9" s="1797" t="str">
        <f t="shared" ref="Q9:Q15" si="6">B9</f>
        <v>用途</v>
      </c>
      <c r="R9" s="769" t="s">
        <v>17</v>
      </c>
      <c r="S9" s="770">
        <f t="shared" si="0"/>
        <v>100</v>
      </c>
      <c r="T9" s="769" t="s">
        <v>17</v>
      </c>
      <c r="U9" s="770">
        <f t="shared" si="1"/>
        <v>100</v>
      </c>
      <c r="V9" s="769" t="s">
        <v>17</v>
      </c>
      <c r="W9" s="770">
        <f t="shared" si="2"/>
        <v>100</v>
      </c>
      <c r="X9" s="771"/>
      <c r="Y9" s="3107" t="s">
        <v>2554</v>
      </c>
      <c r="Z9" s="55" t="str">
        <f t="shared" ref="Z9:Z15" si="7">Q9</f>
        <v>用途</v>
      </c>
      <c r="AA9" s="772">
        <f t="shared" si="3"/>
        <v>1</v>
      </c>
      <c r="AB9" s="772">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49"/>
      <c r="Q10" s="1797" t="str">
        <f t="shared" si="6"/>
        <v>土地使用年限（年）</v>
      </c>
      <c r="R10" s="769" t="s">
        <v>17</v>
      </c>
      <c r="S10" s="770">
        <f t="shared" si="0"/>
        <v>100</v>
      </c>
      <c r="T10" s="769" t="s">
        <v>17</v>
      </c>
      <c r="U10" s="770">
        <f t="shared" si="1"/>
        <v>100</v>
      </c>
      <c r="V10" s="769" t="s">
        <v>17</v>
      </c>
      <c r="W10" s="770">
        <f t="shared" si="2"/>
        <v>100</v>
      </c>
      <c r="X10" s="771"/>
      <c r="Y10" s="3107"/>
      <c r="Z10" s="55" t="str">
        <f t="shared" si="7"/>
        <v>土地使用年限（年）</v>
      </c>
      <c r="AA10" s="772">
        <f t="shared" si="3"/>
        <v>1</v>
      </c>
      <c r="AB10" s="772">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49"/>
      <c r="Q11" s="1797" t="str">
        <f t="shared" si="6"/>
        <v>容积率</v>
      </c>
      <c r="R11" s="769" t="s">
        <v>17</v>
      </c>
      <c r="S11" s="770" t="e">
        <f t="shared" si="0"/>
        <v>#N/A</v>
      </c>
      <c r="T11" s="769" t="s">
        <v>17</v>
      </c>
      <c r="U11" s="770" t="e">
        <f t="shared" si="1"/>
        <v>#N/A</v>
      </c>
      <c r="V11" s="769" t="s">
        <v>17</v>
      </c>
      <c r="W11" s="770" t="e">
        <f t="shared" si="2"/>
        <v>#N/A</v>
      </c>
      <c r="X11" s="771"/>
      <c r="Y11" s="3107"/>
      <c r="Z11" s="55" t="str">
        <f t="shared" si="7"/>
        <v>容积率</v>
      </c>
      <c r="AA11" s="772" t="e">
        <f t="shared" si="3"/>
        <v>#N/A</v>
      </c>
      <c r="AB11" s="772"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249"/>
      <c r="Q12" s="1797">
        <f t="shared" si="6"/>
        <v>111</v>
      </c>
      <c r="R12" s="769" t="s">
        <v>17</v>
      </c>
      <c r="S12" s="770">
        <f t="shared" si="0"/>
        <v>100</v>
      </c>
      <c r="T12" s="769" t="s">
        <v>17</v>
      </c>
      <c r="U12" s="770">
        <f t="shared" si="1"/>
        <v>100</v>
      </c>
      <c r="V12" s="769" t="s">
        <v>17</v>
      </c>
      <c r="W12" s="770">
        <f t="shared" si="2"/>
        <v>100</v>
      </c>
      <c r="X12" s="771"/>
      <c r="Y12" s="3107"/>
      <c r="Z12" s="55">
        <f t="shared" si="7"/>
        <v>111</v>
      </c>
      <c r="AA12" s="772">
        <f>D12/F12</f>
        <v>1</v>
      </c>
      <c r="AB12" s="772">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249"/>
      <c r="Q13" s="1797">
        <f t="shared" si="6"/>
        <v>111</v>
      </c>
      <c r="R13" s="769" t="s">
        <v>17</v>
      </c>
      <c r="S13" s="770">
        <f t="shared" si="0"/>
        <v>100</v>
      </c>
      <c r="T13" s="769" t="s">
        <v>17</v>
      </c>
      <c r="U13" s="770">
        <f t="shared" si="1"/>
        <v>100</v>
      </c>
      <c r="V13" s="769" t="s">
        <v>17</v>
      </c>
      <c r="W13" s="770">
        <f t="shared" si="2"/>
        <v>100</v>
      </c>
      <c r="X13" s="771"/>
      <c r="Y13" s="3107"/>
      <c r="Z13" s="55">
        <f t="shared" si="7"/>
        <v>111</v>
      </c>
      <c r="AA13" s="772">
        <f t="shared" si="3"/>
        <v>1</v>
      </c>
      <c r="AB13" s="772">
        <f t="shared" si="4"/>
        <v>1</v>
      </c>
      <c r="AC13" s="2671">
        <f t="shared" si="5"/>
        <v>1</v>
      </c>
    </row>
    <row r="14" spans="1:29" ht="15.75" thickBot="1">
      <c r="A14" s="436"/>
      <c r="B14" s="2602">
        <v>111</v>
      </c>
      <c r="C14" s="437"/>
      <c r="D14" s="438">
        <v>100</v>
      </c>
      <c r="E14" s="627"/>
      <c r="F14" s="438">
        <f>SUMIF(75:75,E14,76:76)-SUMIF(75:75,C14,76:76)+100</f>
        <v>100</v>
      </c>
      <c r="G14" s="2672"/>
      <c r="H14" s="438">
        <f>SUMIF(75:75,G14,76:76)-SUMIF(75:75,C14,76:76)+100</f>
        <v>100</v>
      </c>
      <c r="I14" s="432"/>
      <c r="J14" s="438">
        <f>SUMIF(75:75,I14,76:76)-SUMIF(75:75,C14,76:76)+100</f>
        <v>100</v>
      </c>
      <c r="K14" s="613"/>
      <c r="L14" s="1142"/>
      <c r="M14" s="1133"/>
      <c r="N14" s="1133"/>
      <c r="O14" s="1133"/>
      <c r="P14" s="3249"/>
      <c r="Q14" s="1797">
        <f t="shared" si="6"/>
        <v>111</v>
      </c>
      <c r="R14" s="769" t="s">
        <v>17</v>
      </c>
      <c r="S14" s="770">
        <f t="shared" si="0"/>
        <v>100</v>
      </c>
      <c r="T14" s="769" t="s">
        <v>17</v>
      </c>
      <c r="U14" s="770">
        <f t="shared" si="1"/>
        <v>100</v>
      </c>
      <c r="V14" s="769" t="s">
        <v>17</v>
      </c>
      <c r="W14" s="770">
        <f t="shared" si="2"/>
        <v>100</v>
      </c>
      <c r="X14" s="771"/>
      <c r="Y14" s="3107"/>
      <c r="Z14" s="55">
        <f t="shared" si="7"/>
        <v>111</v>
      </c>
      <c r="AA14" s="772">
        <f t="shared" si="3"/>
        <v>1</v>
      </c>
      <c r="AB14" s="772">
        <f t="shared" si="4"/>
        <v>1</v>
      </c>
      <c r="AC14" s="2671">
        <f t="shared" si="5"/>
        <v>1</v>
      </c>
    </row>
    <row r="15" spans="1:29" ht="71.25">
      <c r="A15" s="440" t="s">
        <v>2557</v>
      </c>
      <c r="B15" s="628"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63" t="s">
        <v>2558</v>
      </c>
      <c r="Q15" s="1812" t="str">
        <f t="shared" si="6"/>
        <v>办公集聚程度</v>
      </c>
      <c r="R15" s="773" t="s">
        <v>17</v>
      </c>
      <c r="S15" s="774">
        <f t="shared" si="0"/>
        <v>100</v>
      </c>
      <c r="T15" s="773" t="s">
        <v>17</v>
      </c>
      <c r="U15" s="774">
        <f t="shared" si="1"/>
        <v>100</v>
      </c>
      <c r="V15" s="773" t="s">
        <v>17</v>
      </c>
      <c r="W15" s="774">
        <f t="shared" si="2"/>
        <v>100</v>
      </c>
      <c r="X15" s="1815"/>
      <c r="Y15" s="3265" t="s">
        <v>2558</v>
      </c>
      <c r="Z15" s="1816" t="str">
        <f t="shared" si="7"/>
        <v>办公集聚程度</v>
      </c>
      <c r="AA15" s="1813">
        <f t="shared" si="3"/>
        <v>1</v>
      </c>
      <c r="AB15" s="1813">
        <f t="shared" si="4"/>
        <v>1</v>
      </c>
      <c r="AC15" s="2674">
        <f t="shared" si="5"/>
        <v>1</v>
      </c>
    </row>
    <row r="16" spans="1:29" ht="15">
      <c r="A16" s="428"/>
      <c r="B16" s="629"/>
      <c r="C16" s="2611"/>
      <c r="D16" s="448"/>
      <c r="E16" s="447"/>
      <c r="F16" s="448"/>
      <c r="G16" s="2611"/>
      <c r="H16" s="450"/>
      <c r="I16" s="447"/>
      <c r="J16" s="448"/>
      <c r="K16" s="615"/>
      <c r="L16" s="1142"/>
      <c r="M16" s="1133"/>
      <c r="N16" s="1133"/>
      <c r="O16" s="1133"/>
      <c r="P16" s="3264"/>
      <c r="Q16" s="1812"/>
      <c r="R16" s="773"/>
      <c r="S16" s="774"/>
      <c r="T16" s="773"/>
      <c r="U16" s="774"/>
      <c r="V16" s="773"/>
      <c r="W16" s="774"/>
      <c r="X16" s="1815"/>
      <c r="Y16" s="3266"/>
      <c r="Z16" s="1816"/>
      <c r="AA16" s="1813">
        <v>1</v>
      </c>
      <c r="AB16" s="1813">
        <v>1</v>
      </c>
      <c r="AC16" s="2674">
        <v>1</v>
      </c>
    </row>
    <row r="17" spans="1:29" ht="71.25">
      <c r="A17" s="428"/>
      <c r="B17" s="630" t="s">
        <v>2094</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64"/>
      <c r="Q17" s="1812" t="str">
        <f>B17</f>
        <v>交通便捷度</v>
      </c>
      <c r="R17" s="773" t="s">
        <v>17</v>
      </c>
      <c r="S17" s="774">
        <f>F17</f>
        <v>100</v>
      </c>
      <c r="T17" s="773" t="s">
        <v>17</v>
      </c>
      <c r="U17" s="774">
        <f>H17</f>
        <v>100</v>
      </c>
      <c r="V17" s="773" t="s">
        <v>17</v>
      </c>
      <c r="W17" s="774">
        <f>J17</f>
        <v>100</v>
      </c>
      <c r="X17" s="1815"/>
      <c r="Y17" s="3266"/>
      <c r="Z17" s="1816" t="str">
        <f>Q17</f>
        <v>交通便捷度</v>
      </c>
      <c r="AA17" s="1813">
        <f t="shared" si="3"/>
        <v>1</v>
      </c>
      <c r="AB17" s="1813">
        <f t="shared" si="4"/>
        <v>1</v>
      </c>
      <c r="AC17" s="2674">
        <f t="shared" si="5"/>
        <v>1</v>
      </c>
    </row>
    <row r="18" spans="1:29" ht="15">
      <c r="A18" s="428"/>
      <c r="B18" s="631"/>
      <c r="C18" s="2676"/>
      <c r="D18" s="450"/>
      <c r="E18" s="2609"/>
      <c r="F18" s="450"/>
      <c r="G18" s="2610"/>
      <c r="H18" s="448"/>
      <c r="I18" s="2610"/>
      <c r="J18" s="448"/>
      <c r="K18" s="615"/>
      <c r="L18" s="1142"/>
      <c r="M18" s="1133"/>
      <c r="N18" s="1133"/>
      <c r="O18" s="1133"/>
      <c r="P18" s="3264"/>
      <c r="Q18" s="1812"/>
      <c r="R18" s="773"/>
      <c r="S18" s="774"/>
      <c r="T18" s="773"/>
      <c r="U18" s="774"/>
      <c r="V18" s="773"/>
      <c r="W18" s="774"/>
      <c r="X18" s="1815"/>
      <c r="Y18" s="3266"/>
      <c r="Z18" s="1816"/>
      <c r="AA18" s="1813">
        <v>1</v>
      </c>
      <c r="AB18" s="1813">
        <v>1</v>
      </c>
      <c r="AC18" s="2674">
        <v>1</v>
      </c>
    </row>
    <row r="19" spans="1:29" ht="42.75">
      <c r="A19" s="428"/>
      <c r="B19" s="630"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64"/>
      <c r="Q19" s="1812" t="str">
        <f>B19</f>
        <v>公共配套设施</v>
      </c>
      <c r="R19" s="773" t="s">
        <v>17</v>
      </c>
      <c r="S19" s="774">
        <f>F19</f>
        <v>100</v>
      </c>
      <c r="T19" s="773" t="s">
        <v>17</v>
      </c>
      <c r="U19" s="774">
        <f>H19</f>
        <v>100</v>
      </c>
      <c r="V19" s="773" t="s">
        <v>17</v>
      </c>
      <c r="W19" s="774">
        <f>J19</f>
        <v>100</v>
      </c>
      <c r="X19" s="1815"/>
      <c r="Y19" s="3266"/>
      <c r="Z19" s="1816" t="str">
        <f>Q19</f>
        <v>公共配套设施</v>
      </c>
      <c r="AA19" s="1813">
        <f t="shared" si="3"/>
        <v>1</v>
      </c>
      <c r="AB19" s="1813">
        <f t="shared" si="4"/>
        <v>1</v>
      </c>
      <c r="AC19" s="2674">
        <f t="shared" si="5"/>
        <v>1</v>
      </c>
    </row>
    <row r="20" spans="1:29" ht="15">
      <c r="A20" s="428"/>
      <c r="B20" s="631"/>
      <c r="C20" s="2611"/>
      <c r="D20" s="448"/>
      <c r="E20" s="2604"/>
      <c r="F20" s="448"/>
      <c r="G20" s="2605"/>
      <c r="H20" s="448"/>
      <c r="I20" s="2605"/>
      <c r="J20" s="448"/>
      <c r="K20" s="615"/>
      <c r="L20" s="1142"/>
      <c r="M20" s="1133"/>
      <c r="N20" s="1133"/>
      <c r="O20" s="1133"/>
      <c r="P20" s="3264"/>
      <c r="Q20" s="1812"/>
      <c r="R20" s="773"/>
      <c r="S20" s="774"/>
      <c r="T20" s="773"/>
      <c r="U20" s="774"/>
      <c r="V20" s="773"/>
      <c r="W20" s="774"/>
      <c r="X20" s="1815"/>
      <c r="Y20" s="3266"/>
      <c r="Z20" s="1816"/>
      <c r="AA20" s="1813">
        <v>1</v>
      </c>
      <c r="AB20" s="1813">
        <v>1</v>
      </c>
      <c r="AC20" s="2674">
        <v>1</v>
      </c>
    </row>
    <row r="21" spans="1:29" ht="28.5">
      <c r="A21" s="428"/>
      <c r="B21" s="632"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64"/>
      <c r="Q21" s="1812" t="str">
        <f>B21</f>
        <v>基础设施水平</v>
      </c>
      <c r="R21" s="773" t="s">
        <v>17</v>
      </c>
      <c r="S21" s="774">
        <f>F21</f>
        <v>100</v>
      </c>
      <c r="T21" s="773" t="s">
        <v>17</v>
      </c>
      <c r="U21" s="774">
        <f>H21</f>
        <v>100</v>
      </c>
      <c r="V21" s="773" t="s">
        <v>17</v>
      </c>
      <c r="W21" s="774">
        <f>J21</f>
        <v>100</v>
      </c>
      <c r="X21" s="1815"/>
      <c r="Y21" s="3266"/>
      <c r="Z21" s="1816" t="str">
        <f>Q21</f>
        <v>基础设施水平</v>
      </c>
      <c r="AA21" s="1813">
        <f t="shared" ref="AA21" si="8">D21/F21</f>
        <v>1</v>
      </c>
      <c r="AB21" s="1813">
        <f t="shared" ref="AB21" si="9">D21/H21</f>
        <v>1</v>
      </c>
      <c r="AC21" s="2674">
        <f t="shared" ref="AC21" si="10">D21/J21</f>
        <v>1</v>
      </c>
    </row>
    <row r="22" spans="1:29" ht="15">
      <c r="A22" s="428"/>
      <c r="B22" s="632"/>
      <c r="C22" s="2676"/>
      <c r="D22" s="448"/>
      <c r="E22" s="447"/>
      <c r="F22" s="448"/>
      <c r="G22" s="2611"/>
      <c r="H22" s="448"/>
      <c r="I22" s="2611"/>
      <c r="J22" s="448"/>
      <c r="K22" s="1385"/>
      <c r="L22" s="1142"/>
      <c r="M22" s="1133"/>
      <c r="N22" s="1133"/>
      <c r="O22" s="1133"/>
      <c r="P22" s="3264"/>
      <c r="Q22" s="1812"/>
      <c r="R22" s="773"/>
      <c r="S22" s="774"/>
      <c r="T22" s="773"/>
      <c r="U22" s="774"/>
      <c r="V22" s="773"/>
      <c r="W22" s="774"/>
      <c r="X22" s="1815"/>
      <c r="Y22" s="3266"/>
      <c r="Z22" s="1816"/>
      <c r="AA22" s="1813">
        <v>1</v>
      </c>
      <c r="AB22" s="1813">
        <v>1</v>
      </c>
      <c r="AC22" s="2674">
        <v>1</v>
      </c>
    </row>
    <row r="23" spans="1:29" ht="42.75">
      <c r="A23" s="428"/>
      <c r="B23" s="630"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64"/>
      <c r="Q23" s="1812" t="str">
        <f>B23</f>
        <v>环境质量</v>
      </c>
      <c r="R23" s="773" t="s">
        <v>17</v>
      </c>
      <c r="S23" s="774">
        <f>F23</f>
        <v>100</v>
      </c>
      <c r="T23" s="773" t="s">
        <v>17</v>
      </c>
      <c r="U23" s="774">
        <f>H23</f>
        <v>100</v>
      </c>
      <c r="V23" s="773" t="s">
        <v>17</v>
      </c>
      <c r="W23" s="774">
        <f>J23</f>
        <v>100</v>
      </c>
      <c r="X23" s="1815"/>
      <c r="Y23" s="3266"/>
      <c r="Z23" s="1816" t="str">
        <f>Q23</f>
        <v>环境质量</v>
      </c>
      <c r="AA23" s="1813">
        <f t="shared" si="3"/>
        <v>1</v>
      </c>
      <c r="AB23" s="1813">
        <f t="shared" si="4"/>
        <v>1</v>
      </c>
      <c r="AC23" s="2674">
        <f t="shared" si="5"/>
        <v>1</v>
      </c>
    </row>
    <row r="24" spans="1:29" ht="15">
      <c r="A24" s="428"/>
      <c r="B24" s="632"/>
      <c r="C24" s="2611"/>
      <c r="D24" s="448"/>
      <c r="E24" s="2604"/>
      <c r="F24" s="448"/>
      <c r="G24" s="2605"/>
      <c r="H24" s="448"/>
      <c r="I24" s="2605"/>
      <c r="J24" s="448"/>
      <c r="K24" s="615"/>
      <c r="L24" s="1142"/>
      <c r="M24" s="1133"/>
      <c r="N24" s="1133"/>
      <c r="O24" s="1133"/>
      <c r="P24" s="3264"/>
      <c r="Q24" s="1812"/>
      <c r="R24" s="773"/>
      <c r="S24" s="774"/>
      <c r="T24" s="773"/>
      <c r="U24" s="774"/>
      <c r="V24" s="773"/>
      <c r="W24" s="774"/>
      <c r="X24" s="1815"/>
      <c r="Y24" s="3266"/>
      <c r="Z24" s="1816"/>
      <c r="AA24" s="1813">
        <v>1</v>
      </c>
      <c r="AB24" s="1813">
        <v>1</v>
      </c>
      <c r="AC24" s="2674">
        <v>1</v>
      </c>
    </row>
    <row r="25" spans="1:29" ht="27">
      <c r="A25" s="404"/>
      <c r="B25" s="630"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2"/>
      <c r="M25" s="1133"/>
      <c r="N25" s="1133"/>
      <c r="O25" s="1133"/>
      <c r="P25" s="3264"/>
      <c r="Q25" s="1812" t="str">
        <f>B25</f>
        <v>毗邻道路的类型与等级</v>
      </c>
      <c r="R25" s="773" t="s">
        <v>17</v>
      </c>
      <c r="S25" s="774">
        <f>F25</f>
        <v>100</v>
      </c>
      <c r="T25" s="773" t="s">
        <v>17</v>
      </c>
      <c r="U25" s="774">
        <f>H25</f>
        <v>100</v>
      </c>
      <c r="V25" s="773" t="s">
        <v>17</v>
      </c>
      <c r="W25" s="774">
        <f>J25</f>
        <v>100</v>
      </c>
      <c r="X25" s="1815"/>
      <c r="Y25" s="3266"/>
      <c r="Z25" s="1816" t="str">
        <f>Q25</f>
        <v>毗邻道路的类型与等级</v>
      </c>
      <c r="AA25" s="1813">
        <f t="shared" si="3"/>
        <v>1</v>
      </c>
      <c r="AB25" s="1813">
        <f t="shared" si="4"/>
        <v>1</v>
      </c>
      <c r="AC25" s="2674">
        <f t="shared" si="5"/>
        <v>1</v>
      </c>
    </row>
    <row r="26" spans="1:29" ht="15">
      <c r="A26" s="404"/>
      <c r="B26" s="631"/>
      <c r="C26" s="633"/>
      <c r="D26" s="435"/>
      <c r="E26" s="616"/>
      <c r="F26" s="435"/>
      <c r="G26" s="633"/>
      <c r="H26" s="435"/>
      <c r="I26" s="616"/>
      <c r="J26" s="435"/>
      <c r="K26" s="615"/>
      <c r="L26" s="1142"/>
      <c r="M26" s="1133"/>
      <c r="N26" s="1133"/>
      <c r="O26" s="1133"/>
      <c r="P26" s="3264"/>
      <c r="Q26" s="1812"/>
      <c r="R26" s="773"/>
      <c r="S26" s="774"/>
      <c r="T26" s="773"/>
      <c r="U26" s="774"/>
      <c r="V26" s="773"/>
      <c r="W26" s="774"/>
      <c r="X26" s="1815"/>
      <c r="Y26" s="3266"/>
      <c r="Z26" s="1816"/>
      <c r="AA26" s="1813">
        <v>1</v>
      </c>
      <c r="AB26" s="1813">
        <v>1</v>
      </c>
      <c r="AC26" s="2674">
        <v>1</v>
      </c>
    </row>
    <row r="27" spans="1:29" ht="15">
      <c r="A27" s="428"/>
      <c r="B27" s="631" t="s">
        <v>2657</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264"/>
      <c r="Q27" s="1812" t="str">
        <f t="shared" ref="Q27:Q47" si="11">B27</f>
        <v>楼层</v>
      </c>
      <c r="R27" s="773" t="s">
        <v>17</v>
      </c>
      <c r="S27" s="774">
        <f>F27</f>
        <v>100</v>
      </c>
      <c r="T27" s="773" t="s">
        <v>17</v>
      </c>
      <c r="U27" s="774">
        <f>H27</f>
        <v>100</v>
      </c>
      <c r="V27" s="773" t="s">
        <v>17</v>
      </c>
      <c r="W27" s="774">
        <f>J27</f>
        <v>100</v>
      </c>
      <c r="X27" s="1815"/>
      <c r="Y27" s="3266"/>
      <c r="Z27" s="1816" t="str">
        <f>Q27</f>
        <v>楼层</v>
      </c>
      <c r="AA27" s="1813">
        <f t="shared" si="3"/>
        <v>1</v>
      </c>
      <c r="AB27" s="1813">
        <f t="shared" si="4"/>
        <v>1</v>
      </c>
      <c r="AC27" s="2674">
        <f t="shared" si="5"/>
        <v>1</v>
      </c>
    </row>
    <row r="28" spans="1:29" s="117" customFormat="1" ht="15">
      <c r="A28" s="431"/>
      <c r="B28" s="630"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264"/>
      <c r="Q28" s="1797" t="str">
        <f t="shared" si="11"/>
        <v>朝向</v>
      </c>
      <c r="R28" s="769" t="s">
        <v>17</v>
      </c>
      <c r="S28" s="770">
        <f>F28</f>
        <v>100</v>
      </c>
      <c r="T28" s="769" t="s">
        <v>17</v>
      </c>
      <c r="U28" s="770">
        <f>H28</f>
        <v>100</v>
      </c>
      <c r="V28" s="769" t="s">
        <v>17</v>
      </c>
      <c r="W28" s="770">
        <f>J28</f>
        <v>100</v>
      </c>
      <c r="X28" s="771"/>
      <c r="Y28" s="3266"/>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264"/>
      <c r="Q29" s="1812">
        <f t="shared" si="11"/>
        <v>111</v>
      </c>
      <c r="R29" s="773" t="s">
        <v>17</v>
      </c>
      <c r="S29" s="774">
        <f t="shared" ref="S29:S47" si="12">F29</f>
        <v>100</v>
      </c>
      <c r="T29" s="773" t="s">
        <v>17</v>
      </c>
      <c r="U29" s="774">
        <f t="shared" ref="U29:U47" si="13">H29</f>
        <v>100</v>
      </c>
      <c r="V29" s="773" t="s">
        <v>17</v>
      </c>
      <c r="W29" s="774">
        <f t="shared" ref="W29:W47" si="14">J29</f>
        <v>100</v>
      </c>
      <c r="X29" s="1815"/>
      <c r="Y29" s="3266"/>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264"/>
      <c r="Q30" s="1812">
        <f t="shared" si="11"/>
        <v>111</v>
      </c>
      <c r="R30" s="773" t="s">
        <v>17</v>
      </c>
      <c r="S30" s="774">
        <f t="shared" si="12"/>
        <v>100</v>
      </c>
      <c r="T30" s="773" t="s">
        <v>17</v>
      </c>
      <c r="U30" s="774">
        <f t="shared" si="13"/>
        <v>100</v>
      </c>
      <c r="V30" s="773" t="s">
        <v>17</v>
      </c>
      <c r="W30" s="774">
        <f t="shared" si="14"/>
        <v>100</v>
      </c>
      <c r="X30" s="1815"/>
      <c r="Y30" s="3266"/>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264"/>
      <c r="Q31" s="1812">
        <f t="shared" si="11"/>
        <v>111</v>
      </c>
      <c r="R31" s="773" t="s">
        <v>17</v>
      </c>
      <c r="S31" s="774">
        <f t="shared" si="12"/>
        <v>100</v>
      </c>
      <c r="T31" s="773" t="s">
        <v>17</v>
      </c>
      <c r="U31" s="774">
        <f t="shared" si="13"/>
        <v>100</v>
      </c>
      <c r="V31" s="773" t="s">
        <v>17</v>
      </c>
      <c r="W31" s="774">
        <f t="shared" si="14"/>
        <v>100</v>
      </c>
      <c r="X31" s="1815"/>
      <c r="Y31" s="3266"/>
      <c r="Z31" s="1816">
        <f t="shared" si="15"/>
        <v>111</v>
      </c>
      <c r="AA31" s="1813">
        <f t="shared" si="3"/>
        <v>1</v>
      </c>
      <c r="AB31" s="1813">
        <f t="shared" si="4"/>
        <v>1</v>
      </c>
      <c r="AC31" s="2674">
        <f t="shared" si="5"/>
        <v>1</v>
      </c>
    </row>
    <row r="32" spans="1:29" ht="15.75" thickBot="1">
      <c r="A32" s="436"/>
      <c r="B32" s="634">
        <v>111</v>
      </c>
      <c r="C32" s="2616"/>
      <c r="D32" s="438">
        <v>100</v>
      </c>
      <c r="E32" s="627"/>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264"/>
      <c r="Q32" s="1812">
        <f t="shared" si="11"/>
        <v>111</v>
      </c>
      <c r="R32" s="773" t="s">
        <v>17</v>
      </c>
      <c r="S32" s="774">
        <f t="shared" si="12"/>
        <v>100</v>
      </c>
      <c r="T32" s="773" t="s">
        <v>17</v>
      </c>
      <c r="U32" s="774">
        <f t="shared" si="13"/>
        <v>100</v>
      </c>
      <c r="V32" s="773" t="s">
        <v>17</v>
      </c>
      <c r="W32" s="774">
        <f t="shared" si="14"/>
        <v>100</v>
      </c>
      <c r="X32" s="1815"/>
      <c r="Y32" s="3266"/>
      <c r="Z32" s="1816">
        <f t="shared" si="15"/>
        <v>111</v>
      </c>
      <c r="AA32" s="1813">
        <f t="shared" si="3"/>
        <v>1</v>
      </c>
      <c r="AB32" s="1813">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267" t="s">
        <v>2563</v>
      </c>
      <c r="Q33" s="1812" t="str">
        <f t="shared" si="11"/>
        <v>建筑类型</v>
      </c>
      <c r="R33" s="773" t="s">
        <v>17</v>
      </c>
      <c r="S33" s="774">
        <f t="shared" si="12"/>
        <v>100</v>
      </c>
      <c r="T33" s="773" t="s">
        <v>17</v>
      </c>
      <c r="U33" s="774">
        <f t="shared" si="13"/>
        <v>100</v>
      </c>
      <c r="V33" s="773" t="s">
        <v>17</v>
      </c>
      <c r="W33" s="774">
        <f t="shared" si="14"/>
        <v>100</v>
      </c>
      <c r="X33" s="1815"/>
      <c r="Y33" s="3270" t="s">
        <v>2563</v>
      </c>
      <c r="Z33" s="1816" t="str">
        <f t="shared" si="15"/>
        <v>建筑类型</v>
      </c>
      <c r="AA33" s="1813">
        <f t="shared" si="3"/>
        <v>1</v>
      </c>
      <c r="AB33" s="1813">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68"/>
      <c r="Q34" s="775" t="str">
        <f t="shared" si="11"/>
        <v>项目建筑规模</v>
      </c>
      <c r="R34" s="776" t="s">
        <v>17</v>
      </c>
      <c r="S34" s="777" t="e">
        <f t="shared" si="12"/>
        <v>#N/A</v>
      </c>
      <c r="T34" s="776" t="s">
        <v>17</v>
      </c>
      <c r="U34" s="777" t="e">
        <f t="shared" si="13"/>
        <v>#N/A</v>
      </c>
      <c r="V34" s="776" t="s">
        <v>17</v>
      </c>
      <c r="W34" s="777" t="e">
        <f t="shared" si="14"/>
        <v>#N/A</v>
      </c>
      <c r="X34" s="778"/>
      <c r="Y34" s="3270"/>
      <c r="Z34" s="779" t="str">
        <f t="shared" si="15"/>
        <v>项目建筑规模</v>
      </c>
      <c r="AA34" s="1813" t="e">
        <f t="shared" si="3"/>
        <v>#N/A</v>
      </c>
      <c r="AB34" s="1813"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68"/>
      <c r="Q35" s="1812" t="str">
        <f t="shared" si="11"/>
        <v>建筑结构</v>
      </c>
      <c r="R35" s="773" t="s">
        <v>17</v>
      </c>
      <c r="S35" s="774">
        <f t="shared" si="12"/>
        <v>100</v>
      </c>
      <c r="T35" s="773" t="s">
        <v>17</v>
      </c>
      <c r="U35" s="774">
        <f t="shared" si="13"/>
        <v>100</v>
      </c>
      <c r="V35" s="773" t="s">
        <v>17</v>
      </c>
      <c r="W35" s="774">
        <f t="shared" si="14"/>
        <v>100</v>
      </c>
      <c r="X35" s="1815"/>
      <c r="Y35" s="3270"/>
      <c r="Z35" s="1816" t="str">
        <f t="shared" si="15"/>
        <v>建筑结构</v>
      </c>
      <c r="AA35" s="1813">
        <f t="shared" si="3"/>
        <v>1</v>
      </c>
      <c r="AB35" s="1813">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68"/>
      <c r="Q36" s="1812" t="str">
        <f t="shared" si="11"/>
        <v>公共部分装修</v>
      </c>
      <c r="R36" s="773" t="s">
        <v>17</v>
      </c>
      <c r="S36" s="774">
        <f t="shared" si="12"/>
        <v>100</v>
      </c>
      <c r="T36" s="773" t="s">
        <v>17</v>
      </c>
      <c r="U36" s="774">
        <f t="shared" si="13"/>
        <v>100</v>
      </c>
      <c r="V36" s="773" t="s">
        <v>17</v>
      </c>
      <c r="W36" s="774">
        <f t="shared" si="14"/>
        <v>100</v>
      </c>
      <c r="X36" s="1815"/>
      <c r="Y36" s="3270"/>
      <c r="Z36" s="1816" t="str">
        <f t="shared" si="15"/>
        <v>公共部分装修</v>
      </c>
      <c r="AA36" s="1813">
        <f t="shared" si="3"/>
        <v>1</v>
      </c>
      <c r="AB36" s="1813">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68"/>
      <c r="Q37" s="1812" t="str">
        <f t="shared" si="11"/>
        <v>成新度</v>
      </c>
      <c r="R37" s="773" t="s">
        <v>17</v>
      </c>
      <c r="S37" s="774" t="e">
        <f t="shared" si="12"/>
        <v>#N/A</v>
      </c>
      <c r="T37" s="773" t="s">
        <v>17</v>
      </c>
      <c r="U37" s="774" t="e">
        <f t="shared" si="13"/>
        <v>#N/A</v>
      </c>
      <c r="V37" s="773" t="s">
        <v>17</v>
      </c>
      <c r="W37" s="774" t="e">
        <f t="shared" si="14"/>
        <v>#N/A</v>
      </c>
      <c r="X37" s="1815"/>
      <c r="Y37" s="3270"/>
      <c r="Z37" s="1816" t="str">
        <f t="shared" si="15"/>
        <v>成新度</v>
      </c>
      <c r="AA37" s="1813" t="e">
        <f t="shared" si="3"/>
        <v>#N/A</v>
      </c>
      <c r="AB37" s="1813"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68"/>
      <c r="Q38" s="1797" t="str">
        <f t="shared" si="11"/>
        <v>写字楼等级</v>
      </c>
      <c r="R38" s="769" t="s">
        <v>17</v>
      </c>
      <c r="S38" s="770">
        <f t="shared" si="12"/>
        <v>100</v>
      </c>
      <c r="T38" s="769" t="s">
        <v>17</v>
      </c>
      <c r="U38" s="770">
        <f t="shared" si="13"/>
        <v>100</v>
      </c>
      <c r="V38" s="769" t="s">
        <v>17</v>
      </c>
      <c r="W38" s="770">
        <f t="shared" si="14"/>
        <v>100</v>
      </c>
      <c r="X38" s="771"/>
      <c r="Y38" s="3270"/>
      <c r="Z38" s="55" t="str">
        <f t="shared" si="15"/>
        <v>写字楼等级</v>
      </c>
      <c r="AA38" s="772">
        <f t="shared" si="3"/>
        <v>1</v>
      </c>
      <c r="AB38" s="772">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68" t="s">
        <v>2563</v>
      </c>
      <c r="Q39" s="1812" t="str">
        <f t="shared" si="11"/>
        <v>物业管理</v>
      </c>
      <c r="R39" s="773" t="s">
        <v>17</v>
      </c>
      <c r="S39" s="774">
        <f t="shared" si="12"/>
        <v>100</v>
      </c>
      <c r="T39" s="773" t="s">
        <v>17</v>
      </c>
      <c r="U39" s="774">
        <f t="shared" si="13"/>
        <v>100</v>
      </c>
      <c r="V39" s="773" t="s">
        <v>17</v>
      </c>
      <c r="W39" s="774">
        <f t="shared" si="14"/>
        <v>100</v>
      </c>
      <c r="X39" s="1815"/>
      <c r="Y39" s="3270" t="s">
        <v>2563</v>
      </c>
      <c r="Z39" s="1816" t="str">
        <f t="shared" si="15"/>
        <v>物业管理</v>
      </c>
      <c r="AA39" s="1813">
        <f t="shared" si="3"/>
        <v>1</v>
      </c>
      <c r="AB39" s="1813">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68"/>
      <c r="Q40" s="1812" t="str">
        <f t="shared" si="11"/>
        <v>市政基础设施</v>
      </c>
      <c r="R40" s="773" t="s">
        <v>17</v>
      </c>
      <c r="S40" s="774">
        <f t="shared" si="12"/>
        <v>100</v>
      </c>
      <c r="T40" s="773" t="s">
        <v>17</v>
      </c>
      <c r="U40" s="774">
        <f t="shared" si="13"/>
        <v>100</v>
      </c>
      <c r="V40" s="773" t="s">
        <v>17</v>
      </c>
      <c r="W40" s="774">
        <f t="shared" si="14"/>
        <v>100</v>
      </c>
      <c r="X40" s="1815"/>
      <c r="Y40" s="3270"/>
      <c r="Z40" s="1816" t="str">
        <f t="shared" si="15"/>
        <v>市政基础设施</v>
      </c>
      <c r="AA40" s="1813">
        <f t="shared" si="3"/>
        <v>1</v>
      </c>
      <c r="AB40" s="1813">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68"/>
      <c r="Q41" s="1812" t="str">
        <f t="shared" si="11"/>
        <v>层高</v>
      </c>
      <c r="R41" s="773" t="s">
        <v>17</v>
      </c>
      <c r="S41" s="774">
        <f t="shared" si="12"/>
        <v>100</v>
      </c>
      <c r="T41" s="773" t="s">
        <v>17</v>
      </c>
      <c r="U41" s="774">
        <f t="shared" si="13"/>
        <v>100</v>
      </c>
      <c r="V41" s="773" t="s">
        <v>17</v>
      </c>
      <c r="W41" s="774">
        <f t="shared" si="14"/>
        <v>100</v>
      </c>
      <c r="X41" s="1815"/>
      <c r="Y41" s="3270"/>
      <c r="Z41" s="1816" t="str">
        <f t="shared" si="15"/>
        <v>层高</v>
      </c>
      <c r="AA41" s="1813">
        <f t="shared" si="3"/>
        <v>1</v>
      </c>
      <c r="AB41" s="1813">
        <f t="shared" si="4"/>
        <v>1</v>
      </c>
      <c r="AC41" s="2674">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68"/>
      <c r="Q42" s="775" t="str">
        <f t="shared" si="11"/>
        <v>单套建筑面积</v>
      </c>
      <c r="R42" s="776" t="s">
        <v>17</v>
      </c>
      <c r="S42" s="777">
        <f t="shared" si="12"/>
        <v>100</v>
      </c>
      <c r="T42" s="776" t="s">
        <v>17</v>
      </c>
      <c r="U42" s="777">
        <f t="shared" si="13"/>
        <v>100</v>
      </c>
      <c r="V42" s="776" t="s">
        <v>17</v>
      </c>
      <c r="W42" s="777">
        <f t="shared" si="14"/>
        <v>100</v>
      </c>
      <c r="X42" s="778"/>
      <c r="Y42" s="3270"/>
      <c r="Z42" s="779" t="str">
        <f t="shared" si="15"/>
        <v>单套建筑面积</v>
      </c>
      <c r="AA42" s="1813">
        <f t="shared" si="3"/>
        <v>1</v>
      </c>
      <c r="AB42" s="1813">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68"/>
      <c r="Q43" s="1812" t="str">
        <f t="shared" si="11"/>
        <v>内部装修</v>
      </c>
      <c r="R43" s="773" t="s">
        <v>17</v>
      </c>
      <c r="S43" s="774">
        <f t="shared" si="12"/>
        <v>100</v>
      </c>
      <c r="T43" s="773" t="s">
        <v>17</v>
      </c>
      <c r="U43" s="774">
        <f t="shared" si="13"/>
        <v>100</v>
      </c>
      <c r="V43" s="773" t="s">
        <v>17</v>
      </c>
      <c r="W43" s="774">
        <f t="shared" si="14"/>
        <v>100</v>
      </c>
      <c r="X43" s="1815"/>
      <c r="Y43" s="3270"/>
      <c r="Z43" s="1816" t="str">
        <f t="shared" si="15"/>
        <v>内部装修</v>
      </c>
      <c r="AA43" s="1813">
        <f t="shared" si="3"/>
        <v>1</v>
      </c>
      <c r="AB43" s="1813">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2"/>
      <c r="M44" s="1133"/>
      <c r="N44" s="1133"/>
      <c r="O44" s="1133"/>
      <c r="P44" s="3268"/>
      <c r="Q44" s="1812" t="str">
        <f t="shared" si="11"/>
        <v>内部装修维护情况</v>
      </c>
      <c r="R44" s="773" t="s">
        <v>17</v>
      </c>
      <c r="S44" s="774">
        <f t="shared" si="12"/>
        <v>100</v>
      </c>
      <c r="T44" s="773" t="s">
        <v>17</v>
      </c>
      <c r="U44" s="774">
        <f t="shared" si="13"/>
        <v>100</v>
      </c>
      <c r="V44" s="773" t="s">
        <v>17</v>
      </c>
      <c r="W44" s="774">
        <f t="shared" si="14"/>
        <v>100</v>
      </c>
      <c r="X44" s="1815"/>
      <c r="Y44" s="3270"/>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68"/>
      <c r="Q45" s="1797">
        <f t="shared" si="11"/>
        <v>111</v>
      </c>
      <c r="R45" s="769" t="s">
        <v>17</v>
      </c>
      <c r="S45" s="770">
        <f t="shared" si="12"/>
        <v>100</v>
      </c>
      <c r="T45" s="769" t="s">
        <v>17</v>
      </c>
      <c r="U45" s="770">
        <f t="shared" si="13"/>
        <v>100</v>
      </c>
      <c r="V45" s="769" t="s">
        <v>17</v>
      </c>
      <c r="W45" s="770">
        <f t="shared" si="14"/>
        <v>100</v>
      </c>
      <c r="X45" s="771"/>
      <c r="Y45" s="3270"/>
      <c r="Z45" s="55">
        <f t="shared" si="15"/>
        <v>111</v>
      </c>
      <c r="AA45" s="772">
        <f t="shared" si="3"/>
        <v>1</v>
      </c>
      <c r="AB45" s="772">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68"/>
      <c r="Q46" s="1812">
        <f t="shared" si="11"/>
        <v>111</v>
      </c>
      <c r="R46" s="773" t="s">
        <v>17</v>
      </c>
      <c r="S46" s="774">
        <f t="shared" si="12"/>
        <v>100</v>
      </c>
      <c r="T46" s="773" t="s">
        <v>17</v>
      </c>
      <c r="U46" s="774">
        <f t="shared" si="13"/>
        <v>100</v>
      </c>
      <c r="V46" s="773" t="s">
        <v>17</v>
      </c>
      <c r="W46" s="774">
        <f t="shared" si="14"/>
        <v>100</v>
      </c>
      <c r="X46" s="1815"/>
      <c r="Y46" s="3270"/>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69"/>
      <c r="Q47" s="1812">
        <f t="shared" si="11"/>
        <v>111</v>
      </c>
      <c r="R47" s="773" t="s">
        <v>17</v>
      </c>
      <c r="S47" s="774">
        <f t="shared" si="12"/>
        <v>100</v>
      </c>
      <c r="T47" s="773" t="s">
        <v>17</v>
      </c>
      <c r="U47" s="774">
        <f t="shared" si="13"/>
        <v>100</v>
      </c>
      <c r="V47" s="773" t="s">
        <v>17</v>
      </c>
      <c r="W47" s="774">
        <f t="shared" si="14"/>
        <v>100</v>
      </c>
      <c r="X47" s="1815"/>
      <c r="Y47" s="3271"/>
      <c r="Z47" s="1816">
        <f t="shared" si="15"/>
        <v>111</v>
      </c>
      <c r="AA47" s="1813">
        <f t="shared" si="3"/>
        <v>1</v>
      </c>
      <c r="AB47" s="1813">
        <f t="shared" si="4"/>
        <v>1</v>
      </c>
      <c r="AC47" s="2674">
        <f t="shared" si="5"/>
        <v>1</v>
      </c>
    </row>
    <row r="48" spans="1:29" ht="15">
      <c r="A48" s="479" t="s">
        <v>2575</v>
      </c>
      <c r="B48" s="480"/>
      <c r="C48" s="1409" t="s">
        <v>1</v>
      </c>
      <c r="D48" s="1410"/>
      <c r="E48" s="1411"/>
      <c r="F48" s="1412"/>
      <c r="G48" s="1413"/>
      <c r="H48" s="1414"/>
      <c r="I48" s="1411"/>
      <c r="J48" s="485"/>
      <c r="K48" s="782"/>
      <c r="L48" s="1145"/>
      <c r="M48" s="1133"/>
      <c r="N48" s="1133"/>
      <c r="O48" s="1133"/>
      <c r="P48" s="3249" t="str">
        <f>A48</f>
        <v>成交单价（元/平方米）</v>
      </c>
      <c r="Q48" s="3272"/>
      <c r="R48" s="3273">
        <f>E48</f>
        <v>0</v>
      </c>
      <c r="S48" s="3273"/>
      <c r="T48" s="3273">
        <f>G48</f>
        <v>0</v>
      </c>
      <c r="U48" s="3273"/>
      <c r="V48" s="3273">
        <f>I48</f>
        <v>0</v>
      </c>
      <c r="W48" s="3273"/>
      <c r="X48" s="446"/>
      <c r="Y48" s="780"/>
      <c r="Z48" s="446"/>
      <c r="AA48" s="446"/>
      <c r="AB48" s="446"/>
      <c r="AC48" s="629"/>
    </row>
    <row r="49" spans="1:29" ht="15.75" thickBot="1">
      <c r="A49" s="486" t="s">
        <v>2667</v>
      </c>
      <c r="B49" s="487"/>
      <c r="C49" s="1415" t="e">
        <f>R50</f>
        <v>#DIV/0!</v>
      </c>
      <c r="D49" s="1416"/>
      <c r="E49" s="1417" t="e">
        <f>R49</f>
        <v>#DIV/0!</v>
      </c>
      <c r="F49" s="1417"/>
      <c r="G49" s="1415" t="e">
        <f>T49</f>
        <v>#DIV/0!</v>
      </c>
      <c r="H49" s="1416"/>
      <c r="I49" s="1417" t="e">
        <f>V49</f>
        <v>#DIV/0!</v>
      </c>
      <c r="J49" s="489"/>
      <c r="K49" s="783"/>
      <c r="L49" s="1145"/>
      <c r="M49" s="1133"/>
      <c r="N49" s="1133"/>
      <c r="O49" s="1133"/>
      <c r="P49" s="3249" t="str">
        <f>A49</f>
        <v>比较价值（元/平方米）</v>
      </c>
      <c r="Q49" s="3272"/>
      <c r="R49" s="3273" t="e">
        <f>IF(F1="售价",ROUND(PRODUCT(R48,AA7:AA47),0),ROUND(PRODUCT(R48,AA7:AA47),1))</f>
        <v>#DIV/0!</v>
      </c>
      <c r="S49" s="3273"/>
      <c r="T49" s="3273" t="e">
        <f>IF(F1="售价",ROUND(PRODUCT(T48,AB7:AB47),0),ROUND(PRODUCT(T48,AB7:AB47),1))</f>
        <v>#DIV/0!</v>
      </c>
      <c r="U49" s="3273"/>
      <c r="V49" s="3273" t="e">
        <f>IF(F1="售价",ROUND(PRODUCT(V48,AC7:AC47),0),ROUND(PRODUCT(V48,AC7:AC47),1))</f>
        <v>#DIV/0!</v>
      </c>
      <c r="W49" s="3273"/>
      <c r="X49" s="446"/>
      <c r="Y49" s="446"/>
      <c r="Z49" s="446"/>
      <c r="AA49" s="446"/>
      <c r="AB49" s="446"/>
      <c r="AC49" s="629"/>
    </row>
    <row r="50" spans="1:29" ht="15.75" thickBot="1">
      <c r="A50" s="492" t="s">
        <v>2668</v>
      </c>
      <c r="B50" s="493"/>
      <c r="C50" s="1419" t="e">
        <f>R50</f>
        <v>#DIV/0!</v>
      </c>
      <c r="D50" s="1419"/>
      <c r="E50" s="1419"/>
      <c r="F50" s="1419"/>
      <c r="G50" s="1419"/>
      <c r="H50" s="1419"/>
      <c r="I50" s="1419"/>
      <c r="J50" s="494"/>
      <c r="K50" s="784"/>
      <c r="L50" s="1145"/>
      <c r="M50" s="1133"/>
      <c r="N50" s="1133"/>
      <c r="O50" s="1133"/>
      <c r="P50" s="3319" t="str">
        <f>A50</f>
        <v>估价对象XX用房的比较价值（楼面单价，元/平方米）</v>
      </c>
      <c r="Q50" s="3320"/>
      <c r="R50" s="3321" t="e">
        <f>IF(F1="售价",ROUND(AVERAGE(R49:V49),0),ROUND(AVERAGE(R49:V49),1))</f>
        <v>#DIV/0!</v>
      </c>
      <c r="S50" s="3321"/>
      <c r="T50" s="3321"/>
      <c r="U50" s="3321"/>
      <c r="V50" s="3321"/>
      <c r="W50" s="3321"/>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81"/>
      <c r="Q58" s="504"/>
    </row>
    <row r="59" spans="1:29" s="508" customFormat="1" ht="15">
      <c r="A59" s="505" t="s">
        <v>2546</v>
      </c>
      <c r="B59" s="506"/>
      <c r="C59" s="1576" t="str">
        <f>YEAR(C7)&amp;"-"&amp;MONTH(C7)</f>
        <v>2018-4</v>
      </c>
      <c r="D59" s="1577">
        <f>EDATE(C59,-1)</f>
        <v>43160</v>
      </c>
      <c r="E59" s="1577">
        <f>EDATE(D59,-1)</f>
        <v>43132</v>
      </c>
      <c r="F59" s="1577">
        <f t="shared" ref="F59:O59" si="16">EDATE(E59,-1)</f>
        <v>43101</v>
      </c>
      <c r="G59" s="1577">
        <f t="shared" si="16"/>
        <v>43070</v>
      </c>
      <c r="H59" s="1577">
        <f t="shared" si="16"/>
        <v>43040</v>
      </c>
      <c r="I59" s="1577">
        <f t="shared" si="16"/>
        <v>43009</v>
      </c>
      <c r="J59" s="1577">
        <f t="shared" si="16"/>
        <v>42979</v>
      </c>
      <c r="K59" s="1577">
        <f t="shared" si="16"/>
        <v>42948</v>
      </c>
      <c r="L59" s="1577">
        <f t="shared" si="16"/>
        <v>42917</v>
      </c>
      <c r="M59" s="1577">
        <f t="shared" si="16"/>
        <v>42887</v>
      </c>
      <c r="N59" s="1577">
        <f t="shared" si="16"/>
        <v>42856</v>
      </c>
      <c r="O59" s="1577">
        <f t="shared" si="16"/>
        <v>42826</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2586</v>
      </c>
      <c r="B64" s="528" t="s">
        <v>2552</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2687</v>
      </c>
      <c r="C83" s="659" t="s">
        <v>2673</v>
      </c>
      <c r="D83" s="659" t="s">
        <v>2674</v>
      </c>
      <c r="E83" s="659" t="s">
        <v>2675</v>
      </c>
      <c r="F83" s="659" t="s">
        <v>2676</v>
      </c>
      <c r="G83" s="659" t="s">
        <v>2677</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7" customFormat="1" ht="27.75" thickTop="1">
      <c r="A87" s="579"/>
      <c r="B87" s="538" t="s">
        <v>2697</v>
      </c>
      <c r="C87" s="554"/>
      <c r="D87" s="554"/>
      <c r="E87" s="554"/>
      <c r="F87" s="554"/>
      <c r="G87" s="554"/>
      <c r="H87" s="554"/>
      <c r="I87" s="554"/>
      <c r="J87" s="554"/>
      <c r="K87" s="554"/>
      <c r="L87" s="580"/>
      <c r="M87" s="581"/>
      <c r="N87" s="1153"/>
      <c r="O87" s="1153"/>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7"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2561</v>
      </c>
      <c r="B101" s="528" t="s">
        <v>2610</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2612</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2614</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2615</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2616</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5" t="s">
        <v>2699</v>
      </c>
      <c r="C119" s="583"/>
      <c r="D119" s="583"/>
      <c r="E119" s="583"/>
      <c r="F119" s="583"/>
      <c r="G119" s="583"/>
      <c r="H119" s="583"/>
      <c r="I119" s="583"/>
      <c r="J119" s="583"/>
      <c r="K119" s="583"/>
      <c r="L119" s="2689"/>
      <c r="M119" s="2690"/>
      <c r="N119" s="1155"/>
      <c r="O119" s="1155"/>
      <c r="P119" s="2691"/>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2618</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2700</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IF(C2="——",ROUND(C43*D3/10000,0),ROUND(C43*D3/10000,0)-D2)</f>
        <v>#DIV/0!</v>
      </c>
      <c r="C2" s="2586"/>
      <c r="D2" s="1126"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13306.869999999999</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50" t="s">
        <v>2644</v>
      </c>
      <c r="D4" s="3251"/>
      <c r="E4" s="3252" t="s">
        <v>2645</v>
      </c>
      <c r="F4" s="3253"/>
      <c r="G4" s="3250" t="s">
        <v>2646</v>
      </c>
      <c r="H4" s="3251"/>
      <c r="I4" s="3250" t="s">
        <v>2647</v>
      </c>
      <c r="J4" s="3251"/>
      <c r="K4" s="610" t="s">
        <v>2648</v>
      </c>
      <c r="L4" s="1132"/>
      <c r="M4" s="1133"/>
      <c r="N4" s="1133"/>
      <c r="O4" s="1133"/>
      <c r="P4" s="3254" t="s">
        <v>2649</v>
      </c>
      <c r="Q4" s="3255"/>
      <c r="R4" s="3236" t="s">
        <v>2645</v>
      </c>
      <c r="S4" s="3237"/>
      <c r="T4" s="3236" t="s">
        <v>2646</v>
      </c>
      <c r="U4" s="3237"/>
      <c r="V4" s="3233" t="s">
        <v>2647</v>
      </c>
      <c r="W4" s="3233"/>
      <c r="X4" s="1815"/>
      <c r="Y4" s="3236" t="s">
        <v>2649</v>
      </c>
      <c r="Z4" s="3237"/>
      <c r="AA4" s="3230" t="s">
        <v>2645</v>
      </c>
      <c r="AB4" s="3231" t="s">
        <v>2646</v>
      </c>
      <c r="AC4" s="3230" t="s">
        <v>2647</v>
      </c>
    </row>
    <row r="5" spans="1:29" ht="15">
      <c r="A5" s="404"/>
      <c r="B5" s="405"/>
      <c r="C5" s="3305" t="s">
        <v>2540</v>
      </c>
      <c r="D5" s="3243"/>
      <c r="E5" s="3304" t="s">
        <v>2541</v>
      </c>
      <c r="F5" s="3241"/>
      <c r="G5" s="3305" t="s">
        <v>2542</v>
      </c>
      <c r="H5" s="3243"/>
      <c r="I5" s="3305" t="s">
        <v>2543</v>
      </c>
      <c r="J5" s="3243"/>
      <c r="K5" s="610"/>
      <c r="L5" s="1132"/>
      <c r="M5" s="1133"/>
      <c r="N5" s="1133"/>
      <c r="O5" s="1133"/>
      <c r="P5" s="3256"/>
      <c r="Q5" s="3257"/>
      <c r="R5" s="3238"/>
      <c r="S5" s="3239"/>
      <c r="T5" s="3238"/>
      <c r="U5" s="3239"/>
      <c r="V5" s="3233"/>
      <c r="W5" s="3233"/>
      <c r="X5" s="1815"/>
      <c r="Y5" s="3238"/>
      <c r="Z5" s="3239"/>
      <c r="AA5" s="3231"/>
      <c r="AB5" s="3231"/>
      <c r="AC5" s="3231"/>
    </row>
    <row r="6" spans="1:29" ht="15.75" thickBot="1">
      <c r="A6" s="406"/>
      <c r="B6" s="407"/>
      <c r="C6" s="3244" t="s">
        <v>2544</v>
      </c>
      <c r="D6" s="3245"/>
      <c r="E6" s="3306" t="s">
        <v>2544</v>
      </c>
      <c r="F6" s="3247"/>
      <c r="G6" s="3244" t="s">
        <v>2544</v>
      </c>
      <c r="H6" s="3245"/>
      <c r="I6" s="3244" t="s">
        <v>2544</v>
      </c>
      <c r="J6" s="3245"/>
      <c r="K6" s="610" t="s">
        <v>2545</v>
      </c>
      <c r="L6" s="1132"/>
      <c r="M6" s="1133"/>
      <c r="N6" s="1133"/>
      <c r="O6" s="1133"/>
      <c r="P6" s="3258"/>
      <c r="Q6" s="3259"/>
      <c r="R6" s="3238"/>
      <c r="S6" s="3239"/>
      <c r="T6" s="3260"/>
      <c r="U6" s="3261"/>
      <c r="V6" s="3233"/>
      <c r="W6" s="3233"/>
      <c r="X6" s="1815"/>
      <c r="Y6" s="3260"/>
      <c r="Z6" s="3261"/>
      <c r="AA6" s="3232"/>
      <c r="AB6" s="3232"/>
      <c r="AC6" s="3232"/>
    </row>
    <row r="7" spans="1:29" s="117" customFormat="1" ht="15.75" thickBot="1">
      <c r="A7" s="408" t="s">
        <v>2546</v>
      </c>
      <c r="B7" s="409"/>
      <c r="C7" s="410">
        <f>'数据-取费表'!B2</f>
        <v>43209</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34" t="s">
        <v>2547</v>
      </c>
      <c r="Q7" s="3262"/>
      <c r="R7" s="769" t="s">
        <v>17</v>
      </c>
      <c r="S7" s="770">
        <f t="shared" ref="S7:S15" si="0">F7</f>
        <v>0</v>
      </c>
      <c r="T7" s="769" t="s">
        <v>17</v>
      </c>
      <c r="U7" s="770">
        <f t="shared" ref="U7:U15" si="1">H7</f>
        <v>0</v>
      </c>
      <c r="V7" s="769" t="s">
        <v>17</v>
      </c>
      <c r="W7" s="770">
        <f t="shared" ref="W7:W15" si="2">J7</f>
        <v>0</v>
      </c>
      <c r="X7" s="771"/>
      <c r="Y7" s="3234" t="s">
        <v>2547</v>
      </c>
      <c r="Z7" s="3235"/>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34" t="s">
        <v>2550</v>
      </c>
      <c r="Q8" s="3235"/>
      <c r="R8" s="769" t="s">
        <v>17</v>
      </c>
      <c r="S8" s="770">
        <f t="shared" si="0"/>
        <v>0</v>
      </c>
      <c r="T8" s="769" t="s">
        <v>17</v>
      </c>
      <c r="U8" s="770">
        <f t="shared" si="1"/>
        <v>0</v>
      </c>
      <c r="V8" s="769" t="s">
        <v>17</v>
      </c>
      <c r="W8" s="770">
        <f t="shared" si="2"/>
        <v>0</v>
      </c>
      <c r="X8" s="771"/>
      <c r="Y8" s="3234" t="s">
        <v>2550</v>
      </c>
      <c r="Z8" s="3235"/>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72" t="s">
        <v>2553</v>
      </c>
      <c r="Q9" s="1797" t="str">
        <f t="shared" ref="Q9:Q15" si="6">B9</f>
        <v>用途</v>
      </c>
      <c r="R9" s="769" t="s">
        <v>17</v>
      </c>
      <c r="S9" s="770">
        <f t="shared" si="0"/>
        <v>100</v>
      </c>
      <c r="T9" s="769" t="s">
        <v>17</v>
      </c>
      <c r="U9" s="770">
        <f t="shared" si="1"/>
        <v>100</v>
      </c>
      <c r="V9" s="769" t="s">
        <v>17</v>
      </c>
      <c r="W9" s="770">
        <f t="shared" si="2"/>
        <v>100</v>
      </c>
      <c r="X9" s="771"/>
      <c r="Y9" s="3107"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72"/>
      <c r="Q10" s="1797" t="str">
        <f t="shared" si="6"/>
        <v>土地使用年限（年）</v>
      </c>
      <c r="R10" s="769" t="s">
        <v>17</v>
      </c>
      <c r="S10" s="770">
        <f t="shared" si="0"/>
        <v>100</v>
      </c>
      <c r="T10" s="769" t="s">
        <v>17</v>
      </c>
      <c r="U10" s="770">
        <f t="shared" si="1"/>
        <v>100</v>
      </c>
      <c r="V10" s="769" t="s">
        <v>17</v>
      </c>
      <c r="W10" s="770">
        <f t="shared" si="2"/>
        <v>100</v>
      </c>
      <c r="X10" s="771"/>
      <c r="Y10" s="3107"/>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72"/>
      <c r="Q11" s="1797" t="str">
        <f t="shared" si="6"/>
        <v>容积率</v>
      </c>
      <c r="R11" s="769" t="s">
        <v>17</v>
      </c>
      <c r="S11" s="770" t="e">
        <f t="shared" si="0"/>
        <v>#N/A</v>
      </c>
      <c r="T11" s="769" t="s">
        <v>17</v>
      </c>
      <c r="U11" s="770" t="e">
        <f t="shared" si="1"/>
        <v>#N/A</v>
      </c>
      <c r="V11" s="769" t="s">
        <v>17</v>
      </c>
      <c r="W11" s="770" t="e">
        <f t="shared" si="2"/>
        <v>#N/A</v>
      </c>
      <c r="X11" s="771"/>
      <c r="Y11" s="3107"/>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272"/>
      <c r="Q12" s="1797">
        <f t="shared" si="6"/>
        <v>111</v>
      </c>
      <c r="R12" s="769" t="s">
        <v>17</v>
      </c>
      <c r="S12" s="770">
        <f t="shared" si="0"/>
        <v>100</v>
      </c>
      <c r="T12" s="769" t="s">
        <v>17</v>
      </c>
      <c r="U12" s="770">
        <f t="shared" si="1"/>
        <v>100</v>
      </c>
      <c r="V12" s="769" t="s">
        <v>17</v>
      </c>
      <c r="W12" s="770">
        <f t="shared" si="2"/>
        <v>100</v>
      </c>
      <c r="X12" s="771"/>
      <c r="Y12" s="3107"/>
      <c r="Z12" s="55">
        <f t="shared" si="7"/>
        <v>111</v>
      </c>
      <c r="AA12" s="772">
        <f>D12/F12</f>
        <v>1</v>
      </c>
      <c r="AB12" s="772">
        <f>D12/H12</f>
        <v>1</v>
      </c>
      <c r="AC12" s="772">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272"/>
      <c r="Q13" s="1797">
        <f t="shared" si="6"/>
        <v>111</v>
      </c>
      <c r="R13" s="769" t="s">
        <v>17</v>
      </c>
      <c r="S13" s="770">
        <f t="shared" si="0"/>
        <v>100</v>
      </c>
      <c r="T13" s="769" t="s">
        <v>17</v>
      </c>
      <c r="U13" s="770">
        <f t="shared" si="1"/>
        <v>100</v>
      </c>
      <c r="V13" s="769" t="s">
        <v>17</v>
      </c>
      <c r="W13" s="770">
        <f t="shared" si="2"/>
        <v>100</v>
      </c>
      <c r="X13" s="771"/>
      <c r="Y13" s="3107"/>
      <c r="Z13" s="55">
        <f t="shared" si="7"/>
        <v>111</v>
      </c>
      <c r="AA13" s="772">
        <f t="shared" si="3"/>
        <v>1</v>
      </c>
      <c r="AB13" s="772">
        <f t="shared" si="4"/>
        <v>1</v>
      </c>
      <c r="AC13" s="772">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272"/>
      <c r="Q14" s="1797">
        <f t="shared" si="6"/>
        <v>111</v>
      </c>
      <c r="R14" s="769" t="s">
        <v>17</v>
      </c>
      <c r="S14" s="770">
        <f t="shared" si="0"/>
        <v>100</v>
      </c>
      <c r="T14" s="769" t="s">
        <v>17</v>
      </c>
      <c r="U14" s="770">
        <f t="shared" si="1"/>
        <v>100</v>
      </c>
      <c r="V14" s="769" t="s">
        <v>17</v>
      </c>
      <c r="W14" s="770">
        <f t="shared" si="2"/>
        <v>100</v>
      </c>
      <c r="X14" s="771"/>
      <c r="Y14" s="3107"/>
      <c r="Z14" s="55">
        <f t="shared" si="7"/>
        <v>111</v>
      </c>
      <c r="AA14" s="772">
        <f t="shared" si="3"/>
        <v>1</v>
      </c>
      <c r="AB14" s="772">
        <f t="shared" si="4"/>
        <v>1</v>
      </c>
      <c r="AC14" s="772">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65" t="s">
        <v>2558</v>
      </c>
      <c r="Q15" s="1812" t="str">
        <f t="shared" si="6"/>
        <v>产业集聚程度</v>
      </c>
      <c r="R15" s="773" t="s">
        <v>17</v>
      </c>
      <c r="S15" s="774">
        <f t="shared" si="0"/>
        <v>100</v>
      </c>
      <c r="T15" s="773" t="s">
        <v>17</v>
      </c>
      <c r="U15" s="774">
        <f t="shared" si="1"/>
        <v>100</v>
      </c>
      <c r="V15" s="773" t="s">
        <v>17</v>
      </c>
      <c r="W15" s="774">
        <f t="shared" si="2"/>
        <v>100</v>
      </c>
      <c r="X15" s="1815"/>
      <c r="Y15" s="3265"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66"/>
      <c r="Q16" s="1812"/>
      <c r="R16" s="773"/>
      <c r="S16" s="774"/>
      <c r="T16" s="773"/>
      <c r="U16" s="774"/>
      <c r="V16" s="773"/>
      <c r="W16" s="774"/>
      <c r="X16" s="1815"/>
      <c r="Y16" s="3266"/>
      <c r="Z16" s="1816"/>
      <c r="AA16" s="1813">
        <v>1</v>
      </c>
      <c r="AB16" s="1813">
        <v>1</v>
      </c>
      <c r="AC16" s="1813">
        <v>1</v>
      </c>
    </row>
    <row r="17" spans="1:29" ht="85.5">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66"/>
      <c r="Q17" s="1812" t="str">
        <f>B17</f>
        <v>交通便捷度</v>
      </c>
      <c r="R17" s="773" t="s">
        <v>17</v>
      </c>
      <c r="S17" s="774">
        <f>F17</f>
        <v>100</v>
      </c>
      <c r="T17" s="773" t="s">
        <v>17</v>
      </c>
      <c r="U17" s="774">
        <f>H17</f>
        <v>100</v>
      </c>
      <c r="V17" s="773" t="s">
        <v>17</v>
      </c>
      <c r="W17" s="774">
        <f>J17</f>
        <v>100</v>
      </c>
      <c r="X17" s="1815"/>
      <c r="Y17" s="3266"/>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41"/>
      <c r="P18" s="3266"/>
      <c r="Q18" s="1812"/>
      <c r="R18" s="773"/>
      <c r="S18" s="774"/>
      <c r="T18" s="773"/>
      <c r="U18" s="774"/>
      <c r="V18" s="773"/>
      <c r="W18" s="774"/>
      <c r="X18" s="1815"/>
      <c r="Y18" s="3266"/>
      <c r="Z18" s="1816"/>
      <c r="AA18" s="1813">
        <v>1</v>
      </c>
      <c r="AB18" s="1813">
        <v>1</v>
      </c>
      <c r="AC18" s="1813">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66"/>
      <c r="Q19" s="1812" t="str">
        <f>B19</f>
        <v>公共配套设施</v>
      </c>
      <c r="R19" s="773" t="s">
        <v>17</v>
      </c>
      <c r="S19" s="774">
        <f>F19</f>
        <v>100</v>
      </c>
      <c r="T19" s="773" t="s">
        <v>17</v>
      </c>
      <c r="U19" s="774">
        <f>H19</f>
        <v>100</v>
      </c>
      <c r="V19" s="773" t="s">
        <v>17</v>
      </c>
      <c r="W19" s="774">
        <f>J19</f>
        <v>100</v>
      </c>
      <c r="X19" s="1815"/>
      <c r="Y19" s="3266"/>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41"/>
      <c r="P20" s="3266"/>
      <c r="Q20" s="1812"/>
      <c r="R20" s="773"/>
      <c r="S20" s="774"/>
      <c r="T20" s="773"/>
      <c r="U20" s="774"/>
      <c r="V20" s="773"/>
      <c r="W20" s="774"/>
      <c r="X20" s="1815"/>
      <c r="Y20" s="3266"/>
      <c r="Z20" s="1816"/>
      <c r="AA20" s="1813">
        <v>1</v>
      </c>
      <c r="AB20" s="1813">
        <v>1</v>
      </c>
      <c r="AC20" s="1813">
        <v>1</v>
      </c>
    </row>
    <row r="21" spans="1:29" ht="28.5">
      <c r="A21" s="428"/>
      <c r="B21" s="1386"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66"/>
      <c r="Q21" s="1812" t="str">
        <f>B21</f>
        <v>基础设施水平</v>
      </c>
      <c r="R21" s="773" t="s">
        <v>17</v>
      </c>
      <c r="S21" s="774">
        <f>F21</f>
        <v>100</v>
      </c>
      <c r="T21" s="773" t="s">
        <v>17</v>
      </c>
      <c r="U21" s="774">
        <f>H21</f>
        <v>100</v>
      </c>
      <c r="V21" s="773" t="s">
        <v>17</v>
      </c>
      <c r="W21" s="774">
        <f>J21</f>
        <v>100</v>
      </c>
      <c r="X21" s="1815"/>
      <c r="Y21" s="3266"/>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41"/>
      <c r="P22" s="3266"/>
      <c r="Q22" s="1812"/>
      <c r="R22" s="773"/>
      <c r="S22" s="774"/>
      <c r="T22" s="773"/>
      <c r="U22" s="774"/>
      <c r="V22" s="773"/>
      <c r="W22" s="774"/>
      <c r="X22" s="1815"/>
      <c r="Y22" s="3266"/>
      <c r="Z22" s="1816"/>
      <c r="AA22" s="1813">
        <v>1</v>
      </c>
      <c r="AB22" s="1813">
        <v>1</v>
      </c>
      <c r="AC22" s="1813">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66"/>
      <c r="Q23" s="1812" t="str">
        <f>B23</f>
        <v>环境质量</v>
      </c>
      <c r="R23" s="773" t="s">
        <v>17</v>
      </c>
      <c r="S23" s="774">
        <f>F23</f>
        <v>100</v>
      </c>
      <c r="T23" s="773" t="s">
        <v>17</v>
      </c>
      <c r="U23" s="774">
        <f>H23</f>
        <v>100</v>
      </c>
      <c r="V23" s="773" t="s">
        <v>17</v>
      </c>
      <c r="W23" s="774">
        <f>J23</f>
        <v>100</v>
      </c>
      <c r="X23" s="1815"/>
      <c r="Y23" s="3266"/>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2"/>
      <c r="M24" s="1133"/>
      <c r="N24" s="1133"/>
      <c r="O24" s="1141"/>
      <c r="P24" s="3266"/>
      <c r="Q24" s="1812"/>
      <c r="R24" s="773"/>
      <c r="S24" s="774"/>
      <c r="T24" s="773"/>
      <c r="U24" s="774"/>
      <c r="V24" s="773"/>
      <c r="W24" s="774"/>
      <c r="X24" s="1815"/>
      <c r="Y24" s="3266"/>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66"/>
      <c r="Q25" s="1812">
        <f>B25</f>
        <v>111</v>
      </c>
      <c r="R25" s="773" t="s">
        <v>17</v>
      </c>
      <c r="S25" s="774">
        <f>F25</f>
        <v>100</v>
      </c>
      <c r="T25" s="773" t="s">
        <v>17</v>
      </c>
      <c r="U25" s="774">
        <f>H25</f>
        <v>100</v>
      </c>
      <c r="V25" s="773" t="s">
        <v>17</v>
      </c>
      <c r="W25" s="774">
        <f>J25</f>
        <v>100</v>
      </c>
      <c r="X25" s="1815"/>
      <c r="Y25" s="3266"/>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66"/>
      <c r="Q26" s="1812">
        <f t="shared" ref="Q26:Q40" si="11">B26</f>
        <v>111</v>
      </c>
      <c r="R26" s="773" t="s">
        <v>17</v>
      </c>
      <c r="S26" s="774">
        <f>F26</f>
        <v>100</v>
      </c>
      <c r="T26" s="773" t="s">
        <v>17</v>
      </c>
      <c r="U26" s="774">
        <f>H26</f>
        <v>100</v>
      </c>
      <c r="V26" s="773" t="s">
        <v>17</v>
      </c>
      <c r="W26" s="774">
        <f>J26</f>
        <v>100</v>
      </c>
      <c r="X26" s="1815"/>
      <c r="Y26" s="3266"/>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66"/>
      <c r="Q27" s="1797">
        <f t="shared" si="11"/>
        <v>111</v>
      </c>
      <c r="R27" s="769" t="s">
        <v>17</v>
      </c>
      <c r="S27" s="770">
        <f>F27</f>
        <v>100</v>
      </c>
      <c r="T27" s="769" t="s">
        <v>17</v>
      </c>
      <c r="U27" s="770">
        <f>H27</f>
        <v>100</v>
      </c>
      <c r="V27" s="769" t="s">
        <v>17</v>
      </c>
      <c r="W27" s="770">
        <f>J27</f>
        <v>100</v>
      </c>
      <c r="X27" s="771"/>
      <c r="Y27" s="3266"/>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66"/>
      <c r="Q28" s="1812">
        <f t="shared" si="11"/>
        <v>111</v>
      </c>
      <c r="R28" s="773" t="s">
        <v>17</v>
      </c>
      <c r="S28" s="774">
        <f t="shared" ref="S28:S40" si="12">F28</f>
        <v>100</v>
      </c>
      <c r="T28" s="773" t="s">
        <v>17</v>
      </c>
      <c r="U28" s="774">
        <f t="shared" ref="U28:U40" si="13">H28</f>
        <v>100</v>
      </c>
      <c r="V28" s="773" t="s">
        <v>17</v>
      </c>
      <c r="W28" s="774">
        <f t="shared" ref="W28:W40" si="14">J28</f>
        <v>100</v>
      </c>
      <c r="X28" s="1815"/>
      <c r="Y28" s="3266"/>
      <c r="Z28" s="1816">
        <f t="shared" ref="Z28:Z40" si="15">Q28</f>
        <v>111</v>
      </c>
      <c r="AA28" s="1813">
        <f t="shared" si="3"/>
        <v>1</v>
      </c>
      <c r="AB28" s="1813">
        <f t="shared" si="4"/>
        <v>1</v>
      </c>
      <c r="AC28" s="1813">
        <f t="shared" si="5"/>
        <v>1</v>
      </c>
    </row>
    <row r="29" spans="1:29" ht="1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322" t="s">
        <v>2563</v>
      </c>
      <c r="Q29" s="1812" t="str">
        <f t="shared" si="11"/>
        <v>建筑类型</v>
      </c>
      <c r="R29" s="773" t="s">
        <v>17</v>
      </c>
      <c r="S29" s="774">
        <f t="shared" si="12"/>
        <v>100</v>
      </c>
      <c r="T29" s="773" t="s">
        <v>17</v>
      </c>
      <c r="U29" s="774">
        <f t="shared" si="13"/>
        <v>100</v>
      </c>
      <c r="V29" s="773" t="s">
        <v>17</v>
      </c>
      <c r="W29" s="774">
        <f t="shared" si="14"/>
        <v>100</v>
      </c>
      <c r="X29" s="1815"/>
      <c r="Y29" s="3270" t="s">
        <v>2563</v>
      </c>
      <c r="Z29" s="1816" t="str">
        <f t="shared" si="15"/>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70"/>
      <c r="Q30" s="775" t="str">
        <f t="shared" si="11"/>
        <v>项目建筑规模</v>
      </c>
      <c r="R30" s="776" t="s">
        <v>17</v>
      </c>
      <c r="S30" s="777" t="e">
        <f t="shared" si="12"/>
        <v>#N/A</v>
      </c>
      <c r="T30" s="776" t="s">
        <v>17</v>
      </c>
      <c r="U30" s="777" t="e">
        <f t="shared" si="13"/>
        <v>#N/A</v>
      </c>
      <c r="V30" s="776" t="s">
        <v>17</v>
      </c>
      <c r="W30" s="777" t="e">
        <f t="shared" si="14"/>
        <v>#N/A</v>
      </c>
      <c r="X30" s="778"/>
      <c r="Y30" s="3270"/>
      <c r="Z30" s="779" t="str">
        <f t="shared" si="15"/>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70"/>
      <c r="Q31" s="1812" t="str">
        <f t="shared" si="11"/>
        <v>建筑结构</v>
      </c>
      <c r="R31" s="773" t="s">
        <v>17</v>
      </c>
      <c r="S31" s="774">
        <f t="shared" si="12"/>
        <v>100</v>
      </c>
      <c r="T31" s="773" t="s">
        <v>17</v>
      </c>
      <c r="U31" s="774">
        <f t="shared" si="13"/>
        <v>100</v>
      </c>
      <c r="V31" s="773" t="s">
        <v>17</v>
      </c>
      <c r="W31" s="774">
        <f t="shared" si="14"/>
        <v>100</v>
      </c>
      <c r="X31" s="1815"/>
      <c r="Y31" s="3270"/>
      <c r="Z31" s="1816" t="str">
        <f t="shared" si="15"/>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70"/>
      <c r="Q32" s="1812" t="str">
        <f t="shared" si="11"/>
        <v>公共部分装修</v>
      </c>
      <c r="R32" s="773" t="s">
        <v>17</v>
      </c>
      <c r="S32" s="774">
        <f t="shared" si="12"/>
        <v>100</v>
      </c>
      <c r="T32" s="773" t="s">
        <v>17</v>
      </c>
      <c r="U32" s="774">
        <f t="shared" si="13"/>
        <v>100</v>
      </c>
      <c r="V32" s="773" t="s">
        <v>17</v>
      </c>
      <c r="W32" s="774">
        <f t="shared" si="14"/>
        <v>100</v>
      </c>
      <c r="X32" s="1815"/>
      <c r="Y32" s="3270"/>
      <c r="Z32" s="1816" t="str">
        <f t="shared" si="15"/>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70"/>
      <c r="Q33" s="1812" t="str">
        <f t="shared" si="11"/>
        <v>成新度</v>
      </c>
      <c r="R33" s="773" t="s">
        <v>17</v>
      </c>
      <c r="S33" s="774" t="e">
        <f t="shared" si="12"/>
        <v>#N/A</v>
      </c>
      <c r="T33" s="773" t="s">
        <v>17</v>
      </c>
      <c r="U33" s="774" t="e">
        <f t="shared" si="13"/>
        <v>#N/A</v>
      </c>
      <c r="V33" s="773" t="s">
        <v>17</v>
      </c>
      <c r="W33" s="774" t="e">
        <f t="shared" si="14"/>
        <v>#N/A</v>
      </c>
      <c r="X33" s="1815"/>
      <c r="Y33" s="3270"/>
      <c r="Z33" s="1816" t="str">
        <f t="shared" si="15"/>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70"/>
      <c r="Q34" s="1797" t="str">
        <f t="shared" si="11"/>
        <v>物业管理</v>
      </c>
      <c r="R34" s="769" t="s">
        <v>17</v>
      </c>
      <c r="S34" s="770">
        <f t="shared" si="12"/>
        <v>100</v>
      </c>
      <c r="T34" s="769" t="s">
        <v>17</v>
      </c>
      <c r="U34" s="770">
        <f t="shared" si="13"/>
        <v>100</v>
      </c>
      <c r="V34" s="769" t="s">
        <v>17</v>
      </c>
      <c r="W34" s="770">
        <f t="shared" si="14"/>
        <v>100</v>
      </c>
      <c r="X34" s="771"/>
      <c r="Y34" s="3270"/>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70" t="s">
        <v>2563</v>
      </c>
      <c r="Q35" s="1812" t="str">
        <f t="shared" si="11"/>
        <v>市政基础设施</v>
      </c>
      <c r="R35" s="773" t="s">
        <v>17</v>
      </c>
      <c r="S35" s="774">
        <f t="shared" si="12"/>
        <v>100</v>
      </c>
      <c r="T35" s="773" t="s">
        <v>17</v>
      </c>
      <c r="U35" s="774">
        <f t="shared" si="13"/>
        <v>100</v>
      </c>
      <c r="V35" s="773" t="s">
        <v>17</v>
      </c>
      <c r="W35" s="774">
        <f t="shared" si="14"/>
        <v>100</v>
      </c>
      <c r="X35" s="1815"/>
      <c r="Y35" s="3270" t="s">
        <v>2563</v>
      </c>
      <c r="Z35" s="1816" t="str">
        <f t="shared" si="15"/>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70"/>
      <c r="Q36" s="1812" t="str">
        <f t="shared" si="11"/>
        <v>内部装修</v>
      </c>
      <c r="R36" s="773" t="s">
        <v>17</v>
      </c>
      <c r="S36" s="774">
        <f t="shared" si="12"/>
        <v>100</v>
      </c>
      <c r="T36" s="773" t="s">
        <v>17</v>
      </c>
      <c r="U36" s="774">
        <f t="shared" si="13"/>
        <v>100</v>
      </c>
      <c r="V36" s="773" t="s">
        <v>17</v>
      </c>
      <c r="W36" s="774">
        <f t="shared" si="14"/>
        <v>100</v>
      </c>
      <c r="X36" s="1815"/>
      <c r="Y36" s="3270"/>
      <c r="Z36" s="1816" t="str">
        <f t="shared" si="15"/>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70"/>
      <c r="Q37" s="1812" t="str">
        <f t="shared" si="11"/>
        <v>内部装修状况</v>
      </c>
      <c r="R37" s="773" t="s">
        <v>17</v>
      </c>
      <c r="S37" s="774">
        <f t="shared" si="12"/>
        <v>100</v>
      </c>
      <c r="T37" s="773" t="s">
        <v>17</v>
      </c>
      <c r="U37" s="774">
        <f t="shared" si="13"/>
        <v>100</v>
      </c>
      <c r="V37" s="773" t="s">
        <v>17</v>
      </c>
      <c r="W37" s="774">
        <f t="shared" si="14"/>
        <v>100</v>
      </c>
      <c r="X37" s="1815"/>
      <c r="Y37" s="3270"/>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70"/>
      <c r="Q38" s="775">
        <f t="shared" si="11"/>
        <v>111</v>
      </c>
      <c r="R38" s="776" t="s">
        <v>17</v>
      </c>
      <c r="S38" s="777">
        <f t="shared" si="12"/>
        <v>100</v>
      </c>
      <c r="T38" s="776" t="s">
        <v>17</v>
      </c>
      <c r="U38" s="777">
        <f t="shared" si="13"/>
        <v>100</v>
      </c>
      <c r="V38" s="776" t="s">
        <v>17</v>
      </c>
      <c r="W38" s="777">
        <f t="shared" si="14"/>
        <v>100</v>
      </c>
      <c r="X38" s="778"/>
      <c r="Y38" s="3270"/>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70"/>
      <c r="Q39" s="1812">
        <f t="shared" si="11"/>
        <v>111</v>
      </c>
      <c r="R39" s="773" t="s">
        <v>17</v>
      </c>
      <c r="S39" s="774">
        <f t="shared" si="12"/>
        <v>100</v>
      </c>
      <c r="T39" s="773" t="s">
        <v>17</v>
      </c>
      <c r="U39" s="774">
        <f t="shared" si="13"/>
        <v>100</v>
      </c>
      <c r="V39" s="773" t="s">
        <v>17</v>
      </c>
      <c r="W39" s="774">
        <f t="shared" si="14"/>
        <v>100</v>
      </c>
      <c r="X39" s="1815"/>
      <c r="Y39" s="3270"/>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71"/>
      <c r="Q40" s="1812">
        <f t="shared" si="11"/>
        <v>111</v>
      </c>
      <c r="R40" s="773" t="s">
        <v>17</v>
      </c>
      <c r="S40" s="774">
        <f t="shared" si="12"/>
        <v>100</v>
      </c>
      <c r="T40" s="773" t="s">
        <v>17</v>
      </c>
      <c r="U40" s="774">
        <f t="shared" si="13"/>
        <v>100</v>
      </c>
      <c r="V40" s="773" t="s">
        <v>17</v>
      </c>
      <c r="W40" s="774">
        <f t="shared" si="14"/>
        <v>100</v>
      </c>
      <c r="X40" s="1815"/>
      <c r="Y40" s="3271"/>
      <c r="Z40" s="1816">
        <f t="shared" si="15"/>
        <v>111</v>
      </c>
      <c r="AA40" s="1813">
        <f t="shared" si="3"/>
        <v>1</v>
      </c>
      <c r="AB40" s="1813">
        <f t="shared" si="4"/>
        <v>1</v>
      </c>
      <c r="AC40" s="1813">
        <f t="shared" si="5"/>
        <v>1</v>
      </c>
    </row>
    <row r="41" spans="1:29" ht="15">
      <c r="A41" s="479" t="s">
        <v>2575</v>
      </c>
      <c r="B41" s="480"/>
      <c r="C41" s="1409" t="s">
        <v>1</v>
      </c>
      <c r="D41" s="1410"/>
      <c r="E41" s="1411"/>
      <c r="F41" s="1412"/>
      <c r="G41" s="1413"/>
      <c r="H41" s="1414"/>
      <c r="I41" s="1411"/>
      <c r="J41" s="1414"/>
      <c r="K41" s="782"/>
      <c r="L41" s="1145"/>
      <c r="M41" s="1146"/>
      <c r="N41" s="1133"/>
      <c r="O41" s="1146"/>
      <c r="P41" s="3272" t="str">
        <f>A41</f>
        <v>成交单价（元/平方米）</v>
      </c>
      <c r="Q41" s="3272"/>
      <c r="R41" s="3273">
        <f>E41</f>
        <v>0</v>
      </c>
      <c r="S41" s="3273"/>
      <c r="T41" s="3273">
        <f>G41</f>
        <v>0</v>
      </c>
      <c r="U41" s="3273"/>
      <c r="V41" s="3273">
        <f>I41</f>
        <v>0</v>
      </c>
      <c r="W41" s="3273"/>
      <c r="X41" s="758"/>
      <c r="Y41" s="780"/>
      <c r="Z41" s="758"/>
      <c r="AA41" s="758"/>
      <c r="AB41" s="758"/>
      <c r="AC41" s="758"/>
    </row>
    <row r="42" spans="1:29" ht="15.75" thickBot="1">
      <c r="A42" s="486" t="s">
        <v>2667</v>
      </c>
      <c r="B42" s="487"/>
      <c r="C42" s="1415" t="e">
        <f>R43</f>
        <v>#DIV/0!</v>
      </c>
      <c r="D42" s="1416"/>
      <c r="E42" s="1417" t="e">
        <f>R42</f>
        <v>#DIV/0!</v>
      </c>
      <c r="F42" s="1417"/>
      <c r="G42" s="1415" t="e">
        <f>T42</f>
        <v>#DIV/0!</v>
      </c>
      <c r="H42" s="1416"/>
      <c r="I42" s="1417" t="e">
        <f>V42</f>
        <v>#DIV/0!</v>
      </c>
      <c r="J42" s="1416"/>
      <c r="K42" s="783"/>
      <c r="L42" s="1145"/>
      <c r="M42" s="1146"/>
      <c r="N42" s="1133"/>
      <c r="O42" s="1146"/>
      <c r="P42" s="3272" t="str">
        <f>A42</f>
        <v>比较价值（元/平方米）</v>
      </c>
      <c r="Q42" s="3272"/>
      <c r="R42" s="3273" t="e">
        <f>IF(F1="售价",ROUND(PRODUCT(R41,AA7:AA40),0),ROUND(PRODUCT(R41,AA7:AA40),1))</f>
        <v>#DIV/0!</v>
      </c>
      <c r="S42" s="3273"/>
      <c r="T42" s="3273" t="e">
        <f>IF(F1="售价",ROUND(PRODUCT(T41,AB7:AB40),0),ROUND(PRODUCT(T41,AB7:AB40),1))</f>
        <v>#DIV/0!</v>
      </c>
      <c r="U42" s="3273"/>
      <c r="V42" s="3273" t="e">
        <f>IF(F1="售价",ROUND(PRODUCT(V41,AC7:AC40),0),ROUND(PRODUCT(V41,AC7:AC40),1))</f>
        <v>#DIV/0!</v>
      </c>
      <c r="W42" s="3273"/>
      <c r="X42" s="758"/>
      <c r="Y42" s="758"/>
      <c r="Z42" s="758"/>
      <c r="AA42" s="758"/>
      <c r="AB42" s="758"/>
      <c r="AC42" s="758"/>
    </row>
    <row r="43" spans="1:29" ht="15.75" thickBot="1">
      <c r="A43" s="492" t="s">
        <v>2668</v>
      </c>
      <c r="B43" s="493"/>
      <c r="C43" s="1419" t="e">
        <f>R43</f>
        <v>#DIV/0!</v>
      </c>
      <c r="D43" s="1419"/>
      <c r="E43" s="1419"/>
      <c r="F43" s="1419"/>
      <c r="G43" s="1419"/>
      <c r="H43" s="1419"/>
      <c r="I43" s="1419"/>
      <c r="J43" s="1419"/>
      <c r="K43" s="784"/>
      <c r="L43" s="1145"/>
      <c r="M43" s="1146"/>
      <c r="N43" s="1146"/>
      <c r="O43" s="1146"/>
      <c r="P43" s="3274" t="str">
        <f>A43</f>
        <v>估价对象XX用房的比较价值（楼面单价，元/平方米）</v>
      </c>
      <c r="Q43" s="3275"/>
      <c r="R43" s="3276" t="e">
        <f>IF(F1="售价",ROUND(AVERAGE(R42:V42),0),ROUND(AVERAGE(R42:V42),1))</f>
        <v>#DIV/0!</v>
      </c>
      <c r="S43" s="3276"/>
      <c r="T43" s="3276"/>
      <c r="U43" s="3276"/>
      <c r="V43" s="3276"/>
      <c r="W43" s="3276"/>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3"/>
      <c r="Q51" s="504"/>
    </row>
    <row r="52" spans="1:17" s="508" customFormat="1" ht="15">
      <c r="A52" s="505" t="s">
        <v>2546</v>
      </c>
      <c r="B52" s="506"/>
      <c r="C52" s="1576" t="str">
        <f>YEAR(C7)&amp;"-"&amp;MONTH(C7)</f>
        <v>2018-4</v>
      </c>
      <c r="D52" s="1577">
        <f>EDATE(C52,-1)</f>
        <v>43160</v>
      </c>
      <c r="E52" s="1577">
        <f t="shared" ref="E52:O52" si="16">EDATE(D52,-1)</f>
        <v>43132</v>
      </c>
      <c r="F52" s="1577">
        <f t="shared" si="16"/>
        <v>43101</v>
      </c>
      <c r="G52" s="1577">
        <f t="shared" si="16"/>
        <v>43070</v>
      </c>
      <c r="H52" s="1577">
        <f t="shared" si="16"/>
        <v>43040</v>
      </c>
      <c r="I52" s="1577">
        <f t="shared" si="16"/>
        <v>43009</v>
      </c>
      <c r="J52" s="1577">
        <f t="shared" si="16"/>
        <v>42979</v>
      </c>
      <c r="K52" s="1577">
        <f t="shared" si="16"/>
        <v>42948</v>
      </c>
      <c r="L52" s="1577">
        <f t="shared" si="16"/>
        <v>42917</v>
      </c>
      <c r="M52" s="1577">
        <f t="shared" si="16"/>
        <v>42887</v>
      </c>
      <c r="N52" s="1577">
        <f t="shared" si="16"/>
        <v>42856</v>
      </c>
      <c r="O52" s="1577">
        <f t="shared" si="16"/>
        <v>42826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59" t="s">
        <v>2673</v>
      </c>
      <c r="D76" s="659" t="s">
        <v>2674</v>
      </c>
      <c r="E76" s="659" t="s">
        <v>2675</v>
      </c>
      <c r="F76" s="659" t="s">
        <v>2676</v>
      </c>
      <c r="G76" s="659"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2704</v>
      </c>
      <c r="C106" s="578" t="s">
        <v>2595</v>
      </c>
      <c r="D106" s="578" t="s">
        <v>2596</v>
      </c>
      <c r="E106" s="578" t="s">
        <v>2597</v>
      </c>
      <c r="F106" s="578" t="s">
        <v>2598</v>
      </c>
      <c r="G106" s="578" t="s">
        <v>2599</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中信信托有限责任公司：</v>
      </c>
    </row>
    <row r="4" spans="1:1" ht="18">
      <c r="A4" s="1950" t="str">
        <f>"受贵公司委托，我公司对"&amp;项目基本情况!S1&amp;"进行了预评估。"</f>
        <v>受贵公司委托，我公司对湖北省武汉市房地产抵押价值进行了预评估。</v>
      </c>
    </row>
    <row r="5" spans="1:1" ht="18.75">
      <c r="A5" s="1951" t="s">
        <v>1611</v>
      </c>
    </row>
    <row r="6" spans="1:1" ht="18.75">
      <c r="A6" s="1952" t="s">
        <v>1612</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估价对象为湖北省武汉市房地产，为武汉统建所有。根据，估价对象（分摊）出让国有建设用地使用权面积为4361.28平方米，建筑面积为13306.87平方米。</v>
      </c>
    </row>
    <row r="8" spans="1:1" ht="57.75">
      <c r="A8" s="1953" t="s">
        <v>1613</v>
      </c>
    </row>
    <row r="9" spans="1:1" ht="18.75">
      <c r="A9" s="1952" t="s">
        <v>1614</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估价对象为湖北省武汉市房地产,属武汉统建开发建设的商业项目，该项目尚在开发建设中。根据，估价对象（分摊）出让国有建设用地使用权面积为4361.28平方米，规划建筑面积为13306.87平方米。</v>
      </c>
    </row>
    <row r="11" spans="1:1" ht="76.5">
      <c r="A11" s="1953" t="s">
        <v>1615</v>
      </c>
    </row>
    <row r="12" spans="1:1" ht="18.75">
      <c r="A12" s="1951" t="s">
        <v>1616</v>
      </c>
    </row>
    <row r="13" spans="1:1" ht="38.25" customHeight="1">
      <c r="A13" s="1954" t="str">
        <f>IF(项目基本情况!B8="抵押",IF(项目基本情况!B5=项目基本情况!B6,定义!C51,定义!B51),定义!D51)</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2018年4月19日（评估专业人员实地查勘之日）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19日，估价对象规划用途为商业，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本次评估采用的主估价方法为收益法和比较法。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4"/>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0" t="e">
        <f ca="1">IF(C2="——",IF(B37="元/平方米",ROUND(C39*D3/10000,0),ROUND(F3*C39/10000,0)),IF(B37="元/平方米",ROUND(C39*D3/10000,0),ROUND(F3*C39/10000,0))-D2)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2643</v>
      </c>
      <c r="B4" s="402"/>
      <c r="C4" s="3250" t="s">
        <v>2644</v>
      </c>
      <c r="D4" s="3251"/>
      <c r="E4" s="3252" t="s">
        <v>2645</v>
      </c>
      <c r="F4" s="3253"/>
      <c r="G4" s="3250" t="s">
        <v>2646</v>
      </c>
      <c r="H4" s="3251"/>
      <c r="I4" s="3250" t="s">
        <v>2647</v>
      </c>
      <c r="J4" s="3251"/>
      <c r="K4" s="610" t="s">
        <v>2648</v>
      </c>
      <c r="L4" s="1132"/>
      <c r="M4" s="1133"/>
      <c r="N4" s="1133"/>
      <c r="O4" s="1133"/>
      <c r="P4" s="3254" t="s">
        <v>2649</v>
      </c>
      <c r="Q4" s="3255"/>
      <c r="R4" s="3236" t="s">
        <v>2645</v>
      </c>
      <c r="S4" s="3237"/>
      <c r="T4" s="3236" t="s">
        <v>2646</v>
      </c>
      <c r="U4" s="3237"/>
      <c r="V4" s="3233" t="s">
        <v>2647</v>
      </c>
      <c r="W4" s="3233"/>
      <c r="X4" s="1815"/>
      <c r="Y4" s="3236" t="s">
        <v>2649</v>
      </c>
      <c r="Z4" s="3237"/>
      <c r="AA4" s="3230" t="s">
        <v>2645</v>
      </c>
      <c r="AB4" s="3231" t="s">
        <v>2646</v>
      </c>
      <c r="AC4" s="3230" t="s">
        <v>2647</v>
      </c>
    </row>
    <row r="5" spans="1:29" ht="15">
      <c r="A5" s="404"/>
      <c r="B5" s="405"/>
      <c r="C5" s="3305" t="s">
        <v>2540</v>
      </c>
      <c r="D5" s="3243"/>
      <c r="E5" s="3304" t="s">
        <v>2541</v>
      </c>
      <c r="F5" s="3241"/>
      <c r="G5" s="3305" t="s">
        <v>2542</v>
      </c>
      <c r="H5" s="3243"/>
      <c r="I5" s="3305" t="s">
        <v>2543</v>
      </c>
      <c r="J5" s="3243"/>
      <c r="K5" s="610"/>
      <c r="L5" s="1132"/>
      <c r="M5" s="1133"/>
      <c r="N5" s="1133"/>
      <c r="O5" s="1133"/>
      <c r="P5" s="3256"/>
      <c r="Q5" s="3257"/>
      <c r="R5" s="3238"/>
      <c r="S5" s="3239"/>
      <c r="T5" s="3238"/>
      <c r="U5" s="3239"/>
      <c r="V5" s="3233"/>
      <c r="W5" s="3233"/>
      <c r="X5" s="1815"/>
      <c r="Y5" s="3238"/>
      <c r="Z5" s="3239"/>
      <c r="AA5" s="3231"/>
      <c r="AB5" s="3231"/>
      <c r="AC5" s="3231"/>
    </row>
    <row r="6" spans="1:29" ht="15.75" thickBot="1">
      <c r="A6" s="406"/>
      <c r="B6" s="407"/>
      <c r="C6" s="3244" t="s">
        <v>2544</v>
      </c>
      <c r="D6" s="3245"/>
      <c r="E6" s="3306" t="s">
        <v>2544</v>
      </c>
      <c r="F6" s="3247"/>
      <c r="G6" s="3244" t="s">
        <v>2544</v>
      </c>
      <c r="H6" s="3245"/>
      <c r="I6" s="3244" t="s">
        <v>2544</v>
      </c>
      <c r="J6" s="3245"/>
      <c r="K6" s="610" t="s">
        <v>2545</v>
      </c>
      <c r="L6" s="1132"/>
      <c r="M6" s="1133"/>
      <c r="N6" s="1133"/>
      <c r="O6" s="1133"/>
      <c r="P6" s="3258"/>
      <c r="Q6" s="3259"/>
      <c r="R6" s="3238"/>
      <c r="S6" s="3239"/>
      <c r="T6" s="3260"/>
      <c r="U6" s="3261"/>
      <c r="V6" s="3233"/>
      <c r="W6" s="3233"/>
      <c r="X6" s="1815"/>
      <c r="Y6" s="3260"/>
      <c r="Z6" s="3261"/>
      <c r="AA6" s="3232"/>
      <c r="AB6" s="3232"/>
      <c r="AC6" s="3232"/>
    </row>
    <row r="7" spans="1:29" s="117" customFormat="1" ht="15.75" thickBot="1">
      <c r="A7" s="408" t="s">
        <v>2546</v>
      </c>
      <c r="B7" s="409"/>
      <c r="C7" s="410">
        <f>'数据-取费表'!B2</f>
        <v>43209</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34" t="s">
        <v>2547</v>
      </c>
      <c r="Q7" s="3262"/>
      <c r="R7" s="769" t="s">
        <v>17</v>
      </c>
      <c r="S7" s="770">
        <f t="shared" ref="S7:S14" si="0">F7</f>
        <v>0</v>
      </c>
      <c r="T7" s="769" t="s">
        <v>17</v>
      </c>
      <c r="U7" s="770">
        <f t="shared" ref="U7:U14" si="1">H7</f>
        <v>0</v>
      </c>
      <c r="V7" s="769" t="s">
        <v>17</v>
      </c>
      <c r="W7" s="770">
        <f t="shared" ref="W7:W14" si="2">J7</f>
        <v>0</v>
      </c>
      <c r="X7" s="771"/>
      <c r="Y7" s="3234" t="s">
        <v>2547</v>
      </c>
      <c r="Z7" s="3235"/>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34" t="s">
        <v>2550</v>
      </c>
      <c r="Q8" s="3235"/>
      <c r="R8" s="769" t="s">
        <v>17</v>
      </c>
      <c r="S8" s="770">
        <f t="shared" si="0"/>
        <v>0</v>
      </c>
      <c r="T8" s="769" t="s">
        <v>17</v>
      </c>
      <c r="U8" s="770">
        <f t="shared" si="1"/>
        <v>0</v>
      </c>
      <c r="V8" s="769" t="s">
        <v>17</v>
      </c>
      <c r="W8" s="770">
        <f t="shared" si="2"/>
        <v>0</v>
      </c>
      <c r="X8" s="771"/>
      <c r="Y8" s="3234" t="s">
        <v>2550</v>
      </c>
      <c r="Z8" s="3235"/>
      <c r="AA8" s="772" t="e">
        <f t="shared" ref="AA8:AA36" si="3">D8/F8</f>
        <v>#DIV/0!</v>
      </c>
      <c r="AB8" s="772" t="e">
        <f t="shared" ref="AB8:AB36" si="4">D8/H8</f>
        <v>#DIV/0!</v>
      </c>
      <c r="AC8" s="772" t="e">
        <f t="shared" ref="AC8:AC36" si="5">D8/J8</f>
        <v>#DIV/0!</v>
      </c>
    </row>
    <row r="9" spans="1:29" s="117" customFormat="1">
      <c r="A9" s="68" t="s">
        <v>2551</v>
      </c>
      <c r="B9" s="639"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72" t="s">
        <v>2553</v>
      </c>
      <c r="Q9" s="1797" t="str">
        <f t="shared" ref="Q9:Q14" si="6">B9</f>
        <v>用途</v>
      </c>
      <c r="R9" s="769" t="s">
        <v>17</v>
      </c>
      <c r="S9" s="770">
        <f t="shared" si="0"/>
        <v>100</v>
      </c>
      <c r="T9" s="769" t="s">
        <v>17</v>
      </c>
      <c r="U9" s="770">
        <f t="shared" si="1"/>
        <v>100</v>
      </c>
      <c r="V9" s="769" t="s">
        <v>17</v>
      </c>
      <c r="W9" s="770">
        <f t="shared" si="2"/>
        <v>100</v>
      </c>
      <c r="X9" s="771"/>
      <c r="Y9" s="3107" t="s">
        <v>2554</v>
      </c>
      <c r="Z9" s="55" t="str">
        <f t="shared" ref="Z9:Z14" si="7">Q9</f>
        <v>用途</v>
      </c>
      <c r="AA9" s="772">
        <f t="shared" si="3"/>
        <v>1</v>
      </c>
      <c r="AB9" s="772">
        <f t="shared" si="4"/>
        <v>1</v>
      </c>
      <c r="AC9" s="772">
        <f t="shared" si="5"/>
        <v>1</v>
      </c>
    </row>
    <row r="10" spans="1:29" s="427" customFormat="1" ht="27">
      <c r="A10" s="640"/>
      <c r="B10" s="641"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72"/>
      <c r="Q10" s="1797" t="str">
        <f t="shared" si="6"/>
        <v>土地使用年限（年）</v>
      </c>
      <c r="R10" s="769" t="s">
        <v>17</v>
      </c>
      <c r="S10" s="770">
        <f t="shared" si="0"/>
        <v>100</v>
      </c>
      <c r="T10" s="769" t="s">
        <v>17</v>
      </c>
      <c r="U10" s="770">
        <f t="shared" si="1"/>
        <v>100</v>
      </c>
      <c r="V10" s="769" t="s">
        <v>17</v>
      </c>
      <c r="W10" s="770">
        <f t="shared" si="2"/>
        <v>100</v>
      </c>
      <c r="X10" s="771"/>
      <c r="Y10" s="3107"/>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72"/>
      <c r="Q11" s="1797">
        <f t="shared" si="6"/>
        <v>111</v>
      </c>
      <c r="R11" s="769" t="s">
        <v>17</v>
      </c>
      <c r="S11" s="770">
        <f t="shared" si="0"/>
        <v>100</v>
      </c>
      <c r="T11" s="769" t="s">
        <v>17</v>
      </c>
      <c r="U11" s="770">
        <f t="shared" si="1"/>
        <v>100</v>
      </c>
      <c r="V11" s="769" t="s">
        <v>17</v>
      </c>
      <c r="W11" s="770">
        <f t="shared" si="2"/>
        <v>100</v>
      </c>
      <c r="X11" s="771"/>
      <c r="Y11" s="3107"/>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72"/>
      <c r="Q12" s="1797">
        <f t="shared" si="6"/>
        <v>111</v>
      </c>
      <c r="R12" s="769" t="s">
        <v>17</v>
      </c>
      <c r="S12" s="770">
        <f t="shared" si="0"/>
        <v>100</v>
      </c>
      <c r="T12" s="769" t="s">
        <v>17</v>
      </c>
      <c r="U12" s="770">
        <f t="shared" si="1"/>
        <v>100</v>
      </c>
      <c r="V12" s="769" t="s">
        <v>17</v>
      </c>
      <c r="W12" s="770">
        <f t="shared" si="2"/>
        <v>100</v>
      </c>
      <c r="X12" s="771"/>
      <c r="Y12" s="3107"/>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72"/>
      <c r="Q13" s="1797">
        <f t="shared" si="6"/>
        <v>111</v>
      </c>
      <c r="R13" s="769" t="s">
        <v>17</v>
      </c>
      <c r="S13" s="770">
        <f t="shared" si="0"/>
        <v>100</v>
      </c>
      <c r="T13" s="769" t="s">
        <v>17</v>
      </c>
      <c r="U13" s="770">
        <f t="shared" si="1"/>
        <v>100</v>
      </c>
      <c r="V13" s="769" t="s">
        <v>17</v>
      </c>
      <c r="W13" s="770">
        <f t="shared" si="2"/>
        <v>100</v>
      </c>
      <c r="X13" s="771"/>
      <c r="Y13" s="3107"/>
      <c r="Z13" s="55">
        <f t="shared" si="7"/>
        <v>111</v>
      </c>
      <c r="AA13" s="772">
        <f t="shared" si="3"/>
        <v>1</v>
      </c>
      <c r="AB13" s="772">
        <f t="shared" si="4"/>
        <v>1</v>
      </c>
      <c r="AC13" s="772">
        <f t="shared" si="5"/>
        <v>1</v>
      </c>
    </row>
    <row r="14" spans="1:29" ht="85.5">
      <c r="A14" s="401" t="s">
        <v>2557</v>
      </c>
      <c r="B14" s="628"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65" t="s">
        <v>2558</v>
      </c>
      <c r="Q14" s="1812" t="str">
        <f t="shared" si="6"/>
        <v>交通便捷度</v>
      </c>
      <c r="R14" s="773" t="s">
        <v>17</v>
      </c>
      <c r="S14" s="774">
        <f t="shared" si="0"/>
        <v>100</v>
      </c>
      <c r="T14" s="773" t="s">
        <v>17</v>
      </c>
      <c r="U14" s="774">
        <f t="shared" si="1"/>
        <v>100</v>
      </c>
      <c r="V14" s="773" t="s">
        <v>17</v>
      </c>
      <c r="W14" s="774">
        <f t="shared" si="2"/>
        <v>100</v>
      </c>
      <c r="X14" s="1815"/>
      <c r="Y14" s="3265" t="s">
        <v>2558</v>
      </c>
      <c r="Z14" s="1816" t="str">
        <f t="shared" si="7"/>
        <v>交通便捷度</v>
      </c>
      <c r="AA14" s="1813">
        <f t="shared" si="3"/>
        <v>1</v>
      </c>
      <c r="AB14" s="1813">
        <f t="shared" si="4"/>
        <v>1</v>
      </c>
      <c r="AC14" s="1813">
        <f t="shared" si="5"/>
        <v>1</v>
      </c>
    </row>
    <row r="15" spans="1:29" ht="15">
      <c r="A15" s="404"/>
      <c r="B15" s="646"/>
      <c r="C15" s="447"/>
      <c r="D15" s="448"/>
      <c r="E15" s="447"/>
      <c r="F15" s="449"/>
      <c r="G15" s="447"/>
      <c r="H15" s="450"/>
      <c r="I15" s="447"/>
      <c r="J15" s="448"/>
      <c r="K15" s="615"/>
      <c r="L15" s="1142"/>
      <c r="M15" s="1133"/>
      <c r="N15" s="1133"/>
      <c r="O15" s="1133"/>
      <c r="P15" s="3266"/>
      <c r="Q15" s="1812"/>
      <c r="R15" s="773"/>
      <c r="S15" s="774"/>
      <c r="T15" s="773"/>
      <c r="U15" s="774"/>
      <c r="V15" s="773"/>
      <c r="W15" s="774"/>
      <c r="X15" s="1815"/>
      <c r="Y15" s="3266"/>
      <c r="Z15" s="1816"/>
      <c r="AA15" s="1813">
        <v>1</v>
      </c>
      <c r="AB15" s="1813">
        <v>1</v>
      </c>
      <c r="AC15" s="1813">
        <v>1</v>
      </c>
    </row>
    <row r="16" spans="1:29" ht="42.75">
      <c r="A16" s="404"/>
      <c r="B16" s="630"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66"/>
      <c r="Q16" s="1812" t="str">
        <f>B16</f>
        <v>公共配套设施</v>
      </c>
      <c r="R16" s="773" t="s">
        <v>17</v>
      </c>
      <c r="S16" s="774">
        <f>F16</f>
        <v>100</v>
      </c>
      <c r="T16" s="773" t="s">
        <v>17</v>
      </c>
      <c r="U16" s="774">
        <f>H16</f>
        <v>100</v>
      </c>
      <c r="V16" s="773" t="s">
        <v>17</v>
      </c>
      <c r="W16" s="774">
        <f>J16</f>
        <v>100</v>
      </c>
      <c r="X16" s="1815"/>
      <c r="Y16" s="3266"/>
      <c r="Z16" s="1816" t="str">
        <f>Q16</f>
        <v>公共配套设施</v>
      </c>
      <c r="AA16" s="1813">
        <f t="shared" si="3"/>
        <v>1</v>
      </c>
      <c r="AB16" s="1813">
        <f t="shared" si="4"/>
        <v>1</v>
      </c>
      <c r="AC16" s="1813">
        <f t="shared" si="5"/>
        <v>1</v>
      </c>
    </row>
    <row r="17" spans="1:29" ht="15">
      <c r="A17" s="404"/>
      <c r="B17" s="631"/>
      <c r="C17" s="2608"/>
      <c r="D17" s="448"/>
      <c r="E17" s="447"/>
      <c r="F17" s="449"/>
      <c r="G17" s="447"/>
      <c r="H17" s="448"/>
      <c r="I17" s="447"/>
      <c r="J17" s="448"/>
      <c r="K17" s="615"/>
      <c r="L17" s="1142"/>
      <c r="M17" s="1133"/>
      <c r="N17" s="1133"/>
      <c r="O17" s="1133"/>
      <c r="P17" s="3266"/>
      <c r="Q17" s="1812"/>
      <c r="R17" s="773"/>
      <c r="S17" s="774"/>
      <c r="T17" s="773"/>
      <c r="U17" s="774"/>
      <c r="V17" s="773"/>
      <c r="W17" s="774"/>
      <c r="X17" s="1815"/>
      <c r="Y17" s="3266"/>
      <c r="Z17" s="1816"/>
      <c r="AA17" s="1813">
        <v>1</v>
      </c>
      <c r="AB17" s="1813">
        <v>1</v>
      </c>
      <c r="AC17" s="1813">
        <v>1</v>
      </c>
    </row>
    <row r="18" spans="1:29" ht="28.5">
      <c r="A18" s="404"/>
      <c r="B18" s="632"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66"/>
      <c r="Q18" s="1812" t="str">
        <f>B18</f>
        <v>基础设施水平</v>
      </c>
      <c r="R18" s="773" t="s">
        <v>17</v>
      </c>
      <c r="S18" s="774">
        <f>F18</f>
        <v>100</v>
      </c>
      <c r="T18" s="773" t="s">
        <v>17</v>
      </c>
      <c r="U18" s="774">
        <f>H18</f>
        <v>100</v>
      </c>
      <c r="V18" s="773" t="s">
        <v>17</v>
      </c>
      <c r="W18" s="774">
        <f>J18</f>
        <v>100</v>
      </c>
      <c r="X18" s="1815"/>
      <c r="Y18" s="3266"/>
      <c r="Z18" s="1816" t="str">
        <f>Q18</f>
        <v>基础设施水平</v>
      </c>
      <c r="AA18" s="1813">
        <f t="shared" ref="AA18" si="8">D18/F18</f>
        <v>1</v>
      </c>
      <c r="AB18" s="1813">
        <f t="shared" ref="AB18" si="9">D18/H18</f>
        <v>1</v>
      </c>
      <c r="AC18" s="1813">
        <f t="shared" ref="AC18" si="10">D18/J18</f>
        <v>1</v>
      </c>
    </row>
    <row r="19" spans="1:29" ht="15">
      <c r="A19" s="404"/>
      <c r="B19" s="632"/>
      <c r="C19" s="2608"/>
      <c r="D19" s="450"/>
      <c r="E19" s="2608"/>
      <c r="F19" s="453"/>
      <c r="G19" s="2608"/>
      <c r="H19" s="448"/>
      <c r="I19" s="447"/>
      <c r="J19" s="448"/>
      <c r="K19" s="1385"/>
      <c r="L19" s="1142"/>
      <c r="M19" s="1133"/>
      <c r="N19" s="1133"/>
      <c r="O19" s="1133"/>
      <c r="P19" s="3266"/>
      <c r="Q19" s="1812"/>
      <c r="R19" s="773"/>
      <c r="S19" s="774"/>
      <c r="T19" s="773"/>
      <c r="U19" s="774"/>
      <c r="V19" s="773"/>
      <c r="W19" s="774"/>
      <c r="X19" s="1815"/>
      <c r="Y19" s="3266"/>
      <c r="Z19" s="1816"/>
      <c r="AA19" s="1813">
        <v>1</v>
      </c>
      <c r="AB19" s="1813">
        <v>1</v>
      </c>
      <c r="AC19" s="1813">
        <v>1</v>
      </c>
    </row>
    <row r="20" spans="1:29" ht="57">
      <c r="A20" s="404"/>
      <c r="B20" s="630"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66"/>
      <c r="Q20" s="1812" t="str">
        <f>B20</f>
        <v>自然及人文环境</v>
      </c>
      <c r="R20" s="773" t="s">
        <v>17</v>
      </c>
      <c r="S20" s="774">
        <f>F20</f>
        <v>100</v>
      </c>
      <c r="T20" s="773" t="s">
        <v>17</v>
      </c>
      <c r="U20" s="774">
        <f>H20</f>
        <v>100</v>
      </c>
      <c r="V20" s="773" t="s">
        <v>17</v>
      </c>
      <c r="W20" s="774">
        <f>J20</f>
        <v>100</v>
      </c>
      <c r="X20" s="1815"/>
      <c r="Y20" s="3266"/>
      <c r="Z20" s="1816" t="str">
        <f>Q20</f>
        <v>自然及人文环境</v>
      </c>
      <c r="AA20" s="1813">
        <f t="shared" si="3"/>
        <v>1</v>
      </c>
      <c r="AB20" s="1813">
        <f t="shared" si="4"/>
        <v>1</v>
      </c>
      <c r="AC20" s="1813">
        <f t="shared" si="5"/>
        <v>1</v>
      </c>
    </row>
    <row r="21" spans="1:29" ht="15">
      <c r="A21" s="404"/>
      <c r="B21" s="631"/>
      <c r="C21" s="447"/>
      <c r="D21" s="448"/>
      <c r="E21" s="447"/>
      <c r="F21" s="449"/>
      <c r="G21" s="447"/>
      <c r="H21" s="448"/>
      <c r="I21" s="447"/>
      <c r="J21" s="448"/>
      <c r="K21" s="615"/>
      <c r="L21" s="1142"/>
      <c r="M21" s="1133"/>
      <c r="N21" s="1133"/>
      <c r="O21" s="1133"/>
      <c r="P21" s="3266"/>
      <c r="Q21" s="1812"/>
      <c r="R21" s="773"/>
      <c r="S21" s="774"/>
      <c r="T21" s="773"/>
      <c r="U21" s="774"/>
      <c r="V21" s="773"/>
      <c r="W21" s="774"/>
      <c r="X21" s="1815"/>
      <c r="Y21" s="3266"/>
      <c r="Z21" s="1816"/>
      <c r="AA21" s="1813">
        <v>1</v>
      </c>
      <c r="AB21" s="1813">
        <v>1</v>
      </c>
      <c r="AC21" s="1813">
        <v>1</v>
      </c>
    </row>
    <row r="22" spans="1:29" ht="15">
      <c r="A22" s="404"/>
      <c r="B22" s="630"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66"/>
      <c r="Q22" s="1812" t="str">
        <f>B22</f>
        <v>楼层</v>
      </c>
      <c r="R22" s="773" t="s">
        <v>17</v>
      </c>
      <c r="S22" s="774">
        <f>F22</f>
        <v>100</v>
      </c>
      <c r="T22" s="773" t="s">
        <v>17</v>
      </c>
      <c r="U22" s="774">
        <f>H22</f>
        <v>100</v>
      </c>
      <c r="V22" s="773" t="s">
        <v>17</v>
      </c>
      <c r="W22" s="774">
        <f>J22</f>
        <v>100</v>
      </c>
      <c r="X22" s="1815"/>
      <c r="Y22" s="3266"/>
      <c r="Z22" s="1816" t="str">
        <f>Q22</f>
        <v>楼层</v>
      </c>
      <c r="AA22" s="1813">
        <f t="shared" si="3"/>
        <v>1</v>
      </c>
      <c r="AB22" s="1813">
        <f t="shared" si="4"/>
        <v>1</v>
      </c>
      <c r="AC22" s="1813">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66"/>
      <c r="Q23" s="1812">
        <f>B23</f>
        <v>111</v>
      </c>
      <c r="R23" s="773" t="s">
        <v>17</v>
      </c>
      <c r="S23" s="774">
        <f>F23</f>
        <v>100</v>
      </c>
      <c r="T23" s="773" t="s">
        <v>17</v>
      </c>
      <c r="U23" s="774">
        <f>H23</f>
        <v>100</v>
      </c>
      <c r="V23" s="773" t="s">
        <v>17</v>
      </c>
      <c r="W23" s="774">
        <f>J23</f>
        <v>100</v>
      </c>
      <c r="X23" s="1815"/>
      <c r="Y23" s="3266"/>
      <c r="Z23" s="1816">
        <f>Q23</f>
        <v>111</v>
      </c>
      <c r="AA23" s="1813">
        <f t="shared" si="3"/>
        <v>1</v>
      </c>
      <c r="AB23" s="1813">
        <f t="shared" si="4"/>
        <v>1</v>
      </c>
      <c r="AC23" s="1813">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66"/>
      <c r="Q24" s="1812">
        <f t="shared" ref="Q24:Q36" si="11">B24</f>
        <v>111</v>
      </c>
      <c r="R24" s="773" t="s">
        <v>17</v>
      </c>
      <c r="S24" s="774">
        <f>F24</f>
        <v>100</v>
      </c>
      <c r="T24" s="773" t="s">
        <v>17</v>
      </c>
      <c r="U24" s="774">
        <f>H24</f>
        <v>100</v>
      </c>
      <c r="V24" s="773" t="s">
        <v>17</v>
      </c>
      <c r="W24" s="774">
        <f>J24</f>
        <v>100</v>
      </c>
      <c r="X24" s="1815"/>
      <c r="Y24" s="3266"/>
      <c r="Z24" s="1816">
        <f>Q24</f>
        <v>111</v>
      </c>
      <c r="AA24" s="1813">
        <f t="shared" si="3"/>
        <v>1</v>
      </c>
      <c r="AB24" s="1813">
        <f t="shared" si="4"/>
        <v>1</v>
      </c>
      <c r="AC24" s="1813">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266"/>
      <c r="Q25" s="1797">
        <f t="shared" si="11"/>
        <v>111</v>
      </c>
      <c r="R25" s="769" t="s">
        <v>17</v>
      </c>
      <c r="S25" s="770">
        <f>F25</f>
        <v>100</v>
      </c>
      <c r="T25" s="769" t="s">
        <v>17</v>
      </c>
      <c r="U25" s="770">
        <f>H25</f>
        <v>100</v>
      </c>
      <c r="V25" s="769" t="s">
        <v>17</v>
      </c>
      <c r="W25" s="770">
        <f>J25</f>
        <v>100</v>
      </c>
      <c r="X25" s="771"/>
      <c r="Y25" s="3266"/>
      <c r="Z25" s="55">
        <f>Q25</f>
        <v>111</v>
      </c>
      <c r="AA25" s="1813">
        <f>D25/F25</f>
        <v>1</v>
      </c>
      <c r="AB25" s="1813">
        <f>D25/H25</f>
        <v>1</v>
      </c>
      <c r="AC25" s="1813">
        <f>D25/J25</f>
        <v>1</v>
      </c>
    </row>
    <row r="26" spans="1:29" ht="15">
      <c r="A26" s="651"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322" t="s">
        <v>2563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70" t="s">
        <v>2563</v>
      </c>
      <c r="Z26" s="1816" t="str">
        <f t="shared" ref="Z26:Z36" si="15">Q26</f>
        <v>配套类型</v>
      </c>
      <c r="AA26" s="1813">
        <f t="shared" si="3"/>
        <v>1</v>
      </c>
      <c r="AB26" s="1813">
        <f t="shared" si="4"/>
        <v>1</v>
      </c>
      <c r="AC26" s="1813">
        <f t="shared" si="5"/>
        <v>1</v>
      </c>
    </row>
    <row r="27" spans="1:29" s="471" customFormat="1" ht="15">
      <c r="A27" s="652"/>
      <c r="B27" s="653" t="s">
        <v>2711</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270"/>
      <c r="Q27" s="775" t="str">
        <f t="shared" si="11"/>
        <v>项目停车位配比</v>
      </c>
      <c r="R27" s="776" t="s">
        <v>17</v>
      </c>
      <c r="S27" s="777">
        <f t="shared" si="12"/>
        <v>100</v>
      </c>
      <c r="T27" s="776" t="s">
        <v>17</v>
      </c>
      <c r="U27" s="777">
        <f t="shared" si="13"/>
        <v>100</v>
      </c>
      <c r="V27" s="776" t="s">
        <v>17</v>
      </c>
      <c r="W27" s="777">
        <f t="shared" si="14"/>
        <v>100</v>
      </c>
      <c r="X27" s="778"/>
      <c r="Y27" s="3270"/>
      <c r="Z27" s="779" t="str">
        <f t="shared" si="15"/>
        <v>项目停车位配比</v>
      </c>
      <c r="AA27" s="1813">
        <f t="shared" si="3"/>
        <v>1</v>
      </c>
      <c r="AB27" s="1813">
        <f t="shared" si="4"/>
        <v>1</v>
      </c>
      <c r="AC27" s="1813">
        <f t="shared" si="5"/>
        <v>1</v>
      </c>
    </row>
    <row r="28" spans="1:29" ht="15">
      <c r="A28" s="655"/>
      <c r="B28" s="653"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70"/>
      <c r="Q28" s="1812" t="str">
        <f t="shared" si="11"/>
        <v>公共部分装修</v>
      </c>
      <c r="R28" s="773" t="s">
        <v>17</v>
      </c>
      <c r="S28" s="774">
        <f t="shared" si="12"/>
        <v>100</v>
      </c>
      <c r="T28" s="773" t="s">
        <v>17</v>
      </c>
      <c r="U28" s="774">
        <f t="shared" si="13"/>
        <v>100</v>
      </c>
      <c r="V28" s="773" t="s">
        <v>17</v>
      </c>
      <c r="W28" s="774">
        <f t="shared" si="14"/>
        <v>100</v>
      </c>
      <c r="X28" s="1815"/>
      <c r="Y28" s="3270"/>
      <c r="Z28" s="1816" t="str">
        <f t="shared" si="15"/>
        <v>公共部分装修</v>
      </c>
      <c r="AA28" s="1813">
        <f t="shared" si="3"/>
        <v>1</v>
      </c>
      <c r="AB28" s="1813">
        <f t="shared" si="4"/>
        <v>1</v>
      </c>
      <c r="AC28" s="1813">
        <f t="shared" si="5"/>
        <v>1</v>
      </c>
    </row>
    <row r="29" spans="1:29" ht="15">
      <c r="A29" s="655"/>
      <c r="B29" s="653"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70"/>
      <c r="Q29" s="1812" t="str">
        <f t="shared" si="11"/>
        <v>成新率</v>
      </c>
      <c r="R29" s="773" t="s">
        <v>17</v>
      </c>
      <c r="S29" s="774" t="e">
        <f t="shared" si="12"/>
        <v>#N/A</v>
      </c>
      <c r="T29" s="773" t="s">
        <v>17</v>
      </c>
      <c r="U29" s="774" t="e">
        <f t="shared" si="13"/>
        <v>#N/A</v>
      </c>
      <c r="V29" s="773" t="s">
        <v>17</v>
      </c>
      <c r="W29" s="774" t="e">
        <f t="shared" si="14"/>
        <v>#N/A</v>
      </c>
      <c r="X29" s="1815"/>
      <c r="Y29" s="3270"/>
      <c r="Z29" s="1816" t="str">
        <f t="shared" si="15"/>
        <v>成新率</v>
      </c>
      <c r="AA29" s="1813" t="e">
        <f t="shared" si="3"/>
        <v>#N/A</v>
      </c>
      <c r="AB29" s="1813" t="e">
        <f t="shared" si="4"/>
        <v>#N/A</v>
      </c>
      <c r="AC29" s="1813" t="e">
        <f t="shared" si="5"/>
        <v>#N/A</v>
      </c>
    </row>
    <row r="30" spans="1:29" ht="15">
      <c r="A30" s="655"/>
      <c r="B30" s="653" t="s">
        <v>2714</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270"/>
      <c r="Q30" s="1812" t="str">
        <f t="shared" si="11"/>
        <v>物业等级</v>
      </c>
      <c r="R30" s="773" t="s">
        <v>17</v>
      </c>
      <c r="S30" s="774">
        <f t="shared" si="12"/>
        <v>100</v>
      </c>
      <c r="T30" s="773" t="s">
        <v>17</v>
      </c>
      <c r="U30" s="774">
        <f t="shared" si="13"/>
        <v>100</v>
      </c>
      <c r="V30" s="773" t="s">
        <v>17</v>
      </c>
      <c r="W30" s="774">
        <f t="shared" si="14"/>
        <v>100</v>
      </c>
      <c r="X30" s="1815"/>
      <c r="Y30" s="3270"/>
      <c r="Z30" s="1816" t="str">
        <f t="shared" si="15"/>
        <v>物业等级</v>
      </c>
      <c r="AA30" s="1813">
        <f t="shared" si="3"/>
        <v>1</v>
      </c>
      <c r="AB30" s="1813">
        <f t="shared" si="4"/>
        <v>1</v>
      </c>
      <c r="AC30" s="1813">
        <f t="shared" si="5"/>
        <v>1</v>
      </c>
    </row>
    <row r="31" spans="1:29" s="117" customFormat="1" ht="15">
      <c r="A31" s="657"/>
      <c r="B31" s="653"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70"/>
      <c r="Q31" s="1797" t="str">
        <f t="shared" si="11"/>
        <v>停车位面积</v>
      </c>
      <c r="R31" s="769" t="s">
        <v>17</v>
      </c>
      <c r="S31" s="770" t="e">
        <f t="shared" si="12"/>
        <v>#N/A</v>
      </c>
      <c r="T31" s="769" t="s">
        <v>17</v>
      </c>
      <c r="U31" s="770" t="e">
        <f t="shared" si="13"/>
        <v>#N/A</v>
      </c>
      <c r="V31" s="769" t="s">
        <v>17</v>
      </c>
      <c r="W31" s="770" t="e">
        <f t="shared" si="14"/>
        <v>#N/A</v>
      </c>
      <c r="X31" s="771"/>
      <c r="Y31" s="3270"/>
      <c r="Z31" s="55" t="str">
        <f t="shared" si="15"/>
        <v>停车位面积</v>
      </c>
      <c r="AA31" s="772" t="e">
        <f t="shared" si="3"/>
        <v>#N/A</v>
      </c>
      <c r="AB31" s="772" t="e">
        <f t="shared" si="4"/>
        <v>#N/A</v>
      </c>
      <c r="AC31" s="772" t="e">
        <f t="shared" si="5"/>
        <v>#N/A</v>
      </c>
    </row>
    <row r="32" spans="1:29" ht="15">
      <c r="A32" s="655"/>
      <c r="B32" s="653"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70" t="s">
        <v>2563</v>
      </c>
      <c r="Q32" s="1812" t="str">
        <f t="shared" si="11"/>
        <v>车位类型</v>
      </c>
      <c r="R32" s="773" t="s">
        <v>17</v>
      </c>
      <c r="S32" s="774">
        <f t="shared" si="12"/>
        <v>100</v>
      </c>
      <c r="T32" s="773" t="s">
        <v>17</v>
      </c>
      <c r="U32" s="774">
        <f t="shared" si="13"/>
        <v>100</v>
      </c>
      <c r="V32" s="773" t="s">
        <v>17</v>
      </c>
      <c r="W32" s="774">
        <f t="shared" si="14"/>
        <v>100</v>
      </c>
      <c r="X32" s="1815"/>
      <c r="Y32" s="3270" t="s">
        <v>2563</v>
      </c>
      <c r="Z32" s="1816" t="str">
        <f t="shared" si="15"/>
        <v>车位类型</v>
      </c>
      <c r="AA32" s="1813">
        <f t="shared" si="3"/>
        <v>1</v>
      </c>
      <c r="AB32" s="1813">
        <f t="shared" si="4"/>
        <v>1</v>
      </c>
      <c r="AC32" s="1813">
        <f t="shared" si="5"/>
        <v>1</v>
      </c>
    </row>
    <row r="33" spans="1:29" ht="15">
      <c r="A33" s="655"/>
      <c r="B33" s="653"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70"/>
      <c r="Q33" s="1812" t="str">
        <f t="shared" si="11"/>
        <v>是否直接入户</v>
      </c>
      <c r="R33" s="773" t="s">
        <v>17</v>
      </c>
      <c r="S33" s="774">
        <f t="shared" si="12"/>
        <v>100</v>
      </c>
      <c r="T33" s="773" t="s">
        <v>17</v>
      </c>
      <c r="U33" s="774">
        <f t="shared" si="13"/>
        <v>100</v>
      </c>
      <c r="V33" s="773" t="s">
        <v>17</v>
      </c>
      <c r="W33" s="774">
        <f t="shared" si="14"/>
        <v>100</v>
      </c>
      <c r="X33" s="1815"/>
      <c r="Y33" s="3270"/>
      <c r="Z33" s="1816" t="str">
        <f t="shared" si="15"/>
        <v>是否直接入户</v>
      </c>
      <c r="AA33" s="1813">
        <f t="shared" si="3"/>
        <v>1</v>
      </c>
      <c r="AB33" s="1813">
        <f t="shared" si="4"/>
        <v>1</v>
      </c>
      <c r="AC33" s="1813">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70"/>
      <c r="Q34" s="1812">
        <f t="shared" si="11"/>
        <v>111</v>
      </c>
      <c r="R34" s="773" t="s">
        <v>17</v>
      </c>
      <c r="S34" s="774">
        <f t="shared" si="12"/>
        <v>100</v>
      </c>
      <c r="T34" s="773" t="s">
        <v>17</v>
      </c>
      <c r="U34" s="774">
        <f t="shared" si="13"/>
        <v>100</v>
      </c>
      <c r="V34" s="773" t="s">
        <v>17</v>
      </c>
      <c r="W34" s="774">
        <f t="shared" si="14"/>
        <v>100</v>
      </c>
      <c r="X34" s="1815"/>
      <c r="Y34" s="3270"/>
      <c r="Z34" s="1816">
        <f t="shared" si="15"/>
        <v>111</v>
      </c>
      <c r="AA34" s="1813">
        <f t="shared" si="3"/>
        <v>1</v>
      </c>
      <c r="AB34" s="1813">
        <f t="shared" si="4"/>
        <v>1</v>
      </c>
      <c r="AC34" s="1813">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70"/>
      <c r="Q35" s="775">
        <f t="shared" si="11"/>
        <v>111</v>
      </c>
      <c r="R35" s="776" t="s">
        <v>17</v>
      </c>
      <c r="S35" s="777">
        <f t="shared" si="12"/>
        <v>100</v>
      </c>
      <c r="T35" s="776" t="s">
        <v>17</v>
      </c>
      <c r="U35" s="777">
        <f t="shared" si="13"/>
        <v>100</v>
      </c>
      <c r="V35" s="776" t="s">
        <v>17</v>
      </c>
      <c r="W35" s="777">
        <f t="shared" si="14"/>
        <v>100</v>
      </c>
      <c r="X35" s="778"/>
      <c r="Y35" s="3270"/>
      <c r="Z35" s="779">
        <f t="shared" si="15"/>
        <v>111</v>
      </c>
      <c r="AA35" s="1813">
        <f t="shared" si="3"/>
        <v>1</v>
      </c>
      <c r="AB35" s="1813">
        <f t="shared" si="4"/>
        <v>1</v>
      </c>
      <c r="AC35" s="1813">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70"/>
      <c r="Q36" s="1812">
        <f t="shared" si="11"/>
        <v>111</v>
      </c>
      <c r="R36" s="773" t="s">
        <v>17</v>
      </c>
      <c r="S36" s="774">
        <f t="shared" si="12"/>
        <v>100</v>
      </c>
      <c r="T36" s="773" t="s">
        <v>17</v>
      </c>
      <c r="U36" s="774">
        <f t="shared" si="13"/>
        <v>100</v>
      </c>
      <c r="V36" s="773" t="s">
        <v>17</v>
      </c>
      <c r="W36" s="774">
        <f t="shared" si="14"/>
        <v>100</v>
      </c>
      <c r="X36" s="1815"/>
      <c r="Y36" s="3270"/>
      <c r="Z36" s="1816">
        <f t="shared" si="15"/>
        <v>111</v>
      </c>
      <c r="AA36" s="1813">
        <f t="shared" si="3"/>
        <v>1</v>
      </c>
      <c r="AB36" s="1813">
        <f t="shared" si="4"/>
        <v>1</v>
      </c>
      <c r="AC36" s="1813">
        <f t="shared" si="5"/>
        <v>1</v>
      </c>
    </row>
    <row r="37" spans="1:29" ht="15">
      <c r="A37" s="479" t="s">
        <v>2718</v>
      </c>
      <c r="B37" s="2695" t="s">
        <v>2719</v>
      </c>
      <c r="C37" s="1409" t="s">
        <v>1</v>
      </c>
      <c r="D37" s="1410"/>
      <c r="E37" s="1411"/>
      <c r="F37" s="1412"/>
      <c r="G37" s="1413"/>
      <c r="H37" s="1414"/>
      <c r="I37" s="1411"/>
      <c r="J37" s="1414"/>
      <c r="K37" s="618"/>
      <c r="L37" s="1145"/>
      <c r="M37" s="1146"/>
      <c r="N37" s="1133"/>
      <c r="O37" s="1146"/>
      <c r="P37" s="3272" t="str">
        <f>A37</f>
        <v>成交单价</v>
      </c>
      <c r="Q37" s="3272"/>
      <c r="R37" s="3273">
        <f>E37</f>
        <v>0</v>
      </c>
      <c r="S37" s="3273"/>
      <c r="T37" s="3273">
        <f>G37</f>
        <v>0</v>
      </c>
      <c r="U37" s="3273"/>
      <c r="V37" s="3273">
        <f>I37</f>
        <v>0</v>
      </c>
      <c r="W37" s="3273"/>
      <c r="X37" s="758"/>
      <c r="Y37" s="780"/>
      <c r="Z37" s="758"/>
      <c r="AA37" s="758"/>
      <c r="AB37" s="758"/>
      <c r="AC37" s="758"/>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272" t="str">
        <f>A38</f>
        <v>比较价值（元/平方米）</v>
      </c>
      <c r="Q38" s="3272"/>
      <c r="R38" s="3273" t="e">
        <f>IF(F1="售价",ROUND(PRODUCT(R37,AA7:AA36),0),ROUND(PRODUCT(R37,AA7:AA36),1))</f>
        <v>#DIV/0!</v>
      </c>
      <c r="S38" s="3273"/>
      <c r="T38" s="3273" t="e">
        <f>IF(F1="售价",ROUND(PRODUCT(T37,AB7:AB36),0),ROUND(PRODUCT(T37,AB7:AB36),1))</f>
        <v>#DIV/0!</v>
      </c>
      <c r="U38" s="3273"/>
      <c r="V38" s="3273" t="e">
        <f>IF(F1="售价",ROUND(PRODUCT(V37,AC7:AC36),0),ROUND(PRODUCT(V37,AC7:AC36),1))</f>
        <v>#DIV/0!</v>
      </c>
      <c r="W38" s="3273"/>
      <c r="X38" s="758"/>
      <c r="Y38" s="758"/>
      <c r="Z38" s="758"/>
      <c r="AA38" s="758"/>
      <c r="AB38" s="758"/>
      <c r="AC38" s="758"/>
    </row>
    <row r="39" spans="1:29" ht="15.75" thickBot="1">
      <c r="A39" s="492" t="s">
        <v>2721</v>
      </c>
      <c r="B39" s="493"/>
      <c r="C39" s="1419" t="e">
        <f>R39</f>
        <v>#DIV/0!</v>
      </c>
      <c r="D39" s="1419"/>
      <c r="E39" s="1419"/>
      <c r="F39" s="1419"/>
      <c r="G39" s="1419"/>
      <c r="H39" s="1419"/>
      <c r="I39" s="1419"/>
      <c r="J39" s="1419"/>
      <c r="K39" s="620"/>
      <c r="L39" s="1145"/>
      <c r="M39" s="1146"/>
      <c r="N39" s="1146"/>
      <c r="O39" s="1146"/>
      <c r="P39" s="3274" t="str">
        <f>A39</f>
        <v>估价对象XX用房的比较价值（楼面单价，元/平方米）</v>
      </c>
      <c r="Q39" s="3275"/>
      <c r="R39" s="3276" t="e">
        <f>IF(F1="售价",ROUND(AVERAGE(R38:V38),0),ROUND(AVERAGE(R38:V38),1))</f>
        <v>#DIV/0!</v>
      </c>
      <c r="S39" s="3276"/>
      <c r="T39" s="3276"/>
      <c r="U39" s="3276"/>
      <c r="V39" s="3276"/>
      <c r="W39" s="3276"/>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6" t="str">
        <f>YEAR(C7)&amp;"-"&amp;MONTH(C7)</f>
        <v>2018-4</v>
      </c>
      <c r="D48" s="1577">
        <f>EDATE(C48,-1)</f>
        <v>43160</v>
      </c>
      <c r="E48" s="1577">
        <f t="shared" ref="E48:O48" si="16">EDATE(D48,-1)</f>
        <v>43132</v>
      </c>
      <c r="F48" s="1577">
        <f t="shared" si="16"/>
        <v>43101</v>
      </c>
      <c r="G48" s="1577">
        <f t="shared" si="16"/>
        <v>43070</v>
      </c>
      <c r="H48" s="1577">
        <f t="shared" si="16"/>
        <v>43040</v>
      </c>
      <c r="I48" s="1577">
        <f t="shared" si="16"/>
        <v>43009</v>
      </c>
      <c r="J48" s="1577">
        <f t="shared" si="16"/>
        <v>42979</v>
      </c>
      <c r="K48" s="1577">
        <f t="shared" si="16"/>
        <v>42948</v>
      </c>
      <c r="L48" s="1577">
        <f t="shared" si="16"/>
        <v>42917</v>
      </c>
      <c r="M48" s="1577">
        <f t="shared" si="16"/>
        <v>42887</v>
      </c>
      <c r="N48" s="1577">
        <f t="shared" si="16"/>
        <v>42856</v>
      </c>
      <c r="O48" s="1577">
        <f t="shared" si="16"/>
        <v>42826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59" t="s">
        <v>2673</v>
      </c>
      <c r="D67" s="659" t="s">
        <v>2674</v>
      </c>
      <c r="E67" s="659" t="s">
        <v>2675</v>
      </c>
      <c r="F67" s="659" t="s">
        <v>2676</v>
      </c>
      <c r="G67" s="659"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IF(C2="——",ROUND(C37*D3/10000,0),ROUND(C37*D3/10000,0)-D2)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50" t="s">
        <v>2644</v>
      </c>
      <c r="D4" s="3251"/>
      <c r="E4" s="3252" t="s">
        <v>2645</v>
      </c>
      <c r="F4" s="3253"/>
      <c r="G4" s="3250" t="s">
        <v>2646</v>
      </c>
      <c r="H4" s="3251"/>
      <c r="I4" s="3250" t="s">
        <v>2647</v>
      </c>
      <c r="J4" s="3251"/>
      <c r="K4" s="610" t="s">
        <v>2648</v>
      </c>
      <c r="L4" s="1132"/>
      <c r="M4" s="1133"/>
      <c r="N4" s="1133"/>
      <c r="O4" s="1133"/>
      <c r="P4" s="3254" t="s">
        <v>2649</v>
      </c>
      <c r="Q4" s="3255"/>
      <c r="R4" s="3236" t="s">
        <v>2645</v>
      </c>
      <c r="S4" s="3237"/>
      <c r="T4" s="3236" t="s">
        <v>2646</v>
      </c>
      <c r="U4" s="3237"/>
      <c r="V4" s="3233" t="s">
        <v>2647</v>
      </c>
      <c r="W4" s="3233"/>
      <c r="X4" s="1815"/>
      <c r="Y4" s="3236" t="s">
        <v>2649</v>
      </c>
      <c r="Z4" s="3237"/>
      <c r="AA4" s="3230" t="s">
        <v>2645</v>
      </c>
      <c r="AB4" s="3231" t="s">
        <v>2646</v>
      </c>
      <c r="AC4" s="3230" t="s">
        <v>2647</v>
      </c>
    </row>
    <row r="5" spans="1:29" ht="15">
      <c r="A5" s="404"/>
      <c r="B5" s="405"/>
      <c r="C5" s="3305" t="s">
        <v>2540</v>
      </c>
      <c r="D5" s="3243"/>
      <c r="E5" s="3304" t="s">
        <v>2541</v>
      </c>
      <c r="F5" s="3241"/>
      <c r="G5" s="3305" t="s">
        <v>2542</v>
      </c>
      <c r="H5" s="3243"/>
      <c r="I5" s="3305" t="s">
        <v>2543</v>
      </c>
      <c r="J5" s="3243"/>
      <c r="K5" s="610"/>
      <c r="L5" s="1132"/>
      <c r="M5" s="1133"/>
      <c r="N5" s="1133"/>
      <c r="O5" s="1133"/>
      <c r="P5" s="3256"/>
      <c r="Q5" s="3257"/>
      <c r="R5" s="3238"/>
      <c r="S5" s="3239"/>
      <c r="T5" s="3238"/>
      <c r="U5" s="3239"/>
      <c r="V5" s="3233"/>
      <c r="W5" s="3233"/>
      <c r="X5" s="1815"/>
      <c r="Y5" s="3238"/>
      <c r="Z5" s="3239"/>
      <c r="AA5" s="3231"/>
      <c r="AB5" s="3231"/>
      <c r="AC5" s="3231"/>
    </row>
    <row r="6" spans="1:29" ht="15.75" thickBot="1">
      <c r="A6" s="406"/>
      <c r="B6" s="407"/>
      <c r="C6" s="3244" t="s">
        <v>2544</v>
      </c>
      <c r="D6" s="3245"/>
      <c r="E6" s="3306" t="s">
        <v>2544</v>
      </c>
      <c r="F6" s="3247"/>
      <c r="G6" s="3244" t="s">
        <v>2544</v>
      </c>
      <c r="H6" s="3245"/>
      <c r="I6" s="3244" t="s">
        <v>2544</v>
      </c>
      <c r="J6" s="3245"/>
      <c r="K6" s="610" t="s">
        <v>2545</v>
      </c>
      <c r="L6" s="1132"/>
      <c r="M6" s="1133"/>
      <c r="N6" s="1133"/>
      <c r="O6" s="1133"/>
      <c r="P6" s="3258"/>
      <c r="Q6" s="3259"/>
      <c r="R6" s="3238"/>
      <c r="S6" s="3239"/>
      <c r="T6" s="3260"/>
      <c r="U6" s="3261"/>
      <c r="V6" s="3233"/>
      <c r="W6" s="3233"/>
      <c r="X6" s="1815"/>
      <c r="Y6" s="3260"/>
      <c r="Z6" s="3261"/>
      <c r="AA6" s="3232"/>
      <c r="AB6" s="3232"/>
      <c r="AC6" s="3232"/>
    </row>
    <row r="7" spans="1:29" s="117" customFormat="1" ht="15.75" thickBot="1">
      <c r="A7" s="408" t="s">
        <v>2546</v>
      </c>
      <c r="B7" s="409"/>
      <c r="C7" s="410">
        <f>'数据-取费表'!B2</f>
        <v>43209</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234" t="s">
        <v>2547</v>
      </c>
      <c r="Q7" s="3262"/>
      <c r="R7" s="769" t="s">
        <v>17</v>
      </c>
      <c r="S7" s="770">
        <f t="shared" ref="S7:S14" si="0">F7</f>
        <v>0</v>
      </c>
      <c r="T7" s="769" t="s">
        <v>17</v>
      </c>
      <c r="U7" s="770">
        <f t="shared" ref="U7:U14" si="1">H7</f>
        <v>0</v>
      </c>
      <c r="V7" s="769" t="s">
        <v>17</v>
      </c>
      <c r="W7" s="770">
        <f t="shared" ref="W7:W14" si="2">J7</f>
        <v>0</v>
      </c>
      <c r="X7" s="771"/>
      <c r="Y7" s="3234" t="s">
        <v>2547</v>
      </c>
      <c r="Z7" s="3235"/>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34" t="s">
        <v>2550</v>
      </c>
      <c r="Q8" s="3235"/>
      <c r="R8" s="769" t="s">
        <v>17</v>
      </c>
      <c r="S8" s="770">
        <f t="shared" si="0"/>
        <v>0</v>
      </c>
      <c r="T8" s="769" t="s">
        <v>17</v>
      </c>
      <c r="U8" s="770">
        <f t="shared" si="1"/>
        <v>0</v>
      </c>
      <c r="V8" s="769" t="s">
        <v>17</v>
      </c>
      <c r="W8" s="770">
        <f t="shared" si="2"/>
        <v>0</v>
      </c>
      <c r="X8" s="771"/>
      <c r="Y8" s="3234" t="s">
        <v>2550</v>
      </c>
      <c r="Z8" s="3235"/>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72" t="s">
        <v>2553</v>
      </c>
      <c r="Q9" s="1797" t="str">
        <f t="shared" ref="Q9:Q14" si="6">B9</f>
        <v>用途</v>
      </c>
      <c r="R9" s="769" t="s">
        <v>17</v>
      </c>
      <c r="S9" s="770">
        <f t="shared" si="0"/>
        <v>100</v>
      </c>
      <c r="T9" s="769" t="s">
        <v>17</v>
      </c>
      <c r="U9" s="770">
        <f t="shared" si="1"/>
        <v>100</v>
      </c>
      <c r="V9" s="769" t="s">
        <v>17</v>
      </c>
      <c r="W9" s="770">
        <f t="shared" si="2"/>
        <v>100</v>
      </c>
      <c r="X9" s="771"/>
      <c r="Y9" s="3107"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72"/>
      <c r="Q10" s="1797" t="str">
        <f t="shared" si="6"/>
        <v>土地使用年限（年）</v>
      </c>
      <c r="R10" s="769" t="s">
        <v>17</v>
      </c>
      <c r="S10" s="770">
        <f t="shared" si="0"/>
        <v>100</v>
      </c>
      <c r="T10" s="769" t="s">
        <v>17</v>
      </c>
      <c r="U10" s="770">
        <f t="shared" si="1"/>
        <v>100</v>
      </c>
      <c r="V10" s="769" t="s">
        <v>17</v>
      </c>
      <c r="W10" s="770">
        <f t="shared" si="2"/>
        <v>100</v>
      </c>
      <c r="X10" s="771"/>
      <c r="Y10" s="3107"/>
      <c r="Z10" s="55" t="str">
        <f t="shared" si="7"/>
        <v>土地使用年限（年）</v>
      </c>
      <c r="AA10" s="772">
        <f t="shared" si="3"/>
        <v>1</v>
      </c>
      <c r="AB10" s="772">
        <f t="shared" si="4"/>
        <v>1</v>
      </c>
      <c r="AC10" s="772">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72"/>
      <c r="Q11" s="1797">
        <f t="shared" si="6"/>
        <v>111</v>
      </c>
      <c r="R11" s="769" t="s">
        <v>17</v>
      </c>
      <c r="S11" s="770">
        <f t="shared" si="0"/>
        <v>100</v>
      </c>
      <c r="T11" s="769" t="s">
        <v>17</v>
      </c>
      <c r="U11" s="770">
        <f t="shared" si="1"/>
        <v>100</v>
      </c>
      <c r="V11" s="769" t="s">
        <v>17</v>
      </c>
      <c r="W11" s="770">
        <f t="shared" si="2"/>
        <v>100</v>
      </c>
      <c r="X11" s="771"/>
      <c r="Y11" s="3107"/>
      <c r="Z11" s="55">
        <f t="shared" si="7"/>
        <v>111</v>
      </c>
      <c r="AA11" s="772">
        <f t="shared" si="3"/>
        <v>1</v>
      </c>
      <c r="AB11" s="772">
        <f t="shared" si="4"/>
        <v>1</v>
      </c>
      <c r="AC11" s="772">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72"/>
      <c r="Q12" s="1797">
        <f t="shared" si="6"/>
        <v>111</v>
      </c>
      <c r="R12" s="769" t="s">
        <v>17</v>
      </c>
      <c r="S12" s="770">
        <f t="shared" si="0"/>
        <v>100</v>
      </c>
      <c r="T12" s="769" t="s">
        <v>17</v>
      </c>
      <c r="U12" s="770">
        <f t="shared" si="1"/>
        <v>100</v>
      </c>
      <c r="V12" s="769" t="s">
        <v>17</v>
      </c>
      <c r="W12" s="770">
        <f t="shared" si="2"/>
        <v>100</v>
      </c>
      <c r="X12" s="771"/>
      <c r="Y12" s="3107"/>
      <c r="Z12" s="55">
        <f t="shared" si="7"/>
        <v>111</v>
      </c>
      <c r="AA12" s="772">
        <f>D12/F12</f>
        <v>1</v>
      </c>
      <c r="AB12" s="772">
        <f>D12/H12</f>
        <v>1</v>
      </c>
      <c r="AC12" s="772">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272"/>
      <c r="Q13" s="1797">
        <f t="shared" si="6"/>
        <v>111</v>
      </c>
      <c r="R13" s="769" t="s">
        <v>17</v>
      </c>
      <c r="S13" s="770">
        <f t="shared" si="0"/>
        <v>100</v>
      </c>
      <c r="T13" s="769" t="s">
        <v>17</v>
      </c>
      <c r="U13" s="770">
        <f t="shared" si="1"/>
        <v>100</v>
      </c>
      <c r="V13" s="769" t="s">
        <v>17</v>
      </c>
      <c r="W13" s="770">
        <f t="shared" si="2"/>
        <v>100</v>
      </c>
      <c r="X13" s="771"/>
      <c r="Y13" s="3107"/>
      <c r="Z13" s="55">
        <f t="shared" si="7"/>
        <v>111</v>
      </c>
      <c r="AA13" s="772">
        <f t="shared" si="3"/>
        <v>1</v>
      </c>
      <c r="AB13" s="772">
        <f t="shared" si="4"/>
        <v>1</v>
      </c>
      <c r="AC13" s="772">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65" t="s">
        <v>2558</v>
      </c>
      <c r="Q14" s="1812" t="str">
        <f t="shared" si="6"/>
        <v>交通便捷度</v>
      </c>
      <c r="R14" s="773" t="s">
        <v>17</v>
      </c>
      <c r="S14" s="774">
        <f t="shared" si="0"/>
        <v>100</v>
      </c>
      <c r="T14" s="773" t="s">
        <v>17</v>
      </c>
      <c r="U14" s="774">
        <f t="shared" si="1"/>
        <v>100</v>
      </c>
      <c r="V14" s="773" t="s">
        <v>17</v>
      </c>
      <c r="W14" s="774">
        <f t="shared" si="2"/>
        <v>100</v>
      </c>
      <c r="X14" s="1815"/>
      <c r="Y14" s="3265"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66"/>
      <c r="Q15" s="1812"/>
      <c r="R15" s="773"/>
      <c r="S15" s="774"/>
      <c r="T15" s="773"/>
      <c r="U15" s="774"/>
      <c r="V15" s="773"/>
      <c r="W15" s="774"/>
      <c r="X15" s="1815"/>
      <c r="Y15" s="3266"/>
      <c r="Z15" s="1816"/>
      <c r="AA15" s="1813">
        <v>1</v>
      </c>
      <c r="AB15" s="1813">
        <v>1</v>
      </c>
      <c r="AC15" s="1813">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66"/>
      <c r="Q16" s="1812" t="str">
        <f>B16</f>
        <v>公共配套设施</v>
      </c>
      <c r="R16" s="773" t="s">
        <v>17</v>
      </c>
      <c r="S16" s="774">
        <f>F16</f>
        <v>100</v>
      </c>
      <c r="T16" s="773" t="s">
        <v>17</v>
      </c>
      <c r="U16" s="774">
        <f>H16</f>
        <v>100</v>
      </c>
      <c r="V16" s="773" t="s">
        <v>17</v>
      </c>
      <c r="W16" s="774">
        <f>J16</f>
        <v>100</v>
      </c>
      <c r="X16" s="1815"/>
      <c r="Y16" s="3266"/>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2"/>
      <c r="M17" s="1133"/>
      <c r="N17" s="1133"/>
      <c r="O17" s="1141"/>
      <c r="P17" s="3266"/>
      <c r="Q17" s="1812"/>
      <c r="R17" s="773"/>
      <c r="S17" s="774"/>
      <c r="T17" s="773"/>
      <c r="U17" s="774"/>
      <c r="V17" s="773"/>
      <c r="W17" s="774"/>
      <c r="X17" s="1815"/>
      <c r="Y17" s="3266"/>
      <c r="Z17" s="1816"/>
      <c r="AA17" s="1813">
        <v>1</v>
      </c>
      <c r="AB17" s="1813">
        <v>1</v>
      </c>
      <c r="AC17" s="1813">
        <v>1</v>
      </c>
    </row>
    <row r="18" spans="1:29" ht="28.5">
      <c r="A18" s="428"/>
      <c r="B18" s="1386"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66"/>
      <c r="Q18" s="1812" t="str">
        <f>B18</f>
        <v>基础设施水平</v>
      </c>
      <c r="R18" s="773" t="s">
        <v>17</v>
      </c>
      <c r="S18" s="774">
        <f>F18</f>
        <v>100</v>
      </c>
      <c r="T18" s="773" t="s">
        <v>17</v>
      </c>
      <c r="U18" s="774">
        <f>H18</f>
        <v>100</v>
      </c>
      <c r="V18" s="773" t="s">
        <v>17</v>
      </c>
      <c r="W18" s="774">
        <f>J18</f>
        <v>100</v>
      </c>
      <c r="X18" s="1815"/>
      <c r="Y18" s="3266"/>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2"/>
      <c r="M19" s="1133"/>
      <c r="N19" s="1133"/>
      <c r="O19" s="1141"/>
      <c r="P19" s="3266"/>
      <c r="Q19" s="1812"/>
      <c r="R19" s="773"/>
      <c r="S19" s="774"/>
      <c r="T19" s="773"/>
      <c r="U19" s="774"/>
      <c r="V19" s="773"/>
      <c r="W19" s="774"/>
      <c r="X19" s="1815"/>
      <c r="Y19" s="3266"/>
      <c r="Z19" s="1816"/>
      <c r="AA19" s="1813">
        <v>1</v>
      </c>
      <c r="AB19" s="1813">
        <v>1</v>
      </c>
      <c r="AC19" s="1813">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66"/>
      <c r="Q20" s="1812" t="str">
        <f>B20</f>
        <v>自然及人文环境</v>
      </c>
      <c r="R20" s="773" t="s">
        <v>17</v>
      </c>
      <c r="S20" s="774">
        <f>F20</f>
        <v>100</v>
      </c>
      <c r="T20" s="773" t="s">
        <v>17</v>
      </c>
      <c r="U20" s="774">
        <f>H20</f>
        <v>100</v>
      </c>
      <c r="V20" s="773" t="s">
        <v>17</v>
      </c>
      <c r="W20" s="774">
        <f>J20</f>
        <v>100</v>
      </c>
      <c r="X20" s="1815"/>
      <c r="Y20" s="326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66"/>
      <c r="Q21" s="1812"/>
      <c r="R21" s="773"/>
      <c r="S21" s="774"/>
      <c r="T21" s="773"/>
      <c r="U21" s="774"/>
      <c r="V21" s="773"/>
      <c r="W21" s="774"/>
      <c r="X21" s="1815"/>
      <c r="Y21" s="3266"/>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66"/>
      <c r="Q22" s="1812" t="str">
        <f>B22</f>
        <v>楼层</v>
      </c>
      <c r="R22" s="773" t="s">
        <v>17</v>
      </c>
      <c r="S22" s="774">
        <f>F22</f>
        <v>100</v>
      </c>
      <c r="T22" s="773" t="s">
        <v>17</v>
      </c>
      <c r="U22" s="774">
        <f>H22</f>
        <v>100</v>
      </c>
      <c r="V22" s="773" t="s">
        <v>17</v>
      </c>
      <c r="W22" s="774">
        <f>J22</f>
        <v>100</v>
      </c>
      <c r="X22" s="1815"/>
      <c r="Y22" s="3266"/>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66"/>
      <c r="Q23" s="1812">
        <f>B23</f>
        <v>111</v>
      </c>
      <c r="R23" s="773" t="s">
        <v>17</v>
      </c>
      <c r="S23" s="774">
        <f>F23</f>
        <v>100</v>
      </c>
      <c r="T23" s="773" t="s">
        <v>17</v>
      </c>
      <c r="U23" s="774">
        <f>H23</f>
        <v>100</v>
      </c>
      <c r="V23" s="773" t="s">
        <v>17</v>
      </c>
      <c r="W23" s="774">
        <f>J23</f>
        <v>100</v>
      </c>
      <c r="X23" s="1815"/>
      <c r="Y23" s="3266"/>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66"/>
      <c r="Q24" s="1812">
        <f t="shared" ref="Q24:Q34" si="11">B24</f>
        <v>111</v>
      </c>
      <c r="R24" s="773" t="s">
        <v>17</v>
      </c>
      <c r="S24" s="774">
        <f>F24</f>
        <v>100</v>
      </c>
      <c r="T24" s="773" t="s">
        <v>17</v>
      </c>
      <c r="U24" s="774">
        <f>H24</f>
        <v>100</v>
      </c>
      <c r="V24" s="773" t="s">
        <v>17</v>
      </c>
      <c r="W24" s="774">
        <f>J24</f>
        <v>100</v>
      </c>
      <c r="X24" s="1815"/>
      <c r="Y24" s="3266"/>
      <c r="Z24" s="1816">
        <f>Q24</f>
        <v>111</v>
      </c>
      <c r="AA24" s="1813">
        <f t="shared" si="3"/>
        <v>1</v>
      </c>
      <c r="AB24" s="1813">
        <f t="shared" si="4"/>
        <v>1</v>
      </c>
      <c r="AC24" s="1813">
        <f t="shared" si="5"/>
        <v>1</v>
      </c>
    </row>
    <row r="25" spans="1:29" s="117" customFormat="1" ht="15.75" thickBot="1">
      <c r="A25" s="431"/>
      <c r="B25" s="2600">
        <v>111</v>
      </c>
      <c r="C25" s="2698"/>
      <c r="D25" s="664">
        <v>100</v>
      </c>
      <c r="E25" s="2698"/>
      <c r="F25" s="665">
        <f>SUMIF(75:75,E25,76:76)-SUMIF(75:75,C25,76:76)+100</f>
        <v>100</v>
      </c>
      <c r="G25" s="2698"/>
      <c r="H25" s="664">
        <f>SUMIF(75:75,G25,76:76)-SUMIF(75:75,C25,76:76)+100</f>
        <v>100</v>
      </c>
      <c r="I25" s="2698"/>
      <c r="J25" s="664">
        <f>SUMIF(75:75,I25,76:76)-SUMIF(75:75,C25,76:76)+100</f>
        <v>100</v>
      </c>
      <c r="K25" s="613"/>
      <c r="L25" s="1134"/>
      <c r="M25" s="1135"/>
      <c r="N25" s="1135"/>
      <c r="O25" s="1136"/>
      <c r="P25" s="3266"/>
      <c r="Q25" s="1797">
        <f t="shared" si="11"/>
        <v>111</v>
      </c>
      <c r="R25" s="769" t="s">
        <v>17</v>
      </c>
      <c r="S25" s="770">
        <f>F25</f>
        <v>100</v>
      </c>
      <c r="T25" s="769" t="s">
        <v>17</v>
      </c>
      <c r="U25" s="770">
        <f>H25</f>
        <v>100</v>
      </c>
      <c r="V25" s="769" t="s">
        <v>17</v>
      </c>
      <c r="W25" s="770">
        <f>J25</f>
        <v>100</v>
      </c>
      <c r="X25" s="771"/>
      <c r="Y25" s="3266"/>
      <c r="Z25" s="55">
        <f>Q25</f>
        <v>111</v>
      </c>
      <c r="AA25" s="1813">
        <f>D25/F25</f>
        <v>1</v>
      </c>
      <c r="AB25" s="1813">
        <f>D25/H25</f>
        <v>1</v>
      </c>
      <c r="AC25" s="1813">
        <f>D25/J25</f>
        <v>1</v>
      </c>
    </row>
    <row r="26" spans="1:29" ht="15">
      <c r="A26" s="466" t="s">
        <v>2561</v>
      </c>
      <c r="B26" s="71" t="s">
        <v>2712</v>
      </c>
      <c r="C26" s="2679"/>
      <c r="D26" s="467">
        <v>100</v>
      </c>
      <c r="E26" s="2679"/>
      <c r="F26" s="666">
        <f>SUMIF(77:77,E26,78:78)-SUMIF(77:77,C26,78:78)+100</f>
        <v>100</v>
      </c>
      <c r="G26" s="2679"/>
      <c r="H26" s="467">
        <f>SUMIF(77:77,G26,78:78)-SUMIF(77:77,C26,78:78)+100</f>
        <v>100</v>
      </c>
      <c r="I26" s="2679"/>
      <c r="J26" s="467">
        <f>SUMIF(77:77,I26,78:78)-SUMIF(77:77,C26,78:78)+100</f>
        <v>100</v>
      </c>
      <c r="K26" s="612"/>
      <c r="L26" s="1142"/>
      <c r="M26" s="1133"/>
      <c r="N26" s="1133"/>
      <c r="O26" s="1141"/>
      <c r="P26" s="3322" t="s">
        <v>2563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70" t="s">
        <v>2563</v>
      </c>
      <c r="Z26" s="1816" t="str">
        <f t="shared" ref="Z26:Z34" si="15">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70"/>
      <c r="Q27" s="775" t="str">
        <f t="shared" si="11"/>
        <v>成新率</v>
      </c>
      <c r="R27" s="776" t="s">
        <v>17</v>
      </c>
      <c r="S27" s="777" t="e">
        <f t="shared" si="12"/>
        <v>#N/A</v>
      </c>
      <c r="T27" s="776" t="s">
        <v>17</v>
      </c>
      <c r="U27" s="777" t="e">
        <f t="shared" si="13"/>
        <v>#N/A</v>
      </c>
      <c r="V27" s="776" t="s">
        <v>17</v>
      </c>
      <c r="W27" s="777" t="e">
        <f t="shared" si="14"/>
        <v>#N/A</v>
      </c>
      <c r="X27" s="778"/>
      <c r="Y27" s="3270"/>
      <c r="Z27" s="779" t="str">
        <f t="shared" si="15"/>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70"/>
      <c r="Q28" s="1812" t="str">
        <f t="shared" si="11"/>
        <v>物业等级</v>
      </c>
      <c r="R28" s="773" t="s">
        <v>17</v>
      </c>
      <c r="S28" s="774">
        <f t="shared" si="12"/>
        <v>100</v>
      </c>
      <c r="T28" s="773" t="s">
        <v>17</v>
      </c>
      <c r="U28" s="774">
        <f t="shared" si="13"/>
        <v>100</v>
      </c>
      <c r="V28" s="773" t="s">
        <v>17</v>
      </c>
      <c r="W28" s="774">
        <f t="shared" si="14"/>
        <v>100</v>
      </c>
      <c r="X28" s="1815"/>
      <c r="Y28" s="3270"/>
      <c r="Z28" s="1816" t="str">
        <f t="shared" si="15"/>
        <v>物业等级</v>
      </c>
      <c r="AA28" s="1813">
        <f t="shared" si="3"/>
        <v>1</v>
      </c>
      <c r="AB28" s="1813">
        <f t="shared" si="4"/>
        <v>1</v>
      </c>
      <c r="AC28" s="1813">
        <f t="shared" si="5"/>
        <v>1</v>
      </c>
    </row>
    <row r="29" spans="1:29" ht="15">
      <c r="A29" s="472"/>
      <c r="B29" s="422" t="s">
        <v>2735</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270"/>
      <c r="Q29" s="1812" t="str">
        <f t="shared" si="11"/>
        <v>有无电梯</v>
      </c>
      <c r="R29" s="773" t="s">
        <v>17</v>
      </c>
      <c r="S29" s="774">
        <f t="shared" si="12"/>
        <v>100</v>
      </c>
      <c r="T29" s="773" t="s">
        <v>17</v>
      </c>
      <c r="U29" s="774">
        <f t="shared" si="13"/>
        <v>100</v>
      </c>
      <c r="V29" s="773" t="s">
        <v>17</v>
      </c>
      <c r="W29" s="774">
        <f t="shared" si="14"/>
        <v>100</v>
      </c>
      <c r="X29" s="1815"/>
      <c r="Y29" s="3270"/>
      <c r="Z29" s="1816" t="str">
        <f t="shared" si="15"/>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70"/>
      <c r="Q30" s="1812" t="str">
        <f t="shared" si="11"/>
        <v>建筑面积</v>
      </c>
      <c r="R30" s="773" t="s">
        <v>17</v>
      </c>
      <c r="S30" s="774" t="e">
        <f t="shared" si="12"/>
        <v>#N/A</v>
      </c>
      <c r="T30" s="773" t="s">
        <v>17</v>
      </c>
      <c r="U30" s="774" t="e">
        <f t="shared" si="13"/>
        <v>#N/A</v>
      </c>
      <c r="V30" s="773" t="s">
        <v>17</v>
      </c>
      <c r="W30" s="774" t="e">
        <f t="shared" si="14"/>
        <v>#N/A</v>
      </c>
      <c r="X30" s="1815"/>
      <c r="Y30" s="3270"/>
      <c r="Z30" s="1816" t="str">
        <f t="shared" si="15"/>
        <v>建筑面积</v>
      </c>
      <c r="AA30" s="1813" t="e">
        <f t="shared" si="3"/>
        <v>#N/A</v>
      </c>
      <c r="AB30" s="1813" t="e">
        <f t="shared" si="4"/>
        <v>#N/A</v>
      </c>
      <c r="AC30" s="1813" t="e">
        <f t="shared" si="5"/>
        <v>#N/A</v>
      </c>
    </row>
    <row r="31" spans="1:29" s="117" customFormat="1" ht="15">
      <c r="A31" s="473"/>
      <c r="B31" s="422" t="s">
        <v>2737</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270"/>
      <c r="Q31" s="1797" t="str">
        <f t="shared" si="11"/>
        <v>是否封闭</v>
      </c>
      <c r="R31" s="769" t="s">
        <v>17</v>
      </c>
      <c r="S31" s="770">
        <f t="shared" si="12"/>
        <v>100</v>
      </c>
      <c r="T31" s="769" t="s">
        <v>17</v>
      </c>
      <c r="U31" s="770">
        <f t="shared" si="13"/>
        <v>100</v>
      </c>
      <c r="V31" s="769" t="s">
        <v>17</v>
      </c>
      <c r="W31" s="770">
        <f t="shared" si="14"/>
        <v>100</v>
      </c>
      <c r="X31" s="771"/>
      <c r="Y31" s="3270"/>
      <c r="Z31" s="55" t="str">
        <f t="shared" si="15"/>
        <v>是否封闭</v>
      </c>
      <c r="AA31" s="772">
        <f t="shared" si="3"/>
        <v>1</v>
      </c>
      <c r="AB31" s="772">
        <f t="shared" si="4"/>
        <v>1</v>
      </c>
      <c r="AC31" s="772">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70" t="s">
        <v>2563</v>
      </c>
      <c r="Q32" s="1812">
        <f t="shared" si="11"/>
        <v>111</v>
      </c>
      <c r="R32" s="773" t="s">
        <v>17</v>
      </c>
      <c r="S32" s="774">
        <f t="shared" si="12"/>
        <v>100</v>
      </c>
      <c r="T32" s="773" t="s">
        <v>17</v>
      </c>
      <c r="U32" s="774">
        <f t="shared" si="13"/>
        <v>100</v>
      </c>
      <c r="V32" s="773" t="s">
        <v>17</v>
      </c>
      <c r="W32" s="774">
        <f t="shared" si="14"/>
        <v>100</v>
      </c>
      <c r="X32" s="1815"/>
      <c r="Y32" s="3270" t="s">
        <v>2563</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70"/>
      <c r="Q33" s="1812">
        <f t="shared" si="11"/>
        <v>111</v>
      </c>
      <c r="R33" s="773" t="s">
        <v>17</v>
      </c>
      <c r="S33" s="774">
        <f t="shared" si="12"/>
        <v>100</v>
      </c>
      <c r="T33" s="773" t="s">
        <v>17</v>
      </c>
      <c r="U33" s="774">
        <f t="shared" si="13"/>
        <v>100</v>
      </c>
      <c r="V33" s="773" t="s">
        <v>17</v>
      </c>
      <c r="W33" s="774">
        <f t="shared" si="14"/>
        <v>100</v>
      </c>
      <c r="X33" s="1815"/>
      <c r="Y33" s="3270"/>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270"/>
      <c r="Q34" s="1812">
        <f t="shared" si="11"/>
        <v>111</v>
      </c>
      <c r="R34" s="773" t="s">
        <v>17</v>
      </c>
      <c r="S34" s="774">
        <f t="shared" si="12"/>
        <v>100</v>
      </c>
      <c r="T34" s="773" t="s">
        <v>17</v>
      </c>
      <c r="U34" s="774">
        <f t="shared" si="13"/>
        <v>100</v>
      </c>
      <c r="V34" s="773" t="s">
        <v>17</v>
      </c>
      <c r="W34" s="774">
        <f t="shared" si="14"/>
        <v>100</v>
      </c>
      <c r="X34" s="1815"/>
      <c r="Y34" s="3270"/>
      <c r="Z34" s="1816">
        <f t="shared" si="15"/>
        <v>111</v>
      </c>
      <c r="AA34" s="1813">
        <f t="shared" si="3"/>
        <v>1</v>
      </c>
      <c r="AB34" s="1813">
        <f t="shared" si="4"/>
        <v>1</v>
      </c>
      <c r="AC34" s="1813">
        <f t="shared" si="5"/>
        <v>1</v>
      </c>
    </row>
    <row r="35" spans="1:29" ht="15">
      <c r="A35" s="479" t="s">
        <v>2575</v>
      </c>
      <c r="B35" s="480"/>
      <c r="C35" s="1409" t="s">
        <v>1</v>
      </c>
      <c r="D35" s="1410"/>
      <c r="E35" s="1411"/>
      <c r="F35" s="1412"/>
      <c r="G35" s="1413"/>
      <c r="H35" s="1414"/>
      <c r="I35" s="1411"/>
      <c r="J35" s="1414"/>
      <c r="K35" s="782"/>
      <c r="L35" s="1145"/>
      <c r="M35" s="1146"/>
      <c r="N35" s="1133"/>
      <c r="O35" s="1146"/>
      <c r="P35" s="3272" t="str">
        <f>A35</f>
        <v>成交单价（元/平方米）</v>
      </c>
      <c r="Q35" s="3272"/>
      <c r="R35" s="3273">
        <f>E35</f>
        <v>0</v>
      </c>
      <c r="S35" s="3273"/>
      <c r="T35" s="3273">
        <f>G35</f>
        <v>0</v>
      </c>
      <c r="U35" s="3273"/>
      <c r="V35" s="3273">
        <f>I35</f>
        <v>0</v>
      </c>
      <c r="W35" s="3273"/>
      <c r="X35" s="758"/>
      <c r="Y35" s="780"/>
      <c r="Z35" s="758"/>
      <c r="AA35" s="758"/>
      <c r="AB35" s="758"/>
      <c r="AC35" s="758"/>
    </row>
    <row r="36" spans="1:29" ht="15.75" thickBot="1">
      <c r="A36" s="486" t="s">
        <v>2667</v>
      </c>
      <c r="B36" s="487"/>
      <c r="C36" s="1415" t="e">
        <f>R37</f>
        <v>#DIV/0!</v>
      </c>
      <c r="D36" s="1416"/>
      <c r="E36" s="1417" t="e">
        <f>R36</f>
        <v>#DIV/0!</v>
      </c>
      <c r="F36" s="1417"/>
      <c r="G36" s="1415" t="e">
        <f>T36</f>
        <v>#DIV/0!</v>
      </c>
      <c r="H36" s="1416"/>
      <c r="I36" s="1417" t="e">
        <f>V36</f>
        <v>#DIV/0!</v>
      </c>
      <c r="J36" s="1416"/>
      <c r="K36" s="783"/>
      <c r="L36" s="1145"/>
      <c r="M36" s="1146"/>
      <c r="N36" s="1133"/>
      <c r="O36" s="1146"/>
      <c r="P36" s="3272" t="str">
        <f>A36</f>
        <v>比较价值（元/平方米）</v>
      </c>
      <c r="Q36" s="3272"/>
      <c r="R36" s="3273" t="e">
        <f>IF(F1="售价",ROUND(PRODUCT(R35,AA7:AA34),0),ROUND(PRODUCT(R35,AA7:AA34),1))</f>
        <v>#DIV/0!</v>
      </c>
      <c r="S36" s="3273"/>
      <c r="T36" s="3273" t="e">
        <f>IF(F1="售价",ROUND(PRODUCT(T35,AB7:AB34),0),ROUND(PRODUCT(T35,AB7:AB34),1))</f>
        <v>#DIV/0!</v>
      </c>
      <c r="U36" s="3273"/>
      <c r="V36" s="3273" t="e">
        <f>IF(F1="售价",ROUND(PRODUCT(V35,AC7:AC34),0),ROUND(PRODUCT(V35,AC7:AC34),1))</f>
        <v>#DIV/0!</v>
      </c>
      <c r="W36" s="3273"/>
      <c r="X36" s="758"/>
      <c r="Y36" s="758"/>
      <c r="Z36" s="758"/>
      <c r="AA36" s="758"/>
      <c r="AB36" s="758"/>
      <c r="AC36" s="758"/>
    </row>
    <row r="37" spans="1:29" ht="15.75" thickBot="1">
      <c r="A37" s="492" t="s">
        <v>2668</v>
      </c>
      <c r="B37" s="493"/>
      <c r="C37" s="1419" t="e">
        <f>R37</f>
        <v>#DIV/0!</v>
      </c>
      <c r="D37" s="1419"/>
      <c r="E37" s="1419"/>
      <c r="F37" s="1419"/>
      <c r="G37" s="1419"/>
      <c r="H37" s="1419"/>
      <c r="I37" s="1419"/>
      <c r="J37" s="1419"/>
      <c r="K37" s="784"/>
      <c r="L37" s="1145"/>
      <c r="M37" s="1146"/>
      <c r="N37" s="1146"/>
      <c r="O37" s="1146"/>
      <c r="P37" s="3274" t="str">
        <f>A37</f>
        <v>估价对象XX用房的比较价值（楼面单价，元/平方米）</v>
      </c>
      <c r="Q37" s="3275"/>
      <c r="R37" s="3276" t="e">
        <f>IF(F1="售价",ROUND(AVERAGE(R36:V36),0),ROUND(AVERAGE(R36:V36),1))</f>
        <v>#DIV/0!</v>
      </c>
      <c r="S37" s="3276"/>
      <c r="T37" s="3276"/>
      <c r="U37" s="3276"/>
      <c r="V37" s="3276"/>
      <c r="W37" s="3276"/>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576" t="str">
        <f>YEAR(C7)&amp;"-"&amp;MONTH(C7)</f>
        <v>2018-4</v>
      </c>
      <c r="D46" s="1577">
        <f>EDATE(C46,-1)</f>
        <v>43160</v>
      </c>
      <c r="E46" s="1577">
        <f t="shared" ref="E46:O46" si="16">EDATE(D46,-1)</f>
        <v>43132</v>
      </c>
      <c r="F46" s="1577">
        <f t="shared" si="16"/>
        <v>43101</v>
      </c>
      <c r="G46" s="1577">
        <f t="shared" si="16"/>
        <v>43070</v>
      </c>
      <c r="H46" s="1577">
        <f t="shared" si="16"/>
        <v>43040</v>
      </c>
      <c r="I46" s="1577">
        <f t="shared" si="16"/>
        <v>43009</v>
      </c>
      <c r="J46" s="1577">
        <f t="shared" si="16"/>
        <v>42979</v>
      </c>
      <c r="K46" s="1577">
        <f t="shared" si="16"/>
        <v>42948</v>
      </c>
      <c r="L46" s="1577">
        <f t="shared" si="16"/>
        <v>42917</v>
      </c>
      <c r="M46" s="1577">
        <f t="shared" si="16"/>
        <v>42887</v>
      </c>
      <c r="N46" s="1577">
        <f t="shared" si="16"/>
        <v>42856</v>
      </c>
      <c r="O46" s="1577">
        <f t="shared" si="16"/>
        <v>42826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59" t="s">
        <v>2673</v>
      </c>
      <c r="D65" s="659" t="s">
        <v>2674</v>
      </c>
      <c r="E65" s="659" t="s">
        <v>2675</v>
      </c>
      <c r="F65" s="659" t="s">
        <v>2676</v>
      </c>
      <c r="G65" s="659"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2643</v>
      </c>
      <c r="B4" s="402"/>
      <c r="C4" s="3250" t="s">
        <v>2644</v>
      </c>
      <c r="D4" s="3251"/>
      <c r="E4" s="3252" t="s">
        <v>2645</v>
      </c>
      <c r="F4" s="3253"/>
      <c r="G4" s="3250" t="s">
        <v>2646</v>
      </c>
      <c r="H4" s="3251"/>
      <c r="I4" s="3250" t="s">
        <v>2647</v>
      </c>
      <c r="J4" s="3251"/>
      <c r="K4" s="610" t="s">
        <v>2648</v>
      </c>
      <c r="L4" s="1132"/>
      <c r="M4" s="1133"/>
      <c r="N4" s="1133"/>
      <c r="O4" s="1133"/>
      <c r="P4" s="3254" t="s">
        <v>2649</v>
      </c>
      <c r="Q4" s="3255"/>
      <c r="R4" s="3236" t="s">
        <v>2645</v>
      </c>
      <c r="S4" s="3237"/>
      <c r="T4" s="3236" t="s">
        <v>2646</v>
      </c>
      <c r="U4" s="3237"/>
      <c r="V4" s="3233" t="s">
        <v>2647</v>
      </c>
      <c r="W4" s="3233"/>
      <c r="X4" s="1815"/>
      <c r="Y4" s="3236" t="s">
        <v>2649</v>
      </c>
      <c r="Z4" s="3237"/>
      <c r="AA4" s="3230" t="s">
        <v>2645</v>
      </c>
      <c r="AB4" s="3231" t="s">
        <v>2646</v>
      </c>
      <c r="AC4" s="3230" t="s">
        <v>2647</v>
      </c>
    </row>
    <row r="5" spans="1:30" ht="15">
      <c r="A5" s="404"/>
      <c r="B5" s="405"/>
      <c r="C5" s="3305" t="s">
        <v>2540</v>
      </c>
      <c r="D5" s="3243"/>
      <c r="E5" s="3304" t="s">
        <v>2541</v>
      </c>
      <c r="F5" s="3241"/>
      <c r="G5" s="3305" t="s">
        <v>2542</v>
      </c>
      <c r="H5" s="3243"/>
      <c r="I5" s="3305" t="s">
        <v>2543</v>
      </c>
      <c r="J5" s="3243"/>
      <c r="K5" s="610"/>
      <c r="L5" s="1132"/>
      <c r="M5" s="1133"/>
      <c r="N5" s="1133"/>
      <c r="O5" s="1133"/>
      <c r="P5" s="3256"/>
      <c r="Q5" s="3257"/>
      <c r="R5" s="3238"/>
      <c r="S5" s="3239"/>
      <c r="T5" s="3238"/>
      <c r="U5" s="3239"/>
      <c r="V5" s="3233"/>
      <c r="W5" s="3233"/>
      <c r="X5" s="1815"/>
      <c r="Y5" s="3238"/>
      <c r="Z5" s="3239"/>
      <c r="AA5" s="3231"/>
      <c r="AB5" s="3231"/>
      <c r="AC5" s="3231"/>
    </row>
    <row r="6" spans="1:30" ht="15.75" thickBot="1">
      <c r="A6" s="406"/>
      <c r="B6" s="407"/>
      <c r="C6" s="3244" t="s">
        <v>2544</v>
      </c>
      <c r="D6" s="3245"/>
      <c r="E6" s="3306" t="s">
        <v>2544</v>
      </c>
      <c r="F6" s="3247"/>
      <c r="G6" s="3244" t="s">
        <v>2544</v>
      </c>
      <c r="H6" s="3245"/>
      <c r="I6" s="3244" t="s">
        <v>2544</v>
      </c>
      <c r="J6" s="3245"/>
      <c r="K6" s="610" t="s">
        <v>2545</v>
      </c>
      <c r="L6" s="1132"/>
      <c r="M6" s="1133"/>
      <c r="N6" s="1133"/>
      <c r="O6" s="1133"/>
      <c r="P6" s="3258"/>
      <c r="Q6" s="3259"/>
      <c r="R6" s="3238"/>
      <c r="S6" s="3239"/>
      <c r="T6" s="3260"/>
      <c r="U6" s="3261"/>
      <c r="V6" s="3233"/>
      <c r="W6" s="3233"/>
      <c r="X6" s="1815"/>
      <c r="Y6" s="3260"/>
      <c r="Z6" s="3261"/>
      <c r="AA6" s="3232"/>
      <c r="AB6" s="3232"/>
      <c r="AC6" s="3232"/>
    </row>
    <row r="7" spans="1:30" s="117" customFormat="1" ht="15.75" thickBot="1">
      <c r="A7" s="408" t="s">
        <v>2546</v>
      </c>
      <c r="B7" s="409"/>
      <c r="C7" s="410">
        <f>'数据-取费表'!B2</f>
        <v>43209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234" t="s">
        <v>2547</v>
      </c>
      <c r="Q7" s="3262"/>
      <c r="R7" s="769" t="s">
        <v>17</v>
      </c>
      <c r="S7" s="770">
        <f t="shared" ref="S7:S15" si="0">F7</f>
        <v>0</v>
      </c>
      <c r="T7" s="769" t="s">
        <v>17</v>
      </c>
      <c r="U7" s="770">
        <f t="shared" ref="U7:U15" si="1">H7</f>
        <v>0</v>
      </c>
      <c r="V7" s="769" t="s">
        <v>17</v>
      </c>
      <c r="W7" s="770">
        <f t="shared" ref="W7:W15" si="2">J7</f>
        <v>0</v>
      </c>
      <c r="X7" s="771"/>
      <c r="Y7" s="3234" t="s">
        <v>2547</v>
      </c>
      <c r="Z7" s="3235"/>
      <c r="AA7" s="772" t="e">
        <f>D7/F7</f>
        <v>#DIV/0!</v>
      </c>
      <c r="AB7" s="772" t="e">
        <f>D7/H7</f>
        <v>#DIV/0!</v>
      </c>
      <c r="AC7" s="772"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34" t="s">
        <v>2550</v>
      </c>
      <c r="Q8" s="3235"/>
      <c r="R8" s="769" t="s">
        <v>17</v>
      </c>
      <c r="S8" s="770">
        <f t="shared" si="0"/>
        <v>0</v>
      </c>
      <c r="T8" s="769" t="s">
        <v>17</v>
      </c>
      <c r="U8" s="770">
        <f t="shared" si="1"/>
        <v>0</v>
      </c>
      <c r="V8" s="769" t="s">
        <v>17</v>
      </c>
      <c r="W8" s="770">
        <f t="shared" si="2"/>
        <v>0</v>
      </c>
      <c r="X8" s="771"/>
      <c r="Y8" s="3234" t="s">
        <v>2550</v>
      </c>
      <c r="Z8" s="3235"/>
      <c r="AA8" s="772" t="e">
        <f t="shared" ref="AA8:AA45" si="3">D8/F8</f>
        <v>#DIV/0!</v>
      </c>
      <c r="AB8" s="772" t="e">
        <f t="shared" ref="AB8:AB45" si="4">D8/H8</f>
        <v>#DIV/0!</v>
      </c>
      <c r="AC8" s="772"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272" t="s">
        <v>2553</v>
      </c>
      <c r="Q9" s="1797" t="str">
        <f t="shared" ref="Q9:Q15" si="6">B9</f>
        <v>用途</v>
      </c>
      <c r="R9" s="769" t="s">
        <v>17</v>
      </c>
      <c r="S9" s="770">
        <f t="shared" si="0"/>
        <v>100</v>
      </c>
      <c r="T9" s="769" t="s">
        <v>17</v>
      </c>
      <c r="U9" s="770">
        <f t="shared" si="1"/>
        <v>100</v>
      </c>
      <c r="V9" s="769" t="s">
        <v>17</v>
      </c>
      <c r="W9" s="770">
        <f t="shared" si="2"/>
        <v>100</v>
      </c>
      <c r="X9" s="771"/>
      <c r="Y9" s="3107"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ROUND(100/'数据-取费表'!G16,0)</f>
        <v>111</v>
      </c>
      <c r="G10" s="463"/>
      <c r="H10" s="136">
        <f>ROUND(100/'数据-取费表'!G16,0)</f>
        <v>111</v>
      </c>
      <c r="I10" s="463"/>
      <c r="J10" s="136">
        <f>ROUND(100/'数据-取费表'!G16,0)</f>
        <v>111</v>
      </c>
      <c r="K10" s="671"/>
      <c r="L10" s="1137"/>
      <c r="M10" s="1138"/>
      <c r="N10" s="1138"/>
      <c r="O10" s="1139"/>
      <c r="P10" s="3272"/>
      <c r="Q10" s="1797" t="str">
        <f t="shared" si="6"/>
        <v>土地使用年限（年）</v>
      </c>
      <c r="R10" s="769" t="s">
        <v>17</v>
      </c>
      <c r="S10" s="770">
        <f t="shared" si="0"/>
        <v>111</v>
      </c>
      <c r="T10" s="769" t="s">
        <v>17</v>
      </c>
      <c r="U10" s="770">
        <f t="shared" si="1"/>
        <v>111</v>
      </c>
      <c r="V10" s="769" t="s">
        <v>17</v>
      </c>
      <c r="W10" s="770">
        <f t="shared" si="2"/>
        <v>111</v>
      </c>
      <c r="X10" s="771"/>
      <c r="Y10" s="3107"/>
      <c r="Z10" s="55" t="str">
        <f t="shared" si="7"/>
        <v>土地使用年限（年）</v>
      </c>
      <c r="AA10" s="772">
        <f t="shared" si="3"/>
        <v>0.90090090090090091</v>
      </c>
      <c r="AB10" s="772">
        <f t="shared" si="4"/>
        <v>0.90090090090090091</v>
      </c>
      <c r="AC10" s="772">
        <f t="shared" si="5"/>
        <v>0.90090090090090091</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272"/>
      <c r="Q11" s="1797" t="str">
        <f t="shared" si="6"/>
        <v>容积率</v>
      </c>
      <c r="R11" s="769" t="s">
        <v>17</v>
      </c>
      <c r="S11" s="770" t="e">
        <f t="shared" si="0"/>
        <v>#N/A</v>
      </c>
      <c r="T11" s="769" t="s">
        <v>17</v>
      </c>
      <c r="U11" s="770" t="e">
        <f t="shared" si="1"/>
        <v>#N/A</v>
      </c>
      <c r="V11" s="769" t="s">
        <v>17</v>
      </c>
      <c r="W11" s="770" t="e">
        <f t="shared" si="2"/>
        <v>#N/A</v>
      </c>
      <c r="X11" s="771"/>
      <c r="Y11" s="3107"/>
      <c r="Z11" s="55" t="str">
        <f t="shared" si="7"/>
        <v>容积率</v>
      </c>
      <c r="AA11" s="772" t="e">
        <f t="shared" si="3"/>
        <v>#N/A</v>
      </c>
      <c r="AB11" s="772" t="e">
        <f t="shared" si="4"/>
        <v>#N/A</v>
      </c>
      <c r="AC11" s="772"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272"/>
      <c r="Q12" s="1797" t="str">
        <f t="shared" si="6"/>
        <v>配建</v>
      </c>
      <c r="R12" s="769" t="s">
        <v>17</v>
      </c>
      <c r="S12" s="770">
        <f t="shared" si="0"/>
        <v>100</v>
      </c>
      <c r="T12" s="769" t="s">
        <v>17</v>
      </c>
      <c r="U12" s="770">
        <f t="shared" si="1"/>
        <v>100</v>
      </c>
      <c r="V12" s="769" t="s">
        <v>17</v>
      </c>
      <c r="W12" s="770">
        <f t="shared" si="2"/>
        <v>100</v>
      </c>
      <c r="X12" s="771"/>
      <c r="Y12" s="3107"/>
      <c r="Z12" s="55" t="str">
        <f t="shared" si="7"/>
        <v>配建</v>
      </c>
      <c r="AA12" s="772">
        <f>D12/F12</f>
        <v>1</v>
      </c>
      <c r="AB12" s="772">
        <f>D12/H12</f>
        <v>1</v>
      </c>
      <c r="AC12" s="772">
        <f>D12/J12</f>
        <v>1</v>
      </c>
    </row>
    <row r="13" spans="1:30" ht="15">
      <c r="A13" s="428"/>
      <c r="B13" s="2600">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272"/>
      <c r="Q13" s="1797">
        <f t="shared" si="6"/>
        <v>111</v>
      </c>
      <c r="R13" s="769" t="s">
        <v>17</v>
      </c>
      <c r="S13" s="770">
        <f t="shared" si="0"/>
        <v>100</v>
      </c>
      <c r="T13" s="769" t="s">
        <v>17</v>
      </c>
      <c r="U13" s="770">
        <f t="shared" si="1"/>
        <v>100</v>
      </c>
      <c r="V13" s="769" t="s">
        <v>17</v>
      </c>
      <c r="W13" s="770">
        <f t="shared" si="2"/>
        <v>100</v>
      </c>
      <c r="X13" s="771"/>
      <c r="Y13" s="3107"/>
      <c r="Z13" s="55">
        <f t="shared" si="7"/>
        <v>111</v>
      </c>
      <c r="AA13" s="772">
        <f>D13/F13</f>
        <v>1</v>
      </c>
      <c r="AB13" s="772">
        <f>D13/H13</f>
        <v>1</v>
      </c>
      <c r="AC13" s="772">
        <f>D13/J13</f>
        <v>1</v>
      </c>
    </row>
    <row r="14" spans="1:30" ht="15.75" thickBot="1">
      <c r="A14" s="436"/>
      <c r="B14" s="2602">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272"/>
      <c r="Q14" s="1797">
        <f t="shared" si="6"/>
        <v>111</v>
      </c>
      <c r="R14" s="769" t="s">
        <v>17</v>
      </c>
      <c r="S14" s="770">
        <f t="shared" si="0"/>
        <v>100</v>
      </c>
      <c r="T14" s="769" t="s">
        <v>17</v>
      </c>
      <c r="U14" s="770">
        <f t="shared" si="1"/>
        <v>100</v>
      </c>
      <c r="V14" s="769" t="s">
        <v>17</v>
      </c>
      <c r="W14" s="770">
        <f t="shared" si="2"/>
        <v>100</v>
      </c>
      <c r="X14" s="771"/>
      <c r="Y14" s="3107"/>
      <c r="Z14" s="55">
        <f t="shared" si="7"/>
        <v>111</v>
      </c>
      <c r="AA14" s="772">
        <f>D14/F14</f>
        <v>1</v>
      </c>
      <c r="AB14" s="772">
        <f>D14/H14</f>
        <v>1</v>
      </c>
      <c r="AC14" s="772">
        <f>D14/J14</f>
        <v>1</v>
      </c>
    </row>
    <row r="15" spans="1:30" ht="99.75">
      <c r="A15" s="440" t="s">
        <v>2557</v>
      </c>
      <c r="B15" s="69" t="s">
        <v>2082</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265" t="s">
        <v>2558</v>
      </c>
      <c r="Q15" s="1812" t="str">
        <f t="shared" si="6"/>
        <v>居住社区成熟度</v>
      </c>
      <c r="R15" s="773" t="s">
        <v>17</v>
      </c>
      <c r="S15" s="774">
        <f t="shared" si="0"/>
        <v>100</v>
      </c>
      <c r="T15" s="773" t="s">
        <v>17</v>
      </c>
      <c r="U15" s="774">
        <f t="shared" si="1"/>
        <v>100</v>
      </c>
      <c r="V15" s="773" t="s">
        <v>17</v>
      </c>
      <c r="W15" s="774">
        <f t="shared" si="2"/>
        <v>100</v>
      </c>
      <c r="X15" s="1815"/>
      <c r="Y15" s="3265" t="s">
        <v>2558</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1"/>
      <c r="L16" s="1142"/>
      <c r="M16" s="1133"/>
      <c r="N16" s="1133"/>
      <c r="O16" s="1141"/>
      <c r="P16" s="3266"/>
      <c r="Q16" s="1812"/>
      <c r="R16" s="773"/>
      <c r="S16" s="774"/>
      <c r="T16" s="773"/>
      <c r="U16" s="774"/>
      <c r="V16" s="773"/>
      <c r="W16" s="774"/>
      <c r="X16" s="1815"/>
      <c r="Y16" s="3266"/>
      <c r="Z16" s="1816"/>
      <c r="AA16" s="1813">
        <v>1</v>
      </c>
      <c r="AB16" s="1813">
        <v>1</v>
      </c>
      <c r="AC16" s="1813">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42"/>
      <c r="M17" s="1133"/>
      <c r="N17" s="1133"/>
      <c r="O17" s="1141"/>
      <c r="P17" s="3266"/>
      <c r="Q17" s="1812" t="str">
        <f>B17</f>
        <v>商业繁华度</v>
      </c>
      <c r="R17" s="773" t="s">
        <v>17</v>
      </c>
      <c r="S17" s="774">
        <f>F17</f>
        <v>100</v>
      </c>
      <c r="T17" s="773" t="s">
        <v>17</v>
      </c>
      <c r="U17" s="774">
        <f>H17</f>
        <v>100</v>
      </c>
      <c r="V17" s="773" t="s">
        <v>17</v>
      </c>
      <c r="W17" s="774">
        <f>J17</f>
        <v>100</v>
      </c>
      <c r="X17" s="1815"/>
      <c r="Y17" s="3266"/>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1"/>
      <c r="L18" s="1142"/>
      <c r="M18" s="1133"/>
      <c r="N18" s="1133"/>
      <c r="O18" s="1141"/>
      <c r="P18" s="3266"/>
      <c r="Q18" s="1812"/>
      <c r="R18" s="773"/>
      <c r="S18" s="774"/>
      <c r="T18" s="773"/>
      <c r="U18" s="774"/>
      <c r="V18" s="773"/>
      <c r="W18" s="774"/>
      <c r="X18" s="1815"/>
      <c r="Y18" s="3266"/>
      <c r="Z18" s="1816"/>
      <c r="AA18" s="1813">
        <v>1</v>
      </c>
      <c r="AB18" s="1813">
        <v>1</v>
      </c>
      <c r="AC18" s="1813">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266"/>
      <c r="Q19" s="1812" t="str">
        <f>B19</f>
        <v>办公集聚程度</v>
      </c>
      <c r="R19" s="773" t="s">
        <v>17</v>
      </c>
      <c r="S19" s="774">
        <f>F19</f>
        <v>100</v>
      </c>
      <c r="T19" s="773" t="s">
        <v>17</v>
      </c>
      <c r="U19" s="774">
        <f>H19</f>
        <v>100</v>
      </c>
      <c r="V19" s="773" t="s">
        <v>17</v>
      </c>
      <c r="W19" s="774">
        <f>J19</f>
        <v>100</v>
      </c>
      <c r="X19" s="1815"/>
      <c r="Y19" s="3266"/>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1"/>
      <c r="L20" s="1142"/>
      <c r="M20" s="1133"/>
      <c r="N20" s="1133"/>
      <c r="O20" s="1141"/>
      <c r="P20" s="3266"/>
      <c r="Q20" s="1812"/>
      <c r="R20" s="773"/>
      <c r="S20" s="774"/>
      <c r="T20" s="773"/>
      <c r="U20" s="774"/>
      <c r="V20" s="773"/>
      <c r="W20" s="774"/>
      <c r="X20" s="1815"/>
      <c r="Y20" s="3266"/>
      <c r="Z20" s="1816"/>
      <c r="AA20" s="1813">
        <v>1</v>
      </c>
      <c r="AB20" s="1813">
        <v>1</v>
      </c>
      <c r="AC20" s="1813">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266"/>
      <c r="Q21" s="1812" t="str">
        <f>B21</f>
        <v>交通便捷度</v>
      </c>
      <c r="R21" s="773" t="s">
        <v>17</v>
      </c>
      <c r="S21" s="774">
        <f>F21</f>
        <v>100</v>
      </c>
      <c r="T21" s="773" t="s">
        <v>17</v>
      </c>
      <c r="U21" s="774">
        <f>H21</f>
        <v>100</v>
      </c>
      <c r="V21" s="773" t="s">
        <v>17</v>
      </c>
      <c r="W21" s="774">
        <f>J21</f>
        <v>100</v>
      </c>
      <c r="X21" s="1815"/>
      <c r="Y21" s="3266"/>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1"/>
      <c r="L22" s="1142"/>
      <c r="M22" s="1133"/>
      <c r="N22" s="1133"/>
      <c r="O22" s="1141"/>
      <c r="P22" s="3266"/>
      <c r="Q22" s="1812"/>
      <c r="R22" s="773"/>
      <c r="S22" s="774"/>
      <c r="T22" s="773"/>
      <c r="U22" s="774"/>
      <c r="V22" s="773"/>
      <c r="W22" s="774"/>
      <c r="X22" s="1815"/>
      <c r="Y22" s="3266"/>
      <c r="Z22" s="1816"/>
      <c r="AA22" s="1813">
        <v>1</v>
      </c>
      <c r="AB22" s="1813">
        <v>1</v>
      </c>
      <c r="AC22" s="1813">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266"/>
      <c r="Q23" s="1812" t="str">
        <f t="shared" ref="Q23:Q37" si="8">B23</f>
        <v>区域土地利用方向</v>
      </c>
      <c r="R23" s="773" t="s">
        <v>17</v>
      </c>
      <c r="S23" s="774">
        <f>F23</f>
        <v>100</v>
      </c>
      <c r="T23" s="773" t="s">
        <v>17</v>
      </c>
      <c r="U23" s="774">
        <f>H23</f>
        <v>100</v>
      </c>
      <c r="V23" s="773" t="s">
        <v>17</v>
      </c>
      <c r="W23" s="774">
        <f>J23</f>
        <v>100</v>
      </c>
      <c r="X23" s="1815"/>
      <c r="Y23" s="3266"/>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1"/>
      <c r="L24" s="1142"/>
      <c r="M24" s="1133"/>
      <c r="N24" s="1133"/>
      <c r="O24" s="1141"/>
      <c r="P24" s="3266"/>
      <c r="Q24" s="1812"/>
      <c r="R24" s="773"/>
      <c r="S24" s="774"/>
      <c r="T24" s="773"/>
      <c r="U24" s="774"/>
      <c r="V24" s="773"/>
      <c r="W24" s="774"/>
      <c r="X24" s="1815"/>
      <c r="Y24" s="3266"/>
      <c r="Z24" s="1816"/>
      <c r="AA24" s="1813"/>
      <c r="AB24" s="1813"/>
      <c r="AC24" s="1813"/>
    </row>
    <row r="25" spans="1:29" ht="57">
      <c r="A25" s="404"/>
      <c r="B25" s="1386"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266"/>
      <c r="Q25" s="1812" t="str">
        <f t="shared" si="8"/>
        <v>自然及人文环境状况</v>
      </c>
      <c r="R25" s="773" t="s">
        <v>17</v>
      </c>
      <c r="S25" s="774">
        <f>F25</f>
        <v>100</v>
      </c>
      <c r="T25" s="773" t="s">
        <v>17</v>
      </c>
      <c r="U25" s="774">
        <f>H25</f>
        <v>100</v>
      </c>
      <c r="V25" s="773" t="s">
        <v>17</v>
      </c>
      <c r="W25" s="774">
        <f>J25</f>
        <v>100</v>
      </c>
      <c r="X25" s="1815"/>
      <c r="Y25" s="3266"/>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1"/>
      <c r="L26" s="1142"/>
      <c r="M26" s="1133"/>
      <c r="N26" s="1133"/>
      <c r="O26" s="1141"/>
      <c r="P26" s="3266"/>
      <c r="Q26" s="1812"/>
      <c r="R26" s="773"/>
      <c r="S26" s="774"/>
      <c r="T26" s="773"/>
      <c r="U26" s="774"/>
      <c r="V26" s="773"/>
      <c r="W26" s="774"/>
      <c r="X26" s="1815"/>
      <c r="Y26" s="3266"/>
      <c r="Z26" s="1816"/>
      <c r="AA26" s="1813">
        <v>1</v>
      </c>
      <c r="AB26" s="1813">
        <v>1</v>
      </c>
      <c r="AC26" s="1813">
        <v>1</v>
      </c>
    </row>
    <row r="27" spans="1:29" s="117" customFormat="1" ht="42.75">
      <c r="A27" s="648"/>
      <c r="B27" s="1386"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266"/>
      <c r="Q27" s="1797" t="str">
        <f t="shared" si="8"/>
        <v>公共配套设施</v>
      </c>
      <c r="R27" s="769" t="s">
        <v>17</v>
      </c>
      <c r="S27" s="770">
        <f>F27</f>
        <v>100</v>
      </c>
      <c r="T27" s="769" t="s">
        <v>17</v>
      </c>
      <c r="U27" s="770">
        <f>H27</f>
        <v>100</v>
      </c>
      <c r="V27" s="769" t="s">
        <v>17</v>
      </c>
      <c r="W27" s="770">
        <f>J27</f>
        <v>100</v>
      </c>
      <c r="X27" s="771"/>
      <c r="Y27" s="3266"/>
      <c r="Z27" s="55" t="str">
        <f>Q27</f>
        <v>公共配套设施</v>
      </c>
      <c r="AA27" s="1813">
        <f>D27/F27</f>
        <v>1</v>
      </c>
      <c r="AB27" s="1813">
        <f>D27/H27</f>
        <v>1</v>
      </c>
      <c r="AC27" s="1813">
        <f>D27/J27</f>
        <v>1</v>
      </c>
    </row>
    <row r="28" spans="1:29" s="117" customFormat="1" ht="15">
      <c r="A28" s="648"/>
      <c r="B28" s="456"/>
      <c r="C28" s="2700"/>
      <c r="D28" s="448"/>
      <c r="E28" s="2611"/>
      <c r="F28" s="448"/>
      <c r="G28" s="2611"/>
      <c r="H28" s="448"/>
      <c r="I28" s="447"/>
      <c r="J28" s="448"/>
      <c r="K28" s="671"/>
      <c r="L28" s="1134"/>
      <c r="M28" s="1135"/>
      <c r="N28" s="1135"/>
      <c r="O28" s="1136"/>
      <c r="P28" s="3266"/>
      <c r="Q28" s="1797"/>
      <c r="R28" s="769"/>
      <c r="S28" s="770"/>
      <c r="T28" s="769"/>
      <c r="U28" s="770"/>
      <c r="V28" s="769"/>
      <c r="W28" s="770"/>
      <c r="X28" s="771"/>
      <c r="Y28" s="3266"/>
      <c r="Z28" s="55"/>
      <c r="AA28" s="1813">
        <v>1</v>
      </c>
      <c r="AB28" s="1813">
        <v>1</v>
      </c>
      <c r="AC28" s="1813">
        <v>1</v>
      </c>
    </row>
    <row r="29" spans="1:29" s="117" customFormat="1" ht="28.5">
      <c r="A29" s="648"/>
      <c r="B29" s="1386"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266"/>
      <c r="Q29" s="1797" t="str">
        <f t="shared" ref="Q29" si="9">B29</f>
        <v>基础设施水平</v>
      </c>
      <c r="R29" s="769" t="s">
        <v>17</v>
      </c>
      <c r="S29" s="770">
        <f>F29</f>
        <v>100</v>
      </c>
      <c r="T29" s="769" t="s">
        <v>17</v>
      </c>
      <c r="U29" s="770">
        <f>H29</f>
        <v>100</v>
      </c>
      <c r="V29" s="769" t="s">
        <v>17</v>
      </c>
      <c r="W29" s="770">
        <f>J29</f>
        <v>100</v>
      </c>
      <c r="X29" s="771"/>
      <c r="Y29" s="3266"/>
      <c r="Z29" s="55" t="str">
        <f>Q29</f>
        <v>基础设施水平</v>
      </c>
      <c r="AA29" s="1813">
        <f>D29/F29</f>
        <v>1</v>
      </c>
      <c r="AB29" s="1813">
        <f>D29/H29</f>
        <v>1</v>
      </c>
      <c r="AC29" s="1813">
        <f>D29/J29</f>
        <v>1</v>
      </c>
    </row>
    <row r="30" spans="1:29" s="117" customFormat="1" ht="15">
      <c r="A30" s="648"/>
      <c r="B30" s="456"/>
      <c r="C30" s="2700"/>
      <c r="D30" s="448"/>
      <c r="E30" s="2701"/>
      <c r="F30" s="448"/>
      <c r="G30" s="2701"/>
      <c r="H30" s="448"/>
      <c r="I30" s="2701"/>
      <c r="J30" s="448"/>
      <c r="K30" s="671"/>
      <c r="L30" s="1134"/>
      <c r="M30" s="1135"/>
      <c r="N30" s="1135"/>
      <c r="O30" s="1136"/>
      <c r="P30" s="3266"/>
      <c r="Q30" s="1797"/>
      <c r="R30" s="769"/>
      <c r="S30" s="770"/>
      <c r="T30" s="769"/>
      <c r="U30" s="770"/>
      <c r="V30" s="769"/>
      <c r="W30" s="770"/>
      <c r="X30" s="771"/>
      <c r="Y30" s="3266"/>
      <c r="Z30" s="55"/>
      <c r="AA30" s="1813">
        <v>1</v>
      </c>
      <c r="AB30" s="1813">
        <v>1</v>
      </c>
      <c r="AC30" s="1813">
        <v>1</v>
      </c>
    </row>
    <row r="31" spans="1:29" ht="15">
      <c r="A31" s="428"/>
      <c r="B31" s="456" t="s">
        <v>2654</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266"/>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66"/>
      <c r="Z31" s="1816" t="str">
        <f t="shared" ref="Z31:Z45" si="13">Q31</f>
        <v>临街状况</v>
      </c>
      <c r="AA31" s="1813">
        <f t="shared" si="3"/>
        <v>1</v>
      </c>
      <c r="AB31" s="1813">
        <f t="shared" si="4"/>
        <v>1</v>
      </c>
      <c r="AC31" s="1813">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2"/>
      <c r="M32" s="1133"/>
      <c r="N32" s="1133"/>
      <c r="O32" s="1141"/>
      <c r="P32" s="3266"/>
      <c r="Q32" s="1812" t="str">
        <f t="shared" si="8"/>
        <v>毗邻道路的类型与等级</v>
      </c>
      <c r="R32" s="773" t="s">
        <v>17</v>
      </c>
      <c r="S32" s="774">
        <f t="shared" si="10"/>
        <v>100</v>
      </c>
      <c r="T32" s="773" t="s">
        <v>17</v>
      </c>
      <c r="U32" s="774">
        <f t="shared" si="11"/>
        <v>100</v>
      </c>
      <c r="V32" s="773" t="s">
        <v>17</v>
      </c>
      <c r="W32" s="774">
        <f t="shared" si="12"/>
        <v>100</v>
      </c>
      <c r="X32" s="1815"/>
      <c r="Y32" s="3266"/>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2"/>
      <c r="M33" s="1133"/>
      <c r="N33" s="1133"/>
      <c r="O33" s="1141"/>
      <c r="P33" s="3266"/>
      <c r="Q33" s="1812"/>
      <c r="R33" s="773"/>
      <c r="S33" s="774"/>
      <c r="T33" s="773"/>
      <c r="U33" s="774"/>
      <c r="V33" s="773"/>
      <c r="W33" s="774"/>
      <c r="X33" s="1815"/>
      <c r="Y33" s="3266"/>
      <c r="Z33" s="1816"/>
      <c r="AA33" s="1813">
        <v>1</v>
      </c>
      <c r="AB33" s="1813">
        <v>1</v>
      </c>
      <c r="AC33" s="1813">
        <v>1</v>
      </c>
    </row>
    <row r="34" spans="1:29" ht="15">
      <c r="A34" s="428"/>
      <c r="B34" s="422" t="s">
        <v>2748</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266"/>
      <c r="Q34" s="1812" t="str">
        <f t="shared" si="8"/>
        <v>土地级别</v>
      </c>
      <c r="R34" s="773" t="s">
        <v>17</v>
      </c>
      <c r="S34" s="774">
        <f t="shared" si="10"/>
        <v>100</v>
      </c>
      <c r="T34" s="773" t="s">
        <v>17</v>
      </c>
      <c r="U34" s="774">
        <f t="shared" si="11"/>
        <v>100</v>
      </c>
      <c r="V34" s="773" t="s">
        <v>17</v>
      </c>
      <c r="W34" s="774">
        <f t="shared" si="12"/>
        <v>100</v>
      </c>
      <c r="X34" s="1815"/>
      <c r="Y34" s="3266"/>
      <c r="Z34" s="1816" t="str">
        <f t="shared" si="13"/>
        <v>土地级别</v>
      </c>
      <c r="AA34" s="1813">
        <f t="shared" si="3"/>
        <v>1</v>
      </c>
      <c r="AB34" s="1813">
        <f t="shared" si="4"/>
        <v>1</v>
      </c>
      <c r="AC34" s="1813">
        <f t="shared" si="5"/>
        <v>1</v>
      </c>
    </row>
    <row r="35" spans="1:29" ht="15">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266"/>
      <c r="Q35" s="1812">
        <f t="shared" si="8"/>
        <v>111</v>
      </c>
      <c r="R35" s="773" t="s">
        <v>17</v>
      </c>
      <c r="S35" s="774">
        <f t="shared" si="10"/>
        <v>100</v>
      </c>
      <c r="T35" s="773" t="s">
        <v>17</v>
      </c>
      <c r="U35" s="774">
        <f t="shared" si="11"/>
        <v>100</v>
      </c>
      <c r="V35" s="773" t="s">
        <v>17</v>
      </c>
      <c r="W35" s="774">
        <f t="shared" si="12"/>
        <v>100</v>
      </c>
      <c r="X35" s="1815"/>
      <c r="Y35" s="3266"/>
      <c r="Z35" s="1816">
        <f t="shared" si="13"/>
        <v>111</v>
      </c>
      <c r="AA35" s="1813">
        <f t="shared" si="3"/>
        <v>1</v>
      </c>
      <c r="AB35" s="1813">
        <f t="shared" si="4"/>
        <v>1</v>
      </c>
      <c r="AC35" s="1813">
        <f t="shared" si="5"/>
        <v>1</v>
      </c>
    </row>
    <row r="36" spans="1:29" ht="15">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322" t="s">
        <v>2563</v>
      </c>
      <c r="Q36" s="1812">
        <f t="shared" si="8"/>
        <v>111</v>
      </c>
      <c r="R36" s="773" t="s">
        <v>17</v>
      </c>
      <c r="S36" s="774">
        <f t="shared" si="10"/>
        <v>100</v>
      </c>
      <c r="T36" s="773" t="s">
        <v>17</v>
      </c>
      <c r="U36" s="774">
        <f t="shared" si="11"/>
        <v>100</v>
      </c>
      <c r="V36" s="773" t="s">
        <v>17</v>
      </c>
      <c r="W36" s="774">
        <f t="shared" si="12"/>
        <v>100</v>
      </c>
      <c r="X36" s="1815"/>
      <c r="Y36" s="3270" t="s">
        <v>2563</v>
      </c>
      <c r="Z36" s="1816">
        <f t="shared" si="13"/>
        <v>111</v>
      </c>
      <c r="AA36" s="1813">
        <f t="shared" si="3"/>
        <v>1</v>
      </c>
      <c r="AB36" s="1813">
        <f t="shared" si="4"/>
        <v>1</v>
      </c>
      <c r="AC36" s="1813">
        <f t="shared" si="5"/>
        <v>1</v>
      </c>
    </row>
    <row r="37" spans="1:29" s="471"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270"/>
      <c r="Q37" s="1812">
        <f t="shared" si="8"/>
        <v>111</v>
      </c>
      <c r="R37" s="776" t="s">
        <v>17</v>
      </c>
      <c r="S37" s="777">
        <f t="shared" si="10"/>
        <v>100</v>
      </c>
      <c r="T37" s="776" t="s">
        <v>17</v>
      </c>
      <c r="U37" s="777">
        <f t="shared" si="11"/>
        <v>100</v>
      </c>
      <c r="V37" s="776" t="s">
        <v>17</v>
      </c>
      <c r="W37" s="777">
        <f t="shared" si="12"/>
        <v>100</v>
      </c>
      <c r="X37" s="778"/>
      <c r="Y37" s="3270"/>
      <c r="Z37" s="779">
        <f t="shared" si="13"/>
        <v>111</v>
      </c>
      <c r="AA37" s="1813">
        <f t="shared" si="3"/>
        <v>1</v>
      </c>
      <c r="AB37" s="1813">
        <f t="shared" si="4"/>
        <v>1</v>
      </c>
      <c r="AC37" s="1813">
        <f t="shared" si="5"/>
        <v>1</v>
      </c>
    </row>
    <row r="38" spans="1:29" ht="15">
      <c r="A38" s="472" t="s">
        <v>2561</v>
      </c>
      <c r="B38" s="456" t="s">
        <v>2749</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2"/>
      <c r="M38" s="1133"/>
      <c r="N38" s="1133"/>
      <c r="O38" s="1141"/>
      <c r="P38" s="3270"/>
      <c r="Q38" s="1812" t="str">
        <f>B38</f>
        <v>宗地面积</v>
      </c>
      <c r="R38" s="773" t="s">
        <v>17</v>
      </c>
      <c r="S38" s="774" t="e">
        <f t="shared" si="10"/>
        <v>#N/A</v>
      </c>
      <c r="T38" s="773" t="s">
        <v>17</v>
      </c>
      <c r="U38" s="774" t="e">
        <f t="shared" si="11"/>
        <v>#N/A</v>
      </c>
      <c r="V38" s="773" t="s">
        <v>17</v>
      </c>
      <c r="W38" s="774" t="e">
        <f t="shared" si="12"/>
        <v>#N/A</v>
      </c>
      <c r="X38" s="1815"/>
      <c r="Y38" s="3270"/>
      <c r="Z38" s="1816" t="str">
        <f t="shared" si="13"/>
        <v>宗地面积</v>
      </c>
      <c r="AA38" s="1813" t="e">
        <f t="shared" si="3"/>
        <v>#N/A</v>
      </c>
      <c r="AB38" s="1813" t="e">
        <f t="shared" si="4"/>
        <v>#N/A</v>
      </c>
      <c r="AC38" s="1813"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270"/>
      <c r="Q39" s="1812" t="str">
        <f t="shared" ref="Q39:Q45" si="14">B39</f>
        <v>宗地形状</v>
      </c>
      <c r="R39" s="773" t="s">
        <v>17</v>
      </c>
      <c r="S39" s="774">
        <f t="shared" si="10"/>
        <v>100</v>
      </c>
      <c r="T39" s="773" t="s">
        <v>17</v>
      </c>
      <c r="U39" s="774">
        <f t="shared" si="11"/>
        <v>100</v>
      </c>
      <c r="V39" s="773" t="s">
        <v>17</v>
      </c>
      <c r="W39" s="774">
        <f t="shared" si="12"/>
        <v>100</v>
      </c>
      <c r="X39" s="1815"/>
      <c r="Y39" s="3270"/>
      <c r="Z39" s="1816" t="str">
        <f t="shared" si="13"/>
        <v>宗地形状</v>
      </c>
      <c r="AA39" s="1813">
        <f t="shared" si="3"/>
        <v>1</v>
      </c>
      <c r="AB39" s="1813">
        <f t="shared" si="4"/>
        <v>1</v>
      </c>
      <c r="AC39" s="1813">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270"/>
      <c r="Q40" s="1812" t="str">
        <f t="shared" si="14"/>
        <v>临街宽度及深度</v>
      </c>
      <c r="R40" s="773" t="s">
        <v>17</v>
      </c>
      <c r="S40" s="774">
        <f t="shared" si="10"/>
        <v>100</v>
      </c>
      <c r="T40" s="773" t="s">
        <v>17</v>
      </c>
      <c r="U40" s="774">
        <f t="shared" si="11"/>
        <v>100</v>
      </c>
      <c r="V40" s="773" t="s">
        <v>17</v>
      </c>
      <c r="W40" s="774">
        <f t="shared" si="12"/>
        <v>100</v>
      </c>
      <c r="X40" s="1815"/>
      <c r="Y40" s="3270"/>
      <c r="Z40" s="1816" t="str">
        <f t="shared" si="13"/>
        <v>临街宽度及深度</v>
      </c>
      <c r="AA40" s="1813">
        <f t="shared" si="3"/>
        <v>1</v>
      </c>
      <c r="AB40" s="1813">
        <f t="shared" si="4"/>
        <v>1</v>
      </c>
      <c r="AC40" s="1813">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270"/>
      <c r="Q41" s="1812" t="str">
        <f t="shared" si="14"/>
        <v>宗地开发程度</v>
      </c>
      <c r="R41" s="769" t="s">
        <v>17</v>
      </c>
      <c r="S41" s="770">
        <f t="shared" si="10"/>
        <v>100</v>
      </c>
      <c r="T41" s="769" t="s">
        <v>17</v>
      </c>
      <c r="U41" s="770">
        <f t="shared" si="11"/>
        <v>100</v>
      </c>
      <c r="V41" s="769" t="s">
        <v>17</v>
      </c>
      <c r="W41" s="770">
        <f t="shared" si="12"/>
        <v>100</v>
      </c>
      <c r="X41" s="771"/>
      <c r="Y41" s="3270"/>
      <c r="Z41" s="55" t="str">
        <f t="shared" si="13"/>
        <v>宗地开发程度</v>
      </c>
      <c r="AA41" s="772">
        <f t="shared" si="3"/>
        <v>1</v>
      </c>
      <c r="AB41" s="772">
        <f t="shared" si="4"/>
        <v>1</v>
      </c>
      <c r="AC41" s="772">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270" t="s">
        <v>2563</v>
      </c>
      <c r="Q42" s="1812" t="str">
        <f t="shared" si="14"/>
        <v>工程地质条件</v>
      </c>
      <c r="R42" s="773" t="s">
        <v>17</v>
      </c>
      <c r="S42" s="774">
        <f t="shared" si="10"/>
        <v>100</v>
      </c>
      <c r="T42" s="773" t="s">
        <v>17</v>
      </c>
      <c r="U42" s="774">
        <f t="shared" si="11"/>
        <v>100</v>
      </c>
      <c r="V42" s="773" t="s">
        <v>17</v>
      </c>
      <c r="W42" s="774">
        <f t="shared" si="12"/>
        <v>100</v>
      </c>
      <c r="X42" s="1815"/>
      <c r="Y42" s="3270" t="s">
        <v>2563</v>
      </c>
      <c r="Z42" s="1816" t="str">
        <f t="shared" si="13"/>
        <v>工程地质条件</v>
      </c>
      <c r="AA42" s="1813">
        <f t="shared" si="3"/>
        <v>1</v>
      </c>
      <c r="AB42" s="1813">
        <f t="shared" si="4"/>
        <v>1</v>
      </c>
      <c r="AC42" s="1813">
        <f t="shared" si="5"/>
        <v>1</v>
      </c>
    </row>
    <row r="43" spans="1:29" ht="15">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270"/>
      <c r="Q43" s="1812">
        <f t="shared" si="14"/>
        <v>111</v>
      </c>
      <c r="R43" s="773" t="s">
        <v>17</v>
      </c>
      <c r="S43" s="774">
        <f t="shared" si="10"/>
        <v>100</v>
      </c>
      <c r="T43" s="773" t="s">
        <v>17</v>
      </c>
      <c r="U43" s="774">
        <f t="shared" si="11"/>
        <v>100</v>
      </c>
      <c r="V43" s="773" t="s">
        <v>17</v>
      </c>
      <c r="W43" s="774">
        <f t="shared" si="12"/>
        <v>100</v>
      </c>
      <c r="X43" s="1815"/>
      <c r="Y43" s="3270"/>
      <c r="Z43" s="1816">
        <f t="shared" si="13"/>
        <v>111</v>
      </c>
      <c r="AA43" s="1813">
        <f t="shared" si="3"/>
        <v>1</v>
      </c>
      <c r="AB43" s="1813">
        <f t="shared" si="4"/>
        <v>1</v>
      </c>
      <c r="AC43" s="1813">
        <f t="shared" si="5"/>
        <v>1</v>
      </c>
    </row>
    <row r="44" spans="1:29" ht="15">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270"/>
      <c r="Q44" s="1812">
        <f t="shared" si="14"/>
        <v>111</v>
      </c>
      <c r="R44" s="773" t="s">
        <v>17</v>
      </c>
      <c r="S44" s="774">
        <f t="shared" si="10"/>
        <v>100</v>
      </c>
      <c r="T44" s="773" t="s">
        <v>17</v>
      </c>
      <c r="U44" s="774">
        <f t="shared" si="11"/>
        <v>100</v>
      </c>
      <c r="V44" s="773" t="s">
        <v>17</v>
      </c>
      <c r="W44" s="774">
        <f t="shared" si="12"/>
        <v>100</v>
      </c>
      <c r="X44" s="1815"/>
      <c r="Y44" s="3270"/>
      <c r="Z44" s="1816">
        <f t="shared" si="13"/>
        <v>111</v>
      </c>
      <c r="AA44" s="1813">
        <f t="shared" si="3"/>
        <v>1</v>
      </c>
      <c r="AB44" s="1813">
        <f t="shared" si="4"/>
        <v>1</v>
      </c>
      <c r="AC44" s="1813">
        <f t="shared" si="5"/>
        <v>1</v>
      </c>
    </row>
    <row r="45" spans="1:29" s="471" customFormat="1" ht="15.75" thickBot="1">
      <c r="A45" s="468"/>
      <c r="B45" s="1389">
        <v>111</v>
      </c>
      <c r="C45" s="2703"/>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270"/>
      <c r="Q45" s="1812">
        <f t="shared" si="14"/>
        <v>111</v>
      </c>
      <c r="R45" s="776" t="s">
        <v>17</v>
      </c>
      <c r="S45" s="777">
        <f t="shared" si="10"/>
        <v>100</v>
      </c>
      <c r="T45" s="776" t="s">
        <v>17</v>
      </c>
      <c r="U45" s="777">
        <f t="shared" si="11"/>
        <v>100</v>
      </c>
      <c r="V45" s="776" t="s">
        <v>17</v>
      </c>
      <c r="W45" s="777">
        <f t="shared" si="12"/>
        <v>100</v>
      </c>
      <c r="X45" s="778"/>
      <c r="Y45" s="3270"/>
      <c r="Z45" s="779">
        <f t="shared" si="13"/>
        <v>111</v>
      </c>
      <c r="AA45" s="1813">
        <f t="shared" si="3"/>
        <v>1</v>
      </c>
      <c r="AB45" s="1813">
        <f t="shared" si="4"/>
        <v>1</v>
      </c>
      <c r="AC45" s="1813">
        <f t="shared" si="5"/>
        <v>1</v>
      </c>
    </row>
    <row r="46" spans="1:29" ht="15">
      <c r="A46" s="479" t="s">
        <v>2718</v>
      </c>
      <c r="B46" s="2704" t="s">
        <v>2754</v>
      </c>
      <c r="C46" s="681" t="s">
        <v>1</v>
      </c>
      <c r="D46" s="481"/>
      <c r="E46" s="482"/>
      <c r="F46" s="483"/>
      <c r="G46" s="484"/>
      <c r="H46" s="485"/>
      <c r="I46" s="482"/>
      <c r="J46" s="485"/>
      <c r="K46" s="782"/>
      <c r="L46" s="1145"/>
      <c r="M46" s="1146"/>
      <c r="N46" s="1133"/>
      <c r="O46" s="1146"/>
      <c r="P46" s="3272" t="str">
        <f>A46</f>
        <v>成交单价</v>
      </c>
      <c r="Q46" s="3272"/>
      <c r="R46" s="3233">
        <f>E46</f>
        <v>0</v>
      </c>
      <c r="S46" s="3233"/>
      <c r="T46" s="3233">
        <f>G46</f>
        <v>0</v>
      </c>
      <c r="U46" s="3233"/>
      <c r="V46" s="3233">
        <f>I46</f>
        <v>0</v>
      </c>
      <c r="W46" s="3233"/>
      <c r="X46" s="758"/>
      <c r="Y46" s="780"/>
      <c r="Z46" s="758"/>
      <c r="AA46" s="758"/>
      <c r="AB46" s="758"/>
      <c r="AC46" s="758"/>
    </row>
    <row r="47" spans="1:29" ht="15.75" thickBot="1">
      <c r="A47" s="486" t="s">
        <v>2667</v>
      </c>
      <c r="B47" s="682"/>
      <c r="C47" s="490" t="e">
        <f>R48</f>
        <v>#DIV/0!</v>
      </c>
      <c r="D47" s="489"/>
      <c r="E47" s="490" t="e">
        <f>R47</f>
        <v>#DIV/0!</v>
      </c>
      <c r="F47" s="491"/>
      <c r="G47" s="488" t="e">
        <f>T47</f>
        <v>#DIV/0!</v>
      </c>
      <c r="H47" s="489"/>
      <c r="I47" s="490" t="e">
        <f>V47</f>
        <v>#DIV/0!</v>
      </c>
      <c r="J47" s="489"/>
      <c r="K47" s="783"/>
      <c r="L47" s="1145"/>
      <c r="M47" s="1146"/>
      <c r="N47" s="1146"/>
      <c r="O47" s="1146"/>
      <c r="P47" s="3272" t="str">
        <f>A47</f>
        <v>比较价值（元/平方米）</v>
      </c>
      <c r="Q47" s="3272"/>
      <c r="R47" s="3323" t="e">
        <f>ROUND(PRODUCT(R46,AA7:AA45),0)</f>
        <v>#DIV/0!</v>
      </c>
      <c r="S47" s="3323"/>
      <c r="T47" s="3323" t="e">
        <f>ROUND(PRODUCT(T46,AB7:AB45),0)</f>
        <v>#DIV/0!</v>
      </c>
      <c r="U47" s="3323"/>
      <c r="V47" s="3323" t="e">
        <f>ROUND(PRODUCT(V46,AC7:AC45),0)</f>
        <v>#DIV/0!</v>
      </c>
      <c r="W47" s="3323"/>
      <c r="X47" s="758"/>
      <c r="Y47" s="758"/>
      <c r="Z47" s="758"/>
      <c r="AA47" s="758"/>
      <c r="AB47" s="758"/>
      <c r="AC47" s="758"/>
    </row>
    <row r="48" spans="1:29" ht="15.75" thickBot="1">
      <c r="A48" s="492" t="s">
        <v>2755</v>
      </c>
      <c r="B48" s="493"/>
      <c r="C48" s="494" t="e">
        <f>R48</f>
        <v>#DIV/0!</v>
      </c>
      <c r="D48" s="494"/>
      <c r="E48" s="494"/>
      <c r="F48" s="494"/>
      <c r="G48" s="494"/>
      <c r="H48" s="494"/>
      <c r="I48" s="494"/>
      <c r="J48" s="494"/>
      <c r="K48" s="784"/>
      <c r="L48" s="1145"/>
      <c r="M48" s="1146"/>
      <c r="N48" s="1146"/>
      <c r="O48" s="1146"/>
      <c r="P48" s="3274" t="str">
        <f>A48</f>
        <v>估价对象XX用房的比较价值（楼面单价，元/平方米）</v>
      </c>
      <c r="Q48" s="3275"/>
      <c r="R48" s="3324" t="e">
        <f>ROUND(AVERAGE(R47:V47),0)</f>
        <v>#DIV/0!</v>
      </c>
      <c r="S48" s="3324"/>
      <c r="T48" s="3324"/>
      <c r="U48" s="3324"/>
      <c r="V48" s="3324"/>
      <c r="W48" s="3324"/>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5" t="s">
        <v>2758</v>
      </c>
      <c r="D55" s="2706" t="s">
        <v>2759</v>
      </c>
      <c r="E55" s="685" t="s">
        <v>2760</v>
      </c>
      <c r="F55" s="1109" t="s">
        <v>2761</v>
      </c>
      <c r="G55" s="3250" t="s">
        <v>2762</v>
      </c>
      <c r="H55" s="3325"/>
      <c r="I55" s="144" t="s">
        <v>2763</v>
      </c>
      <c r="J55" s="2707" t="str">
        <f>项目基本情况!F35</f>
        <v>湖北省武汉市</v>
      </c>
      <c r="K55" s="2708" t="s">
        <v>2764</v>
      </c>
      <c r="L55" s="1108"/>
      <c r="M55" s="1146"/>
      <c r="N55" s="1146"/>
      <c r="O55" s="1146"/>
    </row>
    <row r="56" spans="1:15" s="691" customFormat="1">
      <c r="A56" s="687" t="s">
        <v>2765</v>
      </c>
      <c r="B56" s="688" t="e">
        <f>C48</f>
        <v>#DIV/0!</v>
      </c>
      <c r="C56" s="689">
        <v>1</v>
      </c>
      <c r="D56" s="1165">
        <v>1</v>
      </c>
      <c r="E56" s="689">
        <f>'数据-汇总表'!E8+'数据-汇总表'!E9</f>
        <v>13306.869999999999</v>
      </c>
      <c r="F56" s="1105" t="e">
        <f t="shared" ref="F56:F65" si="15">ROUND(B56*E56/10000,0)</f>
        <v>#DIV/0!</v>
      </c>
      <c r="G56" s="3249"/>
      <c r="H56" s="3272"/>
      <c r="I56" s="1110">
        <v>1</v>
      </c>
      <c r="J56" s="1113">
        <v>1</v>
      </c>
      <c r="K56" s="1147"/>
      <c r="L56" s="943"/>
      <c r="M56" s="943"/>
      <c r="N56" s="943"/>
      <c r="O56" s="943"/>
    </row>
    <row r="57" spans="1:15" s="691" customFormat="1">
      <c r="A57" s="692" t="s">
        <v>2766</v>
      </c>
      <c r="B57" s="262" t="e">
        <f>ROUND($C$48*C57*D57,0)</f>
        <v>#DIV/0!</v>
      </c>
      <c r="C57" s="200">
        <f t="shared" ref="C57:C65" si="16">IF($C$55="北京市系数",I57,J57)</f>
        <v>0.8</v>
      </c>
      <c r="D57" s="1166">
        <v>0.25</v>
      </c>
      <c r="E57" s="693"/>
      <c r="F57" s="1105" t="e">
        <f t="shared" si="15"/>
        <v>#DIV/0!</v>
      </c>
      <c r="G57" s="3326" t="s">
        <v>2767</v>
      </c>
      <c r="H57" s="1106" t="str">
        <f>项目基本情况!B37</f>
        <v>一级</v>
      </c>
      <c r="I57" s="1110">
        <f>SUMIF(修正!A45:A56,H57,修正!B45:B56)</f>
        <v>0.8</v>
      </c>
      <c r="J57" s="1114"/>
      <c r="K57" s="1146"/>
      <c r="L57" s="943"/>
      <c r="M57" s="943"/>
      <c r="N57" s="943"/>
      <c r="O57" s="943"/>
    </row>
    <row r="58" spans="1:15" s="691" customFormat="1">
      <c r="A58" s="692" t="s">
        <v>2768</v>
      </c>
      <c r="B58" s="262" t="e">
        <f t="shared" ref="B58:B65" si="17">ROUND($C$48*C58*D58,0)</f>
        <v>#DIV/0!</v>
      </c>
      <c r="C58" s="200">
        <f t="shared" si="16"/>
        <v>0.5</v>
      </c>
      <c r="D58" s="1166">
        <v>0.25</v>
      </c>
      <c r="E58" s="693"/>
      <c r="F58" s="1105" t="e">
        <f t="shared" si="15"/>
        <v>#DIV/0!</v>
      </c>
      <c r="G58" s="3326"/>
      <c r="H58" s="1106" t="str">
        <f>项目基本情况!B37</f>
        <v>一级</v>
      </c>
      <c r="I58" s="1110">
        <f>SUMIF(修正!A45:A56,H58,修正!C45:C56)</f>
        <v>0.5</v>
      </c>
      <c r="J58" s="1114"/>
      <c r="K58" s="1147"/>
      <c r="L58" s="943"/>
      <c r="M58" s="943"/>
      <c r="N58" s="943"/>
      <c r="O58" s="943"/>
    </row>
    <row r="59" spans="1:15" s="691" customFormat="1">
      <c r="A59" s="692" t="s">
        <v>2769</v>
      </c>
      <c r="B59" s="262" t="e">
        <f t="shared" si="17"/>
        <v>#DIV/0!</v>
      </c>
      <c r="C59" s="200">
        <f t="shared" si="16"/>
        <v>0.36</v>
      </c>
      <c r="D59" s="1166">
        <v>0.25</v>
      </c>
      <c r="E59" s="693"/>
      <c r="F59" s="1105" t="e">
        <f t="shared" si="15"/>
        <v>#DIV/0!</v>
      </c>
      <c r="G59" s="3326"/>
      <c r="H59" s="1106" t="str">
        <f>项目基本情况!B37</f>
        <v>一级</v>
      </c>
      <c r="I59" s="1110">
        <f>SUMIF(修正!A45:A56,H59,修正!D45:D56)</f>
        <v>0.36</v>
      </c>
      <c r="J59" s="1114"/>
      <c r="K59" s="1146"/>
      <c r="L59" s="943"/>
      <c r="M59" s="943"/>
      <c r="N59" s="943"/>
      <c r="O59" s="943"/>
    </row>
    <row r="60" spans="1:15" s="691" customFormat="1">
      <c r="A60" s="692" t="s">
        <v>2770</v>
      </c>
      <c r="B60" s="262" t="e">
        <f t="shared" si="17"/>
        <v>#DIV/0!</v>
      </c>
      <c r="C60" s="200">
        <f t="shared" si="16"/>
        <v>0.3</v>
      </c>
      <c r="D60" s="1166">
        <v>0.25</v>
      </c>
      <c r="E60" s="693"/>
      <c r="F60" s="1105" t="e">
        <f t="shared" si="15"/>
        <v>#DIV/0!</v>
      </c>
      <c r="G60" s="3326"/>
      <c r="H60" s="1106" t="str">
        <f>项目基本情况!B37</f>
        <v>一级</v>
      </c>
      <c r="I60" s="1110">
        <f>SUMIF(修正!A45:A56,H60,修正!E45:E56)</f>
        <v>0.3</v>
      </c>
      <c r="J60" s="1114"/>
      <c r="K60" s="1147"/>
      <c r="L60" s="943"/>
      <c r="M60" s="943"/>
      <c r="N60" s="943"/>
      <c r="O60" s="943"/>
    </row>
    <row r="61" spans="1:15" s="691" customFormat="1">
      <c r="A61" s="692" t="s">
        <v>2771</v>
      </c>
      <c r="B61" s="262" t="e">
        <f t="shared" si="17"/>
        <v>#DIV/0!</v>
      </c>
      <c r="C61" s="200">
        <f t="shared" si="16"/>
        <v>0</v>
      </c>
      <c r="D61" s="1166">
        <v>0.25</v>
      </c>
      <c r="E61" s="261">
        <f>'数据-汇总表'!E11</f>
        <v>0</v>
      </c>
      <c r="F61" s="1105" t="e">
        <f t="shared" si="15"/>
        <v>#DIV/0!</v>
      </c>
      <c r="G61" s="2709" t="s">
        <v>2772</v>
      </c>
      <c r="H61" s="1106">
        <f>项目基本情况!C37</f>
        <v>0</v>
      </c>
      <c r="I61" s="1110">
        <f>SUMIF(修正!A45:A56,H61,修正!F45:F56)</f>
        <v>0</v>
      </c>
      <c r="J61" s="1114"/>
      <c r="K61" s="1146"/>
      <c r="L61" s="943"/>
      <c r="M61" s="943"/>
      <c r="N61" s="943"/>
      <c r="O61" s="943"/>
    </row>
    <row r="62" spans="1:15" s="691" customFormat="1">
      <c r="A62" s="692" t="s">
        <v>2773</v>
      </c>
      <c r="B62" s="262" t="e">
        <f t="shared" si="17"/>
        <v>#DIV/0!</v>
      </c>
      <c r="C62" s="200">
        <f t="shared" si="16"/>
        <v>0</v>
      </c>
      <c r="D62" s="1166">
        <v>0.25</v>
      </c>
      <c r="E62" s="261">
        <f>'数据-汇总表'!E12</f>
        <v>0</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2775</v>
      </c>
      <c r="B63" s="262" t="e">
        <f t="shared" si="17"/>
        <v>#DIV/0!</v>
      </c>
      <c r="C63" s="200">
        <f t="shared" si="16"/>
        <v>0</v>
      </c>
      <c r="D63" s="1166">
        <v>0.25</v>
      </c>
      <c r="E63" s="261">
        <f>'数据-汇总表'!E13</f>
        <v>0</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2777</v>
      </c>
      <c r="B64" s="262" t="e">
        <f t="shared" si="17"/>
        <v>#DIV/0!</v>
      </c>
      <c r="C64" s="200">
        <f t="shared" si="16"/>
        <v>0.25</v>
      </c>
      <c r="D64" s="1166">
        <v>0.25</v>
      </c>
      <c r="E64" s="261">
        <f>'数据-汇总表'!E14</f>
        <v>0</v>
      </c>
      <c r="F64" s="1105" t="e">
        <f t="shared" si="15"/>
        <v>#DIV/0!</v>
      </c>
      <c r="G64" s="2709" t="s">
        <v>2767</v>
      </c>
      <c r="H64" s="1106" t="str">
        <f>项目基本情况!B37</f>
        <v>一级</v>
      </c>
      <c r="I64" s="1110">
        <f>SUMIF(修正!A45:A56,H64,修正!H45:H56)</f>
        <v>0.25</v>
      </c>
      <c r="J64" s="1114"/>
      <c r="K64" s="1147"/>
      <c r="L64" s="943"/>
      <c r="M64" s="943"/>
      <c r="N64" s="943"/>
      <c r="O64" s="943"/>
    </row>
    <row r="65" spans="1:17" s="691" customFormat="1" ht="15" thickBot="1">
      <c r="A65" s="692" t="s">
        <v>2778</v>
      </c>
      <c r="B65" s="262" t="e">
        <f t="shared" si="17"/>
        <v>#DIV/0!</v>
      </c>
      <c r="C65" s="200">
        <f t="shared" si="16"/>
        <v>0</v>
      </c>
      <c r="D65" s="1166">
        <v>0.25</v>
      </c>
      <c r="E65" s="261">
        <f>'数据-汇总表'!E15</f>
        <v>0</v>
      </c>
      <c r="F65" s="1105" t="e">
        <f t="shared" si="15"/>
        <v>#DIV/0!</v>
      </c>
      <c r="G65" s="2710" t="s">
        <v>2772</v>
      </c>
      <c r="H65" s="1116">
        <f>项目基本情况!C37</f>
        <v>0</v>
      </c>
      <c r="I65" s="1112">
        <f>SUMIF(修正!A45:A56,H65,修正!H45:H56)</f>
        <v>0</v>
      </c>
      <c r="J65" s="1115"/>
      <c r="K65" s="1146"/>
      <c r="L65" s="943"/>
      <c r="M65" s="943"/>
      <c r="N65" s="943"/>
      <c r="O65" s="943"/>
    </row>
    <row r="66" spans="1:17" s="691" customFormat="1" ht="13.5" thickBot="1">
      <c r="A66" s="694" t="s">
        <v>2779</v>
      </c>
      <c r="B66" s="695" t="s">
        <v>28</v>
      </c>
      <c r="C66" s="695" t="s">
        <v>29</v>
      </c>
      <c r="D66" s="695" t="s">
        <v>1029</v>
      </c>
      <c r="E66" s="695">
        <f>IF(B46="楼面地价",SUM(E56:E65),'数据-汇总表'!D3)</f>
        <v>13306.869999999999</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2672</v>
      </c>
      <c r="B69" s="758"/>
      <c r="C69" s="763"/>
      <c r="D69" s="763"/>
      <c r="E69" s="763"/>
      <c r="F69" s="764"/>
      <c r="G69" s="764"/>
      <c r="H69" s="763"/>
      <c r="I69" s="763"/>
      <c r="J69" s="1161"/>
      <c r="K69" s="1162"/>
      <c r="L69" s="1163"/>
      <c r="M69" s="1161"/>
      <c r="N69" s="1161"/>
      <c r="O69" s="1161"/>
      <c r="P69" s="503"/>
      <c r="Q69" s="504"/>
    </row>
    <row r="70" spans="1:17" s="508" customFormat="1" ht="15">
      <c r="A70" s="2711" t="s">
        <v>2780</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2"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59" t="s">
        <v>2673</v>
      </c>
      <c r="D102" s="659" t="s">
        <v>2674</v>
      </c>
      <c r="E102" s="659" t="s">
        <v>2675</v>
      </c>
      <c r="F102" s="659" t="s">
        <v>2676</v>
      </c>
      <c r="G102" s="659"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50" t="s">
        <v>2644</v>
      </c>
      <c r="D4" s="3251"/>
      <c r="E4" s="3252" t="s">
        <v>2645</v>
      </c>
      <c r="F4" s="3253"/>
      <c r="G4" s="3250" t="s">
        <v>2646</v>
      </c>
      <c r="H4" s="3251"/>
      <c r="I4" s="3250" t="s">
        <v>2647</v>
      </c>
      <c r="J4" s="3251"/>
      <c r="K4" s="610" t="s">
        <v>2648</v>
      </c>
      <c r="L4" s="1132"/>
      <c r="M4" s="1133"/>
      <c r="N4" s="1133"/>
      <c r="O4" s="1133"/>
      <c r="P4" s="3254" t="s">
        <v>2649</v>
      </c>
      <c r="Q4" s="3255"/>
      <c r="R4" s="3236" t="s">
        <v>2645</v>
      </c>
      <c r="S4" s="3237"/>
      <c r="T4" s="3236" t="s">
        <v>2646</v>
      </c>
      <c r="U4" s="3237"/>
      <c r="V4" s="3233" t="s">
        <v>2647</v>
      </c>
      <c r="W4" s="3233"/>
      <c r="X4" s="1815"/>
      <c r="Y4" s="3236" t="s">
        <v>2649</v>
      </c>
      <c r="Z4" s="3237"/>
      <c r="AA4" s="3230" t="s">
        <v>2645</v>
      </c>
      <c r="AB4" s="3231" t="s">
        <v>2646</v>
      </c>
      <c r="AC4" s="3230" t="s">
        <v>2647</v>
      </c>
    </row>
    <row r="5" spans="1:29" ht="15">
      <c r="A5" s="404"/>
      <c r="B5" s="405"/>
      <c r="C5" s="3305" t="s">
        <v>2540</v>
      </c>
      <c r="D5" s="3243"/>
      <c r="E5" s="3304" t="s">
        <v>2541</v>
      </c>
      <c r="F5" s="3241"/>
      <c r="G5" s="3305" t="s">
        <v>2542</v>
      </c>
      <c r="H5" s="3243"/>
      <c r="I5" s="3305" t="s">
        <v>2543</v>
      </c>
      <c r="J5" s="3243"/>
      <c r="K5" s="610"/>
      <c r="L5" s="1132"/>
      <c r="M5" s="1133"/>
      <c r="N5" s="1133"/>
      <c r="O5" s="1133"/>
      <c r="P5" s="3256"/>
      <c r="Q5" s="3257"/>
      <c r="R5" s="3238"/>
      <c r="S5" s="3239"/>
      <c r="T5" s="3238"/>
      <c r="U5" s="3239"/>
      <c r="V5" s="3233"/>
      <c r="W5" s="3233"/>
      <c r="X5" s="1815"/>
      <c r="Y5" s="3238"/>
      <c r="Z5" s="3239"/>
      <c r="AA5" s="3231"/>
      <c r="AB5" s="3231"/>
      <c r="AC5" s="3231"/>
    </row>
    <row r="6" spans="1:29" ht="15.75" thickBot="1">
      <c r="A6" s="406"/>
      <c r="B6" s="407"/>
      <c r="C6" s="3327" t="s">
        <v>2795</v>
      </c>
      <c r="D6" s="3328"/>
      <c r="E6" s="3329" t="s">
        <v>2795</v>
      </c>
      <c r="F6" s="3330"/>
      <c r="G6" s="3327" t="s">
        <v>2795</v>
      </c>
      <c r="H6" s="3328"/>
      <c r="I6" s="3327" t="s">
        <v>2795</v>
      </c>
      <c r="J6" s="3328"/>
      <c r="K6" s="610" t="s">
        <v>2545</v>
      </c>
      <c r="L6" s="1132"/>
      <c r="M6" s="1133"/>
      <c r="N6" s="1133"/>
      <c r="O6" s="1133"/>
      <c r="P6" s="3258"/>
      <c r="Q6" s="3259"/>
      <c r="R6" s="3238"/>
      <c r="S6" s="3239"/>
      <c r="T6" s="3260"/>
      <c r="U6" s="3261"/>
      <c r="V6" s="3233"/>
      <c r="W6" s="3233"/>
      <c r="X6" s="1815"/>
      <c r="Y6" s="3260"/>
      <c r="Z6" s="3261"/>
      <c r="AA6" s="3232"/>
      <c r="AB6" s="3232"/>
      <c r="AC6" s="3232"/>
    </row>
    <row r="7" spans="1:29" s="117" customFormat="1" ht="15.75" thickBot="1">
      <c r="A7" s="408" t="s">
        <v>2546</v>
      </c>
      <c r="B7" s="409"/>
      <c r="C7" s="410">
        <f>'数据-取费表'!B2</f>
        <v>43209</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234" t="s">
        <v>2547</v>
      </c>
      <c r="Q7" s="3262"/>
      <c r="R7" s="769" t="s">
        <v>17</v>
      </c>
      <c r="S7" s="770">
        <f t="shared" ref="S7:S15" si="0">F7</f>
        <v>0</v>
      </c>
      <c r="T7" s="769" t="s">
        <v>17</v>
      </c>
      <c r="U7" s="770">
        <f t="shared" ref="U7:U15" si="1">H7</f>
        <v>0</v>
      </c>
      <c r="V7" s="769" t="s">
        <v>17</v>
      </c>
      <c r="W7" s="770">
        <f t="shared" ref="W7:W15" si="2">J7</f>
        <v>0</v>
      </c>
      <c r="X7" s="771"/>
      <c r="Y7" s="3234" t="s">
        <v>2547</v>
      </c>
      <c r="Z7" s="3235"/>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34" t="s">
        <v>2550</v>
      </c>
      <c r="Q8" s="3235"/>
      <c r="R8" s="769" t="s">
        <v>17</v>
      </c>
      <c r="S8" s="770">
        <f t="shared" si="0"/>
        <v>0</v>
      </c>
      <c r="T8" s="769" t="s">
        <v>17</v>
      </c>
      <c r="U8" s="770">
        <f t="shared" si="1"/>
        <v>0</v>
      </c>
      <c r="V8" s="769" t="s">
        <v>17</v>
      </c>
      <c r="W8" s="770">
        <f t="shared" si="2"/>
        <v>0</v>
      </c>
      <c r="X8" s="771"/>
      <c r="Y8" s="3234" t="s">
        <v>2550</v>
      </c>
      <c r="Z8" s="3235"/>
      <c r="AA8" s="772" t="e">
        <f t="shared" ref="AA8:AA40" si="3">D8/F8</f>
        <v>#DIV/0!</v>
      </c>
      <c r="AB8" s="772" t="e">
        <f t="shared" ref="AB8:AB40" si="4">D8/H8</f>
        <v>#DIV/0!</v>
      </c>
      <c r="AC8" s="772"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272" t="s">
        <v>2553</v>
      </c>
      <c r="Q9" s="1797" t="str">
        <f t="shared" ref="Q9:Q15" si="6">B9</f>
        <v>用途</v>
      </c>
      <c r="R9" s="769" t="s">
        <v>17</v>
      </c>
      <c r="S9" s="770">
        <f t="shared" si="0"/>
        <v>100</v>
      </c>
      <c r="T9" s="769" t="s">
        <v>17</v>
      </c>
      <c r="U9" s="770">
        <f t="shared" si="1"/>
        <v>100</v>
      </c>
      <c r="V9" s="769" t="s">
        <v>17</v>
      </c>
      <c r="W9" s="770">
        <f t="shared" si="2"/>
        <v>100</v>
      </c>
      <c r="X9" s="771"/>
      <c r="Y9" s="3107"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ROUND(100/'数据-取费表'!G16,0)</f>
        <v>111</v>
      </c>
      <c r="G10" s="432"/>
      <c r="H10" s="136">
        <f>ROUND(100/'数据-取费表'!G16,0)</f>
        <v>111</v>
      </c>
      <c r="I10" s="432"/>
      <c r="J10" s="136">
        <f>ROUND(100/'数据-取费表'!G16,0)</f>
        <v>111</v>
      </c>
      <c r="K10" s="671"/>
      <c r="L10" s="1137"/>
      <c r="M10" s="1138"/>
      <c r="N10" s="1138"/>
      <c r="O10" s="1139"/>
      <c r="P10" s="3272"/>
      <c r="Q10" s="1797" t="str">
        <f t="shared" si="6"/>
        <v>土地使用年限（年）</v>
      </c>
      <c r="R10" s="769" t="s">
        <v>17</v>
      </c>
      <c r="S10" s="770">
        <f t="shared" si="0"/>
        <v>111</v>
      </c>
      <c r="T10" s="769" t="s">
        <v>17</v>
      </c>
      <c r="U10" s="770">
        <f t="shared" si="1"/>
        <v>111</v>
      </c>
      <c r="V10" s="769" t="s">
        <v>17</v>
      </c>
      <c r="W10" s="770">
        <f t="shared" si="2"/>
        <v>111</v>
      </c>
      <c r="X10" s="771"/>
      <c r="Y10" s="3107"/>
      <c r="Z10" s="55" t="str">
        <f t="shared" si="7"/>
        <v>土地使用年限（年）</v>
      </c>
      <c r="AA10" s="772">
        <f t="shared" si="3"/>
        <v>0.90090090090090091</v>
      </c>
      <c r="AB10" s="772">
        <f t="shared" si="4"/>
        <v>0.90090090090090091</v>
      </c>
      <c r="AC10" s="772">
        <f t="shared" si="5"/>
        <v>0.90090090090090091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272"/>
      <c r="Q11" s="1797" t="str">
        <f t="shared" si="6"/>
        <v>容积率</v>
      </c>
      <c r="R11" s="769" t="s">
        <v>17</v>
      </c>
      <c r="S11" s="770" t="e">
        <f t="shared" si="0"/>
        <v>#N/A</v>
      </c>
      <c r="T11" s="769" t="s">
        <v>17</v>
      </c>
      <c r="U11" s="770" t="e">
        <f t="shared" si="1"/>
        <v>#N/A</v>
      </c>
      <c r="V11" s="769" t="s">
        <v>17</v>
      </c>
      <c r="W11" s="770" t="e">
        <f t="shared" si="2"/>
        <v>#N/A</v>
      </c>
      <c r="X11" s="771"/>
      <c r="Y11" s="3107"/>
      <c r="Z11" s="55" t="str">
        <f t="shared" si="7"/>
        <v>容积率</v>
      </c>
      <c r="AA11" s="772" t="e">
        <f t="shared" si="3"/>
        <v>#N/A</v>
      </c>
      <c r="AB11" s="772" t="e">
        <f t="shared" si="4"/>
        <v>#N/A</v>
      </c>
      <c r="AC11" s="772" t="e">
        <f t="shared" si="5"/>
        <v>#N/A</v>
      </c>
    </row>
    <row r="12" spans="1:29" s="117" customFormat="1" ht="15">
      <c r="A12" s="431"/>
      <c r="B12" s="2600">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272"/>
      <c r="Q12" s="1797">
        <f t="shared" si="6"/>
        <v>111</v>
      </c>
      <c r="R12" s="769" t="s">
        <v>17</v>
      </c>
      <c r="S12" s="770">
        <f t="shared" si="0"/>
        <v>100</v>
      </c>
      <c r="T12" s="769" t="s">
        <v>17</v>
      </c>
      <c r="U12" s="770">
        <f t="shared" si="1"/>
        <v>100</v>
      </c>
      <c r="V12" s="769" t="s">
        <v>17</v>
      </c>
      <c r="W12" s="770">
        <f t="shared" si="2"/>
        <v>100</v>
      </c>
      <c r="X12" s="771"/>
      <c r="Y12" s="3107"/>
      <c r="Z12" s="55">
        <f t="shared" si="7"/>
        <v>111</v>
      </c>
      <c r="AA12" s="772">
        <f>D12/F12</f>
        <v>1</v>
      </c>
      <c r="AB12" s="772">
        <f>D12/H12</f>
        <v>1</v>
      </c>
      <c r="AC12" s="772">
        <f>D12/J12</f>
        <v>1</v>
      </c>
    </row>
    <row r="13" spans="1:29" ht="15">
      <c r="A13" s="428"/>
      <c r="B13" s="2600">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272"/>
      <c r="Q13" s="1797">
        <f t="shared" si="6"/>
        <v>111</v>
      </c>
      <c r="R13" s="769" t="s">
        <v>17</v>
      </c>
      <c r="S13" s="770">
        <f t="shared" si="0"/>
        <v>100</v>
      </c>
      <c r="T13" s="769" t="s">
        <v>17</v>
      </c>
      <c r="U13" s="770">
        <f t="shared" si="1"/>
        <v>100</v>
      </c>
      <c r="V13" s="769" t="s">
        <v>17</v>
      </c>
      <c r="W13" s="770">
        <f t="shared" si="2"/>
        <v>100</v>
      </c>
      <c r="X13" s="771"/>
      <c r="Y13" s="3107"/>
      <c r="Z13" s="55">
        <f t="shared" si="7"/>
        <v>111</v>
      </c>
      <c r="AA13" s="772">
        <f t="shared" si="3"/>
        <v>1</v>
      </c>
      <c r="AB13" s="772">
        <f t="shared" si="4"/>
        <v>1</v>
      </c>
      <c r="AC13" s="772">
        <f t="shared" si="5"/>
        <v>1</v>
      </c>
    </row>
    <row r="14" spans="1:29" ht="15.75" thickBot="1">
      <c r="A14" s="436"/>
      <c r="B14" s="2602">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272"/>
      <c r="Q14" s="1797">
        <f t="shared" si="6"/>
        <v>111</v>
      </c>
      <c r="R14" s="769" t="s">
        <v>17</v>
      </c>
      <c r="S14" s="770">
        <f t="shared" si="0"/>
        <v>100</v>
      </c>
      <c r="T14" s="769" t="s">
        <v>17</v>
      </c>
      <c r="U14" s="770">
        <f t="shared" si="1"/>
        <v>100</v>
      </c>
      <c r="V14" s="769" t="s">
        <v>17</v>
      </c>
      <c r="W14" s="770">
        <f t="shared" si="2"/>
        <v>100</v>
      </c>
      <c r="X14" s="771"/>
      <c r="Y14" s="3107"/>
      <c r="Z14" s="55">
        <f t="shared" si="7"/>
        <v>111</v>
      </c>
      <c r="AA14" s="772">
        <f t="shared" si="3"/>
        <v>1</v>
      </c>
      <c r="AB14" s="772">
        <f t="shared" si="4"/>
        <v>1</v>
      </c>
      <c r="AC14" s="772">
        <f t="shared" si="5"/>
        <v>1</v>
      </c>
    </row>
    <row r="15" spans="1:29" ht="57">
      <c r="A15" s="440" t="s">
        <v>2557</v>
      </c>
      <c r="B15" s="628"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265" t="s">
        <v>2558</v>
      </c>
      <c r="Q15" s="1812" t="str">
        <f t="shared" si="6"/>
        <v>产业集聚程度</v>
      </c>
      <c r="R15" s="773" t="s">
        <v>17</v>
      </c>
      <c r="S15" s="774">
        <f t="shared" si="0"/>
        <v>100</v>
      </c>
      <c r="T15" s="773" t="s">
        <v>17</v>
      </c>
      <c r="U15" s="774">
        <f t="shared" si="1"/>
        <v>100</v>
      </c>
      <c r="V15" s="773" t="s">
        <v>17</v>
      </c>
      <c r="W15" s="774">
        <f t="shared" si="2"/>
        <v>100</v>
      </c>
      <c r="X15" s="1815"/>
      <c r="Y15" s="3265" t="s">
        <v>2558</v>
      </c>
      <c r="Z15" s="1816" t="str">
        <f t="shared" si="7"/>
        <v>产业集聚程度</v>
      </c>
      <c r="AA15" s="1813">
        <f t="shared" si="3"/>
        <v>1</v>
      </c>
      <c r="AB15" s="1813">
        <f t="shared" si="4"/>
        <v>1</v>
      </c>
      <c r="AC15" s="1813">
        <f t="shared" si="5"/>
        <v>1</v>
      </c>
    </row>
    <row r="16" spans="1:29" ht="15">
      <c r="A16" s="428"/>
      <c r="B16" s="629"/>
      <c r="C16" s="447"/>
      <c r="D16" s="448"/>
      <c r="E16" s="2611"/>
      <c r="F16" s="448"/>
      <c r="G16" s="2611"/>
      <c r="H16" s="450"/>
      <c r="I16" s="2611"/>
      <c r="J16" s="448"/>
      <c r="K16" s="671"/>
      <c r="L16" s="1142"/>
      <c r="M16" s="1133"/>
      <c r="N16" s="1133"/>
      <c r="O16" s="1141"/>
      <c r="P16" s="3266"/>
      <c r="Q16" s="1812"/>
      <c r="R16" s="773"/>
      <c r="S16" s="774"/>
      <c r="T16" s="773"/>
      <c r="U16" s="774"/>
      <c r="V16" s="773"/>
      <c r="W16" s="774"/>
      <c r="X16" s="1815"/>
      <c r="Y16" s="3266"/>
      <c r="Z16" s="1816"/>
      <c r="AA16" s="1813">
        <v>1</v>
      </c>
      <c r="AB16" s="1813">
        <v>1</v>
      </c>
      <c r="AC16" s="1813">
        <v>1</v>
      </c>
    </row>
    <row r="17" spans="1:29" ht="85.5">
      <c r="A17" s="428"/>
      <c r="B17" s="630"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266"/>
      <c r="Q17" s="1812" t="str">
        <f>B17</f>
        <v>交通便捷度</v>
      </c>
      <c r="R17" s="773" t="s">
        <v>17</v>
      </c>
      <c r="S17" s="774">
        <f>F17</f>
        <v>100</v>
      </c>
      <c r="T17" s="773" t="s">
        <v>17</v>
      </c>
      <c r="U17" s="774">
        <f>H17</f>
        <v>100</v>
      </c>
      <c r="V17" s="773" t="s">
        <v>17</v>
      </c>
      <c r="W17" s="774">
        <f>J17</f>
        <v>100</v>
      </c>
      <c r="X17" s="1815"/>
      <c r="Y17" s="3266"/>
      <c r="Z17" s="1816" t="str">
        <f>Q17</f>
        <v>交通便捷度</v>
      </c>
      <c r="AA17" s="1813">
        <f t="shared" si="3"/>
        <v>1</v>
      </c>
      <c r="AB17" s="1813">
        <f t="shared" si="4"/>
        <v>1</v>
      </c>
      <c r="AC17" s="1813">
        <f t="shared" si="5"/>
        <v>1</v>
      </c>
    </row>
    <row r="18" spans="1:29" ht="15">
      <c r="A18" s="428"/>
      <c r="B18" s="631"/>
      <c r="C18" s="447"/>
      <c r="D18" s="448"/>
      <c r="E18" s="2605"/>
      <c r="F18" s="448"/>
      <c r="G18" s="2605"/>
      <c r="H18" s="448"/>
      <c r="I18" s="2604"/>
      <c r="J18" s="448"/>
      <c r="K18" s="671"/>
      <c r="L18" s="1142"/>
      <c r="M18" s="1133"/>
      <c r="N18" s="1133"/>
      <c r="O18" s="1141"/>
      <c r="P18" s="3266"/>
      <c r="Q18" s="1812"/>
      <c r="R18" s="773"/>
      <c r="S18" s="774"/>
      <c r="T18" s="773"/>
      <c r="U18" s="774"/>
      <c r="V18" s="773"/>
      <c r="W18" s="774"/>
      <c r="X18" s="1815"/>
      <c r="Y18" s="3266"/>
      <c r="Z18" s="1816"/>
      <c r="AA18" s="1813">
        <v>1</v>
      </c>
      <c r="AB18" s="1813">
        <v>1</v>
      </c>
      <c r="AC18" s="1813">
        <v>1</v>
      </c>
    </row>
    <row r="19" spans="1:29" ht="15">
      <c r="A19" s="428"/>
      <c r="B19" s="630"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266"/>
      <c r="Q19" s="1812" t="str">
        <f t="shared" ref="Q19:Q33" si="8">B19</f>
        <v>区域土地利用方向</v>
      </c>
      <c r="R19" s="773" t="s">
        <v>17</v>
      </c>
      <c r="S19" s="774">
        <f>F19</f>
        <v>100</v>
      </c>
      <c r="T19" s="773" t="s">
        <v>17</v>
      </c>
      <c r="U19" s="774">
        <f>H19</f>
        <v>100</v>
      </c>
      <c r="V19" s="773" t="s">
        <v>17</v>
      </c>
      <c r="W19" s="774">
        <f>J19</f>
        <v>100</v>
      </c>
      <c r="X19" s="1815"/>
      <c r="Y19" s="3266"/>
      <c r="Z19" s="1816" t="str">
        <f>Q19</f>
        <v>区域土地利用方向</v>
      </c>
      <c r="AA19" s="1813">
        <f t="shared" si="3"/>
        <v>1</v>
      </c>
      <c r="AB19" s="1813">
        <f t="shared" si="4"/>
        <v>1</v>
      </c>
      <c r="AC19" s="1813">
        <f t="shared" si="5"/>
        <v>1</v>
      </c>
    </row>
    <row r="20" spans="1:29" ht="15">
      <c r="A20" s="404"/>
      <c r="B20" s="631"/>
      <c r="C20" s="447"/>
      <c r="D20" s="448"/>
      <c r="E20" s="2605"/>
      <c r="F20" s="448"/>
      <c r="G20" s="2605"/>
      <c r="H20" s="448"/>
      <c r="I20" s="2605"/>
      <c r="J20" s="448"/>
      <c r="K20" s="811"/>
      <c r="L20" s="1142"/>
      <c r="M20" s="1133"/>
      <c r="N20" s="1133"/>
      <c r="O20" s="1141"/>
      <c r="P20" s="3266"/>
      <c r="Q20" s="1812"/>
      <c r="R20" s="773"/>
      <c r="S20" s="774"/>
      <c r="T20" s="773"/>
      <c r="U20" s="774"/>
      <c r="V20" s="773"/>
      <c r="W20" s="774"/>
      <c r="X20" s="1815"/>
      <c r="Y20" s="3266"/>
      <c r="Z20" s="1816"/>
      <c r="AA20" s="1813"/>
      <c r="AB20" s="1813"/>
      <c r="AC20" s="1813"/>
    </row>
    <row r="21" spans="1:29" ht="71.25">
      <c r="A21" s="404"/>
      <c r="B21" s="630"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266"/>
      <c r="Q21" s="1812" t="str">
        <f t="shared" si="8"/>
        <v>环境状况</v>
      </c>
      <c r="R21" s="773" t="s">
        <v>17</v>
      </c>
      <c r="S21" s="774">
        <f>F21</f>
        <v>100</v>
      </c>
      <c r="T21" s="773" t="s">
        <v>17</v>
      </c>
      <c r="U21" s="774">
        <f>H21</f>
        <v>100</v>
      </c>
      <c r="V21" s="773" t="s">
        <v>17</v>
      </c>
      <c r="W21" s="774">
        <f>J21</f>
        <v>100</v>
      </c>
      <c r="X21" s="1815"/>
      <c r="Y21" s="3266"/>
      <c r="Z21" s="1816" t="str">
        <f>Q21</f>
        <v>环境状况</v>
      </c>
      <c r="AA21" s="1813">
        <f t="shared" si="3"/>
        <v>1</v>
      </c>
      <c r="AB21" s="1813">
        <f t="shared" si="4"/>
        <v>1</v>
      </c>
      <c r="AC21" s="1813">
        <f t="shared" si="5"/>
        <v>1</v>
      </c>
    </row>
    <row r="22" spans="1:29" ht="15">
      <c r="A22" s="404"/>
      <c r="B22" s="631"/>
      <c r="C22" s="447"/>
      <c r="D22" s="448"/>
      <c r="E22" s="2611"/>
      <c r="F22" s="448"/>
      <c r="G22" s="2611"/>
      <c r="H22" s="448"/>
      <c r="I22" s="447"/>
      <c r="J22" s="448"/>
      <c r="K22" s="671"/>
      <c r="L22" s="1142"/>
      <c r="M22" s="1133"/>
      <c r="N22" s="1133"/>
      <c r="O22" s="1141"/>
      <c r="P22" s="3266"/>
      <c r="Q22" s="1812"/>
      <c r="R22" s="773"/>
      <c r="S22" s="774"/>
      <c r="T22" s="773"/>
      <c r="U22" s="774"/>
      <c r="V22" s="773"/>
      <c r="W22" s="774"/>
      <c r="X22" s="1815"/>
      <c r="Y22" s="3266"/>
      <c r="Z22" s="1816"/>
      <c r="AA22" s="1813">
        <v>1</v>
      </c>
      <c r="AB22" s="1813">
        <v>1</v>
      </c>
      <c r="AC22" s="1813">
        <v>1</v>
      </c>
    </row>
    <row r="23" spans="1:29" s="117" customFormat="1" ht="42.75">
      <c r="A23" s="648"/>
      <c r="B23" s="632"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266"/>
      <c r="Q23" s="1797" t="str">
        <f t="shared" si="8"/>
        <v>公共配套设施</v>
      </c>
      <c r="R23" s="769" t="s">
        <v>17</v>
      </c>
      <c r="S23" s="770">
        <f>F23</f>
        <v>100</v>
      </c>
      <c r="T23" s="769" t="s">
        <v>17</v>
      </c>
      <c r="U23" s="770">
        <f>H23</f>
        <v>100</v>
      </c>
      <c r="V23" s="769" t="s">
        <v>17</v>
      </c>
      <c r="W23" s="770">
        <f>J23</f>
        <v>100</v>
      </c>
      <c r="X23" s="771"/>
      <c r="Y23" s="3266"/>
      <c r="Z23" s="55" t="str">
        <f>Q23</f>
        <v>公共配套设施</v>
      </c>
      <c r="AA23" s="1813">
        <f>D23/F23</f>
        <v>1</v>
      </c>
      <c r="AB23" s="1813">
        <f>D23/H23</f>
        <v>1</v>
      </c>
      <c r="AC23" s="1813">
        <f>D23/J23</f>
        <v>1</v>
      </c>
    </row>
    <row r="24" spans="1:29" s="117" customFormat="1" ht="15">
      <c r="A24" s="648"/>
      <c r="B24" s="631"/>
      <c r="C24" s="2700"/>
      <c r="D24" s="448"/>
      <c r="E24" s="2611"/>
      <c r="F24" s="448"/>
      <c r="G24" s="2611"/>
      <c r="H24" s="448"/>
      <c r="I24" s="447"/>
      <c r="J24" s="448"/>
      <c r="K24" s="671"/>
      <c r="L24" s="1134"/>
      <c r="M24" s="1135"/>
      <c r="N24" s="1135"/>
      <c r="O24" s="1136"/>
      <c r="P24" s="3266"/>
      <c r="Q24" s="1797"/>
      <c r="R24" s="769"/>
      <c r="S24" s="770"/>
      <c r="T24" s="769"/>
      <c r="U24" s="770"/>
      <c r="V24" s="769"/>
      <c r="W24" s="770"/>
      <c r="X24" s="771"/>
      <c r="Y24" s="3266"/>
      <c r="Z24" s="55"/>
      <c r="AA24" s="772">
        <v>1</v>
      </c>
      <c r="AB24" s="772">
        <v>1</v>
      </c>
      <c r="AC24" s="772">
        <v>1</v>
      </c>
    </row>
    <row r="25" spans="1:29" s="117" customFormat="1" ht="28.5">
      <c r="A25" s="648"/>
      <c r="B25" s="632"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266"/>
      <c r="Q25" s="1797" t="str">
        <f t="shared" ref="Q25" si="9">B25</f>
        <v>基础设施水平</v>
      </c>
      <c r="R25" s="769" t="s">
        <v>17</v>
      </c>
      <c r="S25" s="770">
        <f>F25</f>
        <v>100</v>
      </c>
      <c r="T25" s="769" t="s">
        <v>17</v>
      </c>
      <c r="U25" s="770">
        <f>H25</f>
        <v>100</v>
      </c>
      <c r="V25" s="769" t="s">
        <v>17</v>
      </c>
      <c r="W25" s="770">
        <f>J25</f>
        <v>100</v>
      </c>
      <c r="X25" s="771"/>
      <c r="Y25" s="3266"/>
      <c r="Z25" s="55" t="str">
        <f>Q25</f>
        <v>基础设施水平</v>
      </c>
      <c r="AA25" s="1813">
        <f>D25/F25</f>
        <v>1</v>
      </c>
      <c r="AB25" s="1813">
        <f>D25/H25</f>
        <v>1</v>
      </c>
      <c r="AC25" s="1813">
        <f>D25/J25</f>
        <v>1</v>
      </c>
    </row>
    <row r="26" spans="1:29" s="117" customFormat="1" ht="15">
      <c r="A26" s="648"/>
      <c r="B26" s="631"/>
      <c r="C26" s="2700"/>
      <c r="D26" s="448"/>
      <c r="E26" s="2701"/>
      <c r="F26" s="448"/>
      <c r="G26" s="2701"/>
      <c r="H26" s="448"/>
      <c r="I26" s="2701"/>
      <c r="J26" s="448"/>
      <c r="K26" s="671"/>
      <c r="L26" s="1134"/>
      <c r="M26" s="1135"/>
      <c r="N26" s="1135"/>
      <c r="O26" s="1136"/>
      <c r="P26" s="3266"/>
      <c r="Q26" s="1797"/>
      <c r="R26" s="769"/>
      <c r="S26" s="770"/>
      <c r="T26" s="769"/>
      <c r="U26" s="770"/>
      <c r="V26" s="769"/>
      <c r="W26" s="770"/>
      <c r="X26" s="771"/>
      <c r="Y26" s="3266"/>
      <c r="Z26" s="55"/>
      <c r="AA26" s="772">
        <v>1</v>
      </c>
      <c r="AB26" s="772">
        <v>1</v>
      </c>
      <c r="AC26" s="772">
        <v>1</v>
      </c>
    </row>
    <row r="27" spans="1:29" ht="15">
      <c r="A27" s="428"/>
      <c r="B27" s="631" t="s">
        <v>2654</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266"/>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66"/>
      <c r="Z27" s="1816" t="str">
        <f t="shared" ref="Z27:Z40" si="13">Q27</f>
        <v>临街状况</v>
      </c>
      <c r="AA27" s="1813">
        <f t="shared" si="3"/>
        <v>1</v>
      </c>
      <c r="AB27" s="1813">
        <f t="shared" si="4"/>
        <v>1</v>
      </c>
      <c r="AC27" s="1813">
        <f t="shared" si="5"/>
        <v>1</v>
      </c>
    </row>
    <row r="28" spans="1:29" ht="27">
      <c r="A28" s="428"/>
      <c r="B28" s="632"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266"/>
      <c r="Q28" s="1812" t="str">
        <f t="shared" si="8"/>
        <v>毗邻道路的类型与等级</v>
      </c>
      <c r="R28" s="773" t="s">
        <v>17</v>
      </c>
      <c r="S28" s="774">
        <f t="shared" si="10"/>
        <v>100</v>
      </c>
      <c r="T28" s="773" t="s">
        <v>17</v>
      </c>
      <c r="U28" s="774">
        <f t="shared" si="11"/>
        <v>100</v>
      </c>
      <c r="V28" s="773" t="s">
        <v>17</v>
      </c>
      <c r="W28" s="774">
        <f t="shared" si="12"/>
        <v>100</v>
      </c>
      <c r="X28" s="1815"/>
      <c r="Y28" s="3266"/>
      <c r="Z28" s="1816" t="str">
        <f t="shared" si="13"/>
        <v>毗邻道路的类型与等级</v>
      </c>
      <c r="AA28" s="1813">
        <f t="shared" si="3"/>
        <v>1</v>
      </c>
      <c r="AB28" s="1813">
        <f t="shared" si="4"/>
        <v>1</v>
      </c>
      <c r="AC28" s="1813">
        <f t="shared" si="5"/>
        <v>1</v>
      </c>
    </row>
    <row r="29" spans="1:29" ht="15">
      <c r="A29" s="428"/>
      <c r="B29" s="631"/>
      <c r="C29" s="447"/>
      <c r="D29" s="448"/>
      <c r="E29" s="2611"/>
      <c r="F29" s="448"/>
      <c r="G29" s="2611"/>
      <c r="H29" s="448"/>
      <c r="I29" s="2611"/>
      <c r="J29" s="448"/>
      <c r="K29" s="613"/>
      <c r="L29" s="1142"/>
      <c r="M29" s="1133"/>
      <c r="N29" s="1133"/>
      <c r="O29" s="1141"/>
      <c r="P29" s="3266"/>
      <c r="Q29" s="1812"/>
      <c r="R29" s="773"/>
      <c r="S29" s="774"/>
      <c r="T29" s="773"/>
      <c r="U29" s="774"/>
      <c r="V29" s="773"/>
      <c r="W29" s="774"/>
      <c r="X29" s="1815"/>
      <c r="Y29" s="3266"/>
      <c r="Z29" s="1816"/>
      <c r="AA29" s="1813">
        <v>1</v>
      </c>
      <c r="AB29" s="1813">
        <v>1</v>
      </c>
      <c r="AC29" s="1813">
        <v>1</v>
      </c>
    </row>
    <row r="30" spans="1:29" ht="15">
      <c r="A30" s="428"/>
      <c r="B30" s="653" t="s">
        <v>2748</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266"/>
      <c r="Q30" s="1812" t="str">
        <f t="shared" si="8"/>
        <v>土地级别</v>
      </c>
      <c r="R30" s="773" t="s">
        <v>17</v>
      </c>
      <c r="S30" s="774">
        <f t="shared" si="10"/>
        <v>100</v>
      </c>
      <c r="T30" s="773" t="s">
        <v>17</v>
      </c>
      <c r="U30" s="774">
        <f t="shared" si="11"/>
        <v>100</v>
      </c>
      <c r="V30" s="773" t="s">
        <v>17</v>
      </c>
      <c r="W30" s="774">
        <f t="shared" si="12"/>
        <v>100</v>
      </c>
      <c r="X30" s="1815"/>
      <c r="Y30" s="3266"/>
      <c r="Z30" s="1816" t="str">
        <f t="shared" si="13"/>
        <v>土地级别</v>
      </c>
      <c r="AA30" s="1813">
        <f t="shared" si="3"/>
        <v>1</v>
      </c>
      <c r="AB30" s="1813">
        <f t="shared" si="4"/>
        <v>1</v>
      </c>
      <c r="AC30" s="1813">
        <f t="shared" si="5"/>
        <v>1</v>
      </c>
    </row>
    <row r="31" spans="1:29" ht="15">
      <c r="A31" s="404"/>
      <c r="B31" s="2678">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66"/>
      <c r="Q31" s="1812">
        <f t="shared" si="8"/>
        <v>111</v>
      </c>
      <c r="R31" s="773" t="s">
        <v>17</v>
      </c>
      <c r="S31" s="774">
        <f t="shared" si="10"/>
        <v>100</v>
      </c>
      <c r="T31" s="773" t="s">
        <v>17</v>
      </c>
      <c r="U31" s="774">
        <f t="shared" si="11"/>
        <v>100</v>
      </c>
      <c r="V31" s="773" t="s">
        <v>17</v>
      </c>
      <c r="W31" s="774">
        <f t="shared" si="12"/>
        <v>100</v>
      </c>
      <c r="X31" s="1815"/>
      <c r="Y31" s="3266"/>
      <c r="Z31" s="1816">
        <f t="shared" si="13"/>
        <v>111</v>
      </c>
      <c r="AA31" s="1813">
        <f t="shared" si="3"/>
        <v>1</v>
      </c>
      <c r="AB31" s="1813">
        <f t="shared" si="4"/>
        <v>1</v>
      </c>
      <c r="AC31" s="1813">
        <f t="shared" si="5"/>
        <v>1</v>
      </c>
    </row>
    <row r="32" spans="1:29" ht="15">
      <c r="A32" s="674"/>
      <c r="B32" s="2714">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322" t="s">
        <v>2563</v>
      </c>
      <c r="Q32" s="1812">
        <f t="shared" si="8"/>
        <v>111</v>
      </c>
      <c r="R32" s="773" t="s">
        <v>17</v>
      </c>
      <c r="S32" s="774">
        <f t="shared" si="10"/>
        <v>100</v>
      </c>
      <c r="T32" s="773" t="s">
        <v>17</v>
      </c>
      <c r="U32" s="774">
        <f t="shared" si="11"/>
        <v>100</v>
      </c>
      <c r="V32" s="773" t="s">
        <v>17</v>
      </c>
      <c r="W32" s="774">
        <f t="shared" si="12"/>
        <v>100</v>
      </c>
      <c r="X32" s="1815"/>
      <c r="Y32" s="3270" t="s">
        <v>2563</v>
      </c>
      <c r="Z32" s="1816">
        <f t="shared" si="13"/>
        <v>111</v>
      </c>
      <c r="AA32" s="1813">
        <f t="shared" si="3"/>
        <v>1</v>
      </c>
      <c r="AB32" s="1813">
        <f t="shared" si="4"/>
        <v>1</v>
      </c>
      <c r="AC32" s="1813">
        <f t="shared" si="5"/>
        <v>1</v>
      </c>
    </row>
    <row r="33" spans="1:29" s="471" customFormat="1" ht="15.75" thickBot="1">
      <c r="A33" s="675"/>
      <c r="B33" s="2715">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270"/>
      <c r="Q33" s="1812">
        <f t="shared" si="8"/>
        <v>111</v>
      </c>
      <c r="R33" s="776" t="s">
        <v>17</v>
      </c>
      <c r="S33" s="777">
        <f t="shared" si="10"/>
        <v>100</v>
      </c>
      <c r="T33" s="776" t="s">
        <v>17</v>
      </c>
      <c r="U33" s="777">
        <f t="shared" si="11"/>
        <v>100</v>
      </c>
      <c r="V33" s="776" t="s">
        <v>17</v>
      </c>
      <c r="W33" s="777">
        <f t="shared" si="12"/>
        <v>100</v>
      </c>
      <c r="X33" s="778"/>
      <c r="Y33" s="3270"/>
      <c r="Z33" s="779">
        <f t="shared" si="13"/>
        <v>111</v>
      </c>
      <c r="AA33" s="1813">
        <f t="shared" si="3"/>
        <v>1</v>
      </c>
      <c r="AB33" s="1813">
        <f t="shared" si="4"/>
        <v>1</v>
      </c>
      <c r="AC33" s="1813">
        <f t="shared" si="5"/>
        <v>1</v>
      </c>
    </row>
    <row r="34" spans="1:29" ht="15">
      <c r="A34" s="440" t="s">
        <v>2561</v>
      </c>
      <c r="B34" s="456" t="s">
        <v>2749</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270"/>
      <c r="Q34" s="1812" t="str">
        <f>B34</f>
        <v>宗地面积</v>
      </c>
      <c r="R34" s="773" t="s">
        <v>17</v>
      </c>
      <c r="S34" s="774" t="e">
        <f t="shared" si="10"/>
        <v>#N/A</v>
      </c>
      <c r="T34" s="773" t="s">
        <v>17</v>
      </c>
      <c r="U34" s="774" t="e">
        <f t="shared" si="11"/>
        <v>#N/A</v>
      </c>
      <c r="V34" s="773" t="s">
        <v>17</v>
      </c>
      <c r="W34" s="774" t="e">
        <f t="shared" si="12"/>
        <v>#N/A</v>
      </c>
      <c r="X34" s="1815"/>
      <c r="Y34" s="3270"/>
      <c r="Z34" s="1816" t="str">
        <f t="shared" si="13"/>
        <v>宗地面积</v>
      </c>
      <c r="AA34" s="1813" t="e">
        <f t="shared" si="3"/>
        <v>#N/A</v>
      </c>
      <c r="AB34" s="1813" t="e">
        <f t="shared" si="4"/>
        <v>#N/A</v>
      </c>
      <c r="AC34" s="1813"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270"/>
      <c r="Q35" s="1812" t="str">
        <f t="shared" ref="Q35:Q40" si="14">B35</f>
        <v>宗地形状</v>
      </c>
      <c r="R35" s="773" t="s">
        <v>17</v>
      </c>
      <c r="S35" s="774">
        <f t="shared" si="10"/>
        <v>100</v>
      </c>
      <c r="T35" s="773" t="s">
        <v>17</v>
      </c>
      <c r="U35" s="774">
        <f t="shared" si="11"/>
        <v>100</v>
      </c>
      <c r="V35" s="773" t="s">
        <v>17</v>
      </c>
      <c r="W35" s="774">
        <f t="shared" si="12"/>
        <v>100</v>
      </c>
      <c r="X35" s="1815"/>
      <c r="Y35" s="3270"/>
      <c r="Z35" s="1816" t="str">
        <f t="shared" si="13"/>
        <v>宗地形状</v>
      </c>
      <c r="AA35" s="1813">
        <f t="shared" si="3"/>
        <v>1</v>
      </c>
      <c r="AB35" s="1813">
        <f t="shared" si="4"/>
        <v>1</v>
      </c>
      <c r="AC35" s="1813">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270"/>
      <c r="Q36" s="1812" t="str">
        <f t="shared" si="14"/>
        <v>宗地开发程度</v>
      </c>
      <c r="R36" s="769" t="s">
        <v>17</v>
      </c>
      <c r="S36" s="770">
        <f t="shared" si="10"/>
        <v>100</v>
      </c>
      <c r="T36" s="769" t="s">
        <v>17</v>
      </c>
      <c r="U36" s="770">
        <f t="shared" si="11"/>
        <v>100</v>
      </c>
      <c r="V36" s="769" t="s">
        <v>17</v>
      </c>
      <c r="W36" s="770">
        <f t="shared" si="12"/>
        <v>100</v>
      </c>
      <c r="X36" s="771"/>
      <c r="Y36" s="3270"/>
      <c r="Z36" s="55" t="str">
        <f t="shared" si="13"/>
        <v>宗地开发程度</v>
      </c>
      <c r="AA36" s="772">
        <f t="shared" si="3"/>
        <v>1</v>
      </c>
      <c r="AB36" s="772">
        <f t="shared" si="4"/>
        <v>1</v>
      </c>
      <c r="AC36" s="772">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270" t="s">
        <v>2563</v>
      </c>
      <c r="Q37" s="1812" t="str">
        <f t="shared" si="14"/>
        <v>工程地质条件</v>
      </c>
      <c r="R37" s="773" t="s">
        <v>17</v>
      </c>
      <c r="S37" s="774">
        <f t="shared" si="10"/>
        <v>100</v>
      </c>
      <c r="T37" s="773" t="s">
        <v>17</v>
      </c>
      <c r="U37" s="774">
        <f t="shared" si="11"/>
        <v>100</v>
      </c>
      <c r="V37" s="773" t="s">
        <v>17</v>
      </c>
      <c r="W37" s="774">
        <f t="shared" si="12"/>
        <v>100</v>
      </c>
      <c r="X37" s="1815"/>
      <c r="Y37" s="3270" t="s">
        <v>2563</v>
      </c>
      <c r="Z37" s="1816" t="str">
        <f t="shared" si="13"/>
        <v>工程地质条件</v>
      </c>
      <c r="AA37" s="1813">
        <f t="shared" si="3"/>
        <v>1</v>
      </c>
      <c r="AB37" s="1813">
        <f t="shared" si="4"/>
        <v>1</v>
      </c>
      <c r="AC37" s="1813">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270"/>
      <c r="Q38" s="1812">
        <f t="shared" si="14"/>
        <v>111</v>
      </c>
      <c r="R38" s="773" t="s">
        <v>17</v>
      </c>
      <c r="S38" s="774">
        <f t="shared" si="10"/>
        <v>100</v>
      </c>
      <c r="T38" s="773" t="s">
        <v>17</v>
      </c>
      <c r="U38" s="774">
        <f t="shared" si="11"/>
        <v>100</v>
      </c>
      <c r="V38" s="773" t="s">
        <v>17</v>
      </c>
      <c r="W38" s="774">
        <f t="shared" si="12"/>
        <v>100</v>
      </c>
      <c r="X38" s="1815"/>
      <c r="Y38" s="3270"/>
      <c r="Z38" s="1816">
        <f t="shared" si="13"/>
        <v>111</v>
      </c>
      <c r="AA38" s="1813">
        <f t="shared" si="3"/>
        <v>1</v>
      </c>
      <c r="AB38" s="1813">
        <f t="shared" si="4"/>
        <v>1</v>
      </c>
      <c r="AC38" s="1813">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270"/>
      <c r="Q39" s="1812">
        <f t="shared" si="14"/>
        <v>111</v>
      </c>
      <c r="R39" s="773" t="s">
        <v>17</v>
      </c>
      <c r="S39" s="774">
        <f t="shared" si="10"/>
        <v>100</v>
      </c>
      <c r="T39" s="773" t="s">
        <v>17</v>
      </c>
      <c r="U39" s="774">
        <f t="shared" si="11"/>
        <v>100</v>
      </c>
      <c r="V39" s="773" t="s">
        <v>17</v>
      </c>
      <c r="W39" s="774">
        <f t="shared" si="12"/>
        <v>100</v>
      </c>
      <c r="X39" s="1815"/>
      <c r="Y39" s="3270"/>
      <c r="Z39" s="1816">
        <f t="shared" si="13"/>
        <v>111</v>
      </c>
      <c r="AA39" s="1813">
        <f t="shared" si="3"/>
        <v>1</v>
      </c>
      <c r="AB39" s="1813">
        <f t="shared" si="4"/>
        <v>1</v>
      </c>
      <c r="AC39" s="1813">
        <f t="shared" si="5"/>
        <v>1</v>
      </c>
    </row>
    <row r="40" spans="1:29" s="471" customFormat="1" ht="15.75" thickBot="1">
      <c r="A40" s="468"/>
      <c r="B40" s="1389">
        <v>111</v>
      </c>
      <c r="C40" s="2703"/>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270"/>
      <c r="Q40" s="1812">
        <f t="shared" si="14"/>
        <v>111</v>
      </c>
      <c r="R40" s="776" t="s">
        <v>17</v>
      </c>
      <c r="S40" s="777">
        <f t="shared" si="10"/>
        <v>100</v>
      </c>
      <c r="T40" s="776" t="s">
        <v>17</v>
      </c>
      <c r="U40" s="777">
        <f t="shared" si="11"/>
        <v>100</v>
      </c>
      <c r="V40" s="776" t="s">
        <v>17</v>
      </c>
      <c r="W40" s="777">
        <f t="shared" si="12"/>
        <v>100</v>
      </c>
      <c r="X40" s="778"/>
      <c r="Y40" s="3270"/>
      <c r="Z40" s="779">
        <f t="shared" si="13"/>
        <v>111</v>
      </c>
      <c r="AA40" s="1813">
        <f t="shared" si="3"/>
        <v>1</v>
      </c>
      <c r="AB40" s="1813">
        <f t="shared" si="4"/>
        <v>1</v>
      </c>
      <c r="AC40" s="1813">
        <f t="shared" si="5"/>
        <v>1</v>
      </c>
    </row>
    <row r="41" spans="1:29" ht="15">
      <c r="A41" s="479" t="s">
        <v>2718</v>
      </c>
      <c r="B41" s="2704" t="s">
        <v>2798</v>
      </c>
      <c r="C41" s="681" t="s">
        <v>1</v>
      </c>
      <c r="D41" s="481"/>
      <c r="E41" s="482"/>
      <c r="F41" s="483"/>
      <c r="G41" s="484"/>
      <c r="H41" s="485"/>
      <c r="I41" s="482"/>
      <c r="J41" s="485"/>
      <c r="K41" s="782"/>
      <c r="L41" s="1145"/>
      <c r="M41" s="1133"/>
      <c r="N41" s="1133"/>
      <c r="O41" s="1146"/>
      <c r="P41" s="3272" t="str">
        <f>A41</f>
        <v>成交单价</v>
      </c>
      <c r="Q41" s="3272"/>
      <c r="R41" s="3233">
        <f>E41</f>
        <v>0</v>
      </c>
      <c r="S41" s="3233"/>
      <c r="T41" s="3233">
        <f>G41</f>
        <v>0</v>
      </c>
      <c r="U41" s="3233"/>
      <c r="V41" s="3233">
        <f>I41</f>
        <v>0</v>
      </c>
      <c r="W41" s="3233"/>
      <c r="X41" s="758"/>
      <c r="Y41" s="780"/>
      <c r="Z41" s="758"/>
      <c r="AA41" s="758"/>
      <c r="AB41" s="758"/>
      <c r="AC41" s="758"/>
    </row>
    <row r="42" spans="1:29" ht="15.75" thickBot="1">
      <c r="A42" s="486" t="s">
        <v>2667</v>
      </c>
      <c r="B42" s="682"/>
      <c r="C42" s="490" t="e">
        <f>R43</f>
        <v>#DIV/0!</v>
      </c>
      <c r="D42" s="489"/>
      <c r="E42" s="490" t="e">
        <f>R42</f>
        <v>#DIV/0!</v>
      </c>
      <c r="F42" s="491"/>
      <c r="G42" s="488" t="e">
        <f>T42</f>
        <v>#DIV/0!</v>
      </c>
      <c r="H42" s="489"/>
      <c r="I42" s="490" t="e">
        <f>V42</f>
        <v>#DIV/0!</v>
      </c>
      <c r="J42" s="489"/>
      <c r="K42" s="783"/>
      <c r="L42" s="1145"/>
      <c r="M42" s="1133"/>
      <c r="N42" s="1133"/>
      <c r="O42" s="1146"/>
      <c r="P42" s="3272" t="str">
        <f>A42</f>
        <v>比较价值（元/平方米）</v>
      </c>
      <c r="Q42" s="3272"/>
      <c r="R42" s="3323" t="e">
        <f>ROUND(PRODUCT(R41,AA7:AA40),0)</f>
        <v>#DIV/0!</v>
      </c>
      <c r="S42" s="3323"/>
      <c r="T42" s="3323" t="e">
        <f>ROUND(PRODUCT(T41,AB7:AB40),0)</f>
        <v>#DIV/0!</v>
      </c>
      <c r="U42" s="3323"/>
      <c r="V42" s="3323" t="e">
        <f>ROUND(PRODUCT(V41,AC7:AC40),0)</f>
        <v>#DIV/0!</v>
      </c>
      <c r="W42" s="3323"/>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45"/>
      <c r="M43" s="1133"/>
      <c r="N43" s="1133"/>
      <c r="O43" s="1146"/>
      <c r="P43" s="3274" t="str">
        <f>A43</f>
        <v>估价对象XX用房的比较价值（楼面单价，元/平方米）</v>
      </c>
      <c r="Q43" s="3275"/>
      <c r="R43" s="3324" t="e">
        <f>ROUND(AVERAGE(R42:V42),0)</f>
        <v>#DIV/0!</v>
      </c>
      <c r="S43" s="3324"/>
      <c r="T43" s="3324"/>
      <c r="U43" s="3324"/>
      <c r="V43" s="3324"/>
      <c r="W43" s="3324"/>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5" t="s">
        <v>2758</v>
      </c>
      <c r="D50" s="2706" t="s">
        <v>2759</v>
      </c>
      <c r="E50" s="685" t="s">
        <v>2760</v>
      </c>
      <c r="F50" s="686" t="s">
        <v>2761</v>
      </c>
      <c r="G50" s="3250" t="s">
        <v>2762</v>
      </c>
      <c r="H50" s="3325"/>
      <c r="I50" s="1816" t="s">
        <v>2799</v>
      </c>
      <c r="J50" s="1816" t="str">
        <f>项目基本情况!F35</f>
        <v>湖北省武汉市</v>
      </c>
      <c r="K50" s="2708" t="s">
        <v>2764</v>
      </c>
      <c r="L50" s="1108"/>
      <c r="M50" s="1146"/>
      <c r="N50" s="1146"/>
      <c r="O50" s="1146"/>
    </row>
    <row r="51" spans="1:17" s="691" customFormat="1">
      <c r="A51" s="687" t="s">
        <v>2765</v>
      </c>
      <c r="B51" s="688" t="e">
        <f>C43</f>
        <v>#DIV/0!</v>
      </c>
      <c r="C51" s="689">
        <v>1</v>
      </c>
      <c r="D51" s="1165">
        <v>1</v>
      </c>
      <c r="E51" s="689">
        <f>'数据-汇总表'!E8+'数据-汇总表'!E9</f>
        <v>13306.869999999999</v>
      </c>
      <c r="F51" s="690" t="e">
        <f t="shared" ref="F51:F60" si="15">ROUND(B51*E51/10000,0)</f>
        <v>#DIV/0!</v>
      </c>
      <c r="G51" s="3249"/>
      <c r="H51" s="3272"/>
      <c r="I51" s="944">
        <v>1</v>
      </c>
      <c r="J51" s="944">
        <v>1</v>
      </c>
      <c r="K51" s="1147"/>
      <c r="L51" s="943"/>
      <c r="M51" s="943"/>
      <c r="N51" s="943"/>
      <c r="O51" s="943"/>
    </row>
    <row r="52" spans="1:17" s="691" customFormat="1">
      <c r="A52" s="692" t="s">
        <v>2766</v>
      </c>
      <c r="B52" s="262" t="e">
        <f>ROUND($C$43*C52*D52,0)</f>
        <v>#DIV/0!</v>
      </c>
      <c r="C52" s="200">
        <f t="shared" ref="C52:C60" si="16">IF($C$50="北京市系数",I52,J52)</f>
        <v>0.8</v>
      </c>
      <c r="D52" s="1166">
        <v>0.25</v>
      </c>
      <c r="E52" s="693"/>
      <c r="F52" s="690" t="e">
        <f t="shared" si="15"/>
        <v>#DIV/0!</v>
      </c>
      <c r="G52" s="3326" t="s">
        <v>2767</v>
      </c>
      <c r="H52" s="1106" t="str">
        <f>项目基本情况!B37</f>
        <v>一级</v>
      </c>
      <c r="I52" s="944">
        <f>SUMIF(修正!A45:A56,H52,修正!B45:B56)</f>
        <v>0.8</v>
      </c>
      <c r="J52" s="945"/>
      <c r="K52" s="1146"/>
      <c r="L52" s="943"/>
      <c r="M52" s="943"/>
      <c r="N52" s="943"/>
      <c r="O52" s="943"/>
    </row>
    <row r="53" spans="1:17" s="691" customFormat="1">
      <c r="A53" s="692" t="s">
        <v>2768</v>
      </c>
      <c r="B53" s="262" t="e">
        <f t="shared" ref="B53:B60" si="17">ROUND($C$43*C53*D53,0)</f>
        <v>#DIV/0!</v>
      </c>
      <c r="C53" s="200">
        <f t="shared" si="16"/>
        <v>0.5</v>
      </c>
      <c r="D53" s="1166">
        <v>0.25</v>
      </c>
      <c r="E53" s="693"/>
      <c r="F53" s="690" t="e">
        <f t="shared" si="15"/>
        <v>#DIV/0!</v>
      </c>
      <c r="G53" s="3326"/>
      <c r="H53" s="1106" t="str">
        <f>项目基本情况!B37</f>
        <v>一级</v>
      </c>
      <c r="I53" s="944">
        <f>SUMIF(修正!A45:A56,H53,修正!C45:C56)</f>
        <v>0.5</v>
      </c>
      <c r="J53" s="945"/>
      <c r="K53" s="1147"/>
      <c r="L53" s="943"/>
      <c r="M53" s="943"/>
      <c r="N53" s="943"/>
      <c r="O53" s="943"/>
    </row>
    <row r="54" spans="1:17" s="691" customFormat="1">
      <c r="A54" s="692" t="s">
        <v>2769</v>
      </c>
      <c r="B54" s="262" t="e">
        <f t="shared" si="17"/>
        <v>#DIV/0!</v>
      </c>
      <c r="C54" s="200">
        <f t="shared" si="16"/>
        <v>0.36</v>
      </c>
      <c r="D54" s="1166">
        <v>0.25</v>
      </c>
      <c r="E54" s="693"/>
      <c r="F54" s="690" t="e">
        <f t="shared" si="15"/>
        <v>#DIV/0!</v>
      </c>
      <c r="G54" s="3326"/>
      <c r="H54" s="1106" t="str">
        <f>项目基本情况!B37</f>
        <v>一级</v>
      </c>
      <c r="I54" s="944">
        <f>SUMIF(修正!A45:A56,H54,修正!D45:D56)</f>
        <v>0.36</v>
      </c>
      <c r="J54" s="945"/>
      <c r="K54" s="1146"/>
      <c r="L54" s="943"/>
      <c r="M54" s="943"/>
      <c r="N54" s="943"/>
      <c r="O54" s="943"/>
    </row>
    <row r="55" spans="1:17" s="691" customFormat="1">
      <c r="A55" s="692" t="s">
        <v>2770</v>
      </c>
      <c r="B55" s="262" t="e">
        <f t="shared" si="17"/>
        <v>#DIV/0!</v>
      </c>
      <c r="C55" s="200">
        <f t="shared" si="16"/>
        <v>0.3</v>
      </c>
      <c r="D55" s="1166">
        <v>0.25</v>
      </c>
      <c r="E55" s="693"/>
      <c r="F55" s="690" t="e">
        <f t="shared" si="15"/>
        <v>#DIV/0!</v>
      </c>
      <c r="G55" s="3326"/>
      <c r="H55" s="1106" t="str">
        <f>项目基本情况!B37</f>
        <v>一级</v>
      </c>
      <c r="I55" s="944">
        <f>SUMIF(修正!A45:A56,H55,修正!E45:E56)</f>
        <v>0.3</v>
      </c>
      <c r="J55" s="945"/>
      <c r="K55" s="1147"/>
      <c r="L55" s="943"/>
      <c r="M55" s="943"/>
      <c r="N55" s="943"/>
      <c r="O55" s="943"/>
    </row>
    <row r="56" spans="1:17" s="691" customFormat="1">
      <c r="A56" s="692" t="s">
        <v>2771</v>
      </c>
      <c r="B56" s="262" t="e">
        <f t="shared" si="17"/>
        <v>#DIV/0!</v>
      </c>
      <c r="C56" s="200">
        <f t="shared" si="16"/>
        <v>0</v>
      </c>
      <c r="D56" s="1166">
        <v>0.25</v>
      </c>
      <c r="E56" s="261">
        <f>'数据-汇总表'!E11</f>
        <v>0</v>
      </c>
      <c r="F56" s="690" t="e">
        <f t="shared" si="15"/>
        <v>#DIV/0!</v>
      </c>
      <c r="G56" s="2709" t="s">
        <v>2772</v>
      </c>
      <c r="H56" s="1106">
        <f>项目基本情况!C37</f>
        <v>0</v>
      </c>
      <c r="I56" s="944">
        <f>SUMIF(修正!A45:A56,H56,修正!F45:F56)</f>
        <v>0</v>
      </c>
      <c r="J56" s="945"/>
      <c r="K56" s="1146"/>
      <c r="L56" s="943"/>
      <c r="M56" s="943"/>
      <c r="N56" s="943"/>
      <c r="O56" s="943"/>
    </row>
    <row r="57" spans="1:17" s="691" customFormat="1">
      <c r="A57" s="692" t="s">
        <v>2773</v>
      </c>
      <c r="B57" s="262" t="e">
        <f t="shared" si="17"/>
        <v>#DIV/0!</v>
      </c>
      <c r="C57" s="200">
        <f t="shared" si="16"/>
        <v>0</v>
      </c>
      <c r="D57" s="1166">
        <v>0.25</v>
      </c>
      <c r="E57" s="261">
        <f>'数据-汇总表'!E12</f>
        <v>0</v>
      </c>
      <c r="F57" s="690" t="e">
        <f t="shared" si="15"/>
        <v>#DIV/0!</v>
      </c>
      <c r="G57" s="1111" t="s">
        <v>2774</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2775</v>
      </c>
      <c r="B58" s="262" t="e">
        <f t="shared" si="17"/>
        <v>#DIV/0!</v>
      </c>
      <c r="C58" s="200">
        <f t="shared" si="16"/>
        <v>0</v>
      </c>
      <c r="D58" s="1166">
        <v>0.25</v>
      </c>
      <c r="E58" s="261">
        <f>'数据-汇总表'!E13</f>
        <v>0</v>
      </c>
      <c r="F58" s="690" t="e">
        <f t="shared" si="15"/>
        <v>#DIV/0!</v>
      </c>
      <c r="G58" s="1111" t="s">
        <v>2776</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2777</v>
      </c>
      <c r="B59" s="262" t="e">
        <f t="shared" si="17"/>
        <v>#DIV/0!</v>
      </c>
      <c r="C59" s="200">
        <f t="shared" si="16"/>
        <v>0.25</v>
      </c>
      <c r="D59" s="1166">
        <v>0.25</v>
      </c>
      <c r="E59" s="261">
        <f>'数据-汇总表'!E14</f>
        <v>0</v>
      </c>
      <c r="F59" s="690" t="e">
        <f t="shared" si="15"/>
        <v>#DIV/0!</v>
      </c>
      <c r="G59" s="2709" t="s">
        <v>2767</v>
      </c>
      <c r="H59" s="1106" t="str">
        <f>项目基本情况!B37</f>
        <v>一级</v>
      </c>
      <c r="I59" s="944">
        <f>SUMIF(修正!A45:A56,H59,修正!H45:H56)</f>
        <v>0.25</v>
      </c>
      <c r="J59" s="945"/>
      <c r="K59" s="1147"/>
      <c r="L59" s="943"/>
      <c r="M59" s="943"/>
      <c r="N59" s="943"/>
      <c r="O59" s="943"/>
    </row>
    <row r="60" spans="1:17" s="691" customFormat="1" ht="15" thickBot="1">
      <c r="A60" s="692" t="s">
        <v>2778</v>
      </c>
      <c r="B60" s="262" t="e">
        <f t="shared" si="17"/>
        <v>#DIV/0!</v>
      </c>
      <c r="C60" s="200">
        <f t="shared" si="16"/>
        <v>0</v>
      </c>
      <c r="D60" s="1166">
        <v>0.25</v>
      </c>
      <c r="E60" s="261">
        <f>'数据-汇总表'!E15</f>
        <v>0</v>
      </c>
      <c r="F60" s="690" t="e">
        <f t="shared" si="15"/>
        <v>#DIV/0!</v>
      </c>
      <c r="G60" s="2710" t="s">
        <v>2772</v>
      </c>
      <c r="H60" s="1116">
        <f>项目基本情况!C37</f>
        <v>0</v>
      </c>
      <c r="I60" s="944">
        <f>SUMIF(修正!A45:A56,H60,修正!H45:H56)</f>
        <v>0</v>
      </c>
      <c r="J60" s="945"/>
      <c r="K60" s="1146"/>
      <c r="L60" s="943"/>
      <c r="M60" s="943"/>
      <c r="N60" s="943"/>
      <c r="O60" s="943"/>
    </row>
    <row r="61" spans="1:17" s="691" customFormat="1" ht="15" thickBot="1">
      <c r="A61" s="694" t="s">
        <v>2779</v>
      </c>
      <c r="B61" s="695" t="s">
        <v>28</v>
      </c>
      <c r="C61" s="695" t="s">
        <v>29</v>
      </c>
      <c r="D61" s="695" t="s">
        <v>1029</v>
      </c>
      <c r="E61" s="695">
        <f>IF(B41="楼面地价",SUM(E51:E60),'数据-汇总表'!D3)</f>
        <v>4361.28</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2672</v>
      </c>
      <c r="B64" s="758"/>
      <c r="C64" s="763"/>
      <c r="D64" s="763"/>
      <c r="E64" s="763"/>
      <c r="F64" s="764"/>
      <c r="G64" s="764"/>
      <c r="H64" s="763"/>
      <c r="I64" s="763"/>
      <c r="J64" s="763"/>
      <c r="K64" s="765"/>
      <c r="L64" s="766"/>
      <c r="M64" s="763"/>
      <c r="N64" s="763"/>
      <c r="O64" s="1161"/>
      <c r="P64" s="503"/>
      <c r="Q64" s="504"/>
    </row>
    <row r="65" spans="1:17" s="508" customFormat="1" ht="15">
      <c r="A65" s="2711" t="s">
        <v>2780</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6" t="s">
        <v>2800</v>
      </c>
      <c r="B66" s="332" t="str">
        <f>"北京市平均增长率"&amp;TEXT(基准地价修正!P24,"0.00%")</f>
        <v>北京市平均增长率1.24%</v>
      </c>
      <c r="C66" s="603">
        <v>100</v>
      </c>
      <c r="D66" s="595"/>
      <c r="E66" s="595"/>
      <c r="F66" s="595"/>
      <c r="G66" s="595"/>
      <c r="H66" s="595"/>
      <c r="I66" s="595"/>
      <c r="J66" s="595"/>
      <c r="K66" s="595"/>
      <c r="L66" s="595"/>
      <c r="M66" s="1569"/>
      <c r="N66" s="1569"/>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2586</v>
      </c>
      <c r="B70" s="528" t="s">
        <v>2552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59" t="s">
        <v>2673</v>
      </c>
      <c r="D93" s="659" t="s">
        <v>2674</v>
      </c>
      <c r="E93" s="659" t="s">
        <v>2675</v>
      </c>
      <c r="F93" s="659" t="s">
        <v>2676</v>
      </c>
      <c r="G93" s="659" t="s">
        <v>2677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2"/>
      <c r="L1" s="2718" t="s">
        <v>2804</v>
      </c>
      <c r="M1" s="1082">
        <f>SUMPRODUCT((区片价!B5:B9=I2)*(区片价!C3:F3=E2)*(区片价!C5:F9))</f>
        <v>0</v>
      </c>
      <c r="N1" s="1085">
        <f>SUMPRODUCT((因素修正幅度!B5:B9=I2)*(因素修正幅度!C3:F3=E2)*(因素修正幅度!C5:F9))</f>
        <v>0</v>
      </c>
      <c r="O1" s="2719"/>
      <c r="P1" s="2719"/>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2"/>
      <c r="L2" s="2726" t="s">
        <v>2815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1" t="s">
        <v>2817</v>
      </c>
      <c r="D3" s="2722" t="s">
        <v>2818</v>
      </c>
      <c r="E3" s="2727"/>
      <c r="F3" s="2728" t="s">
        <v>2819</v>
      </c>
      <c r="G3" s="915">
        <f>IF(F3="宗地容积率",'数据-汇总表'!I4,IF(F3="估价对象容积率",'数据-汇总表'!I6,'数据-汇总表'!I7))</f>
        <v>3.05</v>
      </c>
      <c r="H3" s="198" t="s">
        <v>2820</v>
      </c>
      <c r="I3" s="946"/>
      <c r="J3" s="2725" t="s">
        <v>2821</v>
      </c>
      <c r="K3" s="1372"/>
      <c r="L3" s="2726" t="s">
        <v>2822</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45"/>
      <c r="B4" s="3346"/>
      <c r="C4" s="3346"/>
      <c r="D4" s="3347"/>
      <c r="E4" s="3347"/>
      <c r="F4" s="3347"/>
      <c r="G4" s="3347"/>
      <c r="H4" s="3347"/>
      <c r="I4" s="3347"/>
      <c r="J4" s="3348"/>
      <c r="K4" s="1372"/>
      <c r="L4" s="2726" t="s">
        <v>2823</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2824</v>
      </c>
      <c r="C5" s="916" t="e">
        <f>ROUND(IF(E2="商业",IF(F16="增加",C6*C7+C16,C6*C7-C16),IF(E2="住宅",IF(F16="增加",C6*C12+C16,C6*C12-C16),IF(F16="增加",C6+C16,C6-C16))),0)</f>
        <v>#DIV/0!</v>
      </c>
      <c r="D5" s="1789">
        <f>ROUND(IF(E2="商业",IF(F16="增加",C6+C16,C6-C16)),0)</f>
        <v>0</v>
      </c>
      <c r="E5" s="2731"/>
      <c r="F5" s="2731"/>
      <c r="G5" s="2732"/>
      <c r="H5" s="2732"/>
      <c r="I5" s="2732"/>
      <c r="J5" s="2733"/>
      <c r="K5" s="2734"/>
      <c r="L5" s="2726" t="s">
        <v>2825</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2826</v>
      </c>
      <c r="B6" s="2740" t="s">
        <v>2827</v>
      </c>
      <c r="C6" s="917">
        <f>SUMIF(L1:L12,G2,M1:M12)</f>
        <v>0</v>
      </c>
      <c r="D6" s="2741" t="s">
        <v>2828</v>
      </c>
      <c r="E6" s="2742"/>
      <c r="F6" s="2742"/>
      <c r="G6" s="2743"/>
      <c r="H6" s="2743"/>
      <c r="I6" s="2743"/>
      <c r="J6" s="2744"/>
      <c r="K6" s="1844"/>
      <c r="L6" s="2726" t="s">
        <v>2829</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331" t="str">
        <f>IF(E2="商业",IF(C8="不临58条商业街","",2),"")</f>
        <v/>
      </c>
      <c r="B7" s="2745" t="s">
        <v>2830</v>
      </c>
      <c r="C7" s="918" t="e">
        <f>IF(C8="不临58条商业街",1,ROUND(1+(1.6*E8+1.2*E9+0.8*E10+0.4*E11)*C9,4))</f>
        <v>#DIV/0!</v>
      </c>
      <c r="D7" s="2746" t="s">
        <v>2831</v>
      </c>
      <c r="E7" s="947"/>
      <c r="F7" s="2747"/>
      <c r="G7" s="2748"/>
      <c r="H7" s="2748"/>
      <c r="I7" s="2748"/>
      <c r="J7" s="2749"/>
      <c r="K7" s="1844"/>
      <c r="L7" s="2726" t="s">
        <v>2832</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2833</v>
      </c>
      <c r="X7" s="1606">
        <f>G2</f>
        <v>0</v>
      </c>
      <c r="Y7" s="1606" t="s">
        <v>2834</v>
      </c>
      <c r="Z7" s="1607">
        <f>G3</f>
        <v>3.05</v>
      </c>
      <c r="AA7" s="1608"/>
      <c r="AB7" s="1608"/>
      <c r="AC7" s="1609"/>
      <c r="AD7" s="1610"/>
      <c r="AE7" s="1610"/>
      <c r="AF7" s="1610"/>
      <c r="AG7" s="1610"/>
      <c r="AH7" s="1610"/>
      <c r="AI7" s="1610"/>
      <c r="AJ7" s="1611"/>
    </row>
    <row r="8" spans="1:36" ht="15">
      <c r="A8" s="3332"/>
      <c r="B8" s="198" t="s">
        <v>2835</v>
      </c>
      <c r="C8" s="2750"/>
      <c r="D8" s="919" t="s">
        <v>139</v>
      </c>
      <c r="E8" s="920" t="e">
        <f>ROUND(C11/E7,4)</f>
        <v>#DIV/0!</v>
      </c>
      <c r="F8" s="2751" t="s">
        <v>2836</v>
      </c>
      <c r="G8" s="2752"/>
      <c r="H8" s="2752"/>
      <c r="I8" s="2752"/>
      <c r="J8" s="2753"/>
      <c r="K8" s="1372"/>
      <c r="L8" s="2726"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342" t="s">
        <v>2838</v>
      </c>
      <c r="X8" s="3343"/>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332"/>
      <c r="B9" s="198" t="s">
        <v>2851</v>
      </c>
      <c r="C9" s="921">
        <f>SUMIF(修正!C59:C119,C8,修正!E59:E119)</f>
        <v>0</v>
      </c>
      <c r="D9" s="200" t="s">
        <v>140</v>
      </c>
      <c r="E9" s="200" t="e">
        <f>ROUND(C11/E7,4)</f>
        <v>#DIV/0!</v>
      </c>
      <c r="F9" s="2751" t="s">
        <v>2852</v>
      </c>
      <c r="G9" s="2752"/>
      <c r="H9" s="2752"/>
      <c r="I9" s="2752"/>
      <c r="J9" s="2753"/>
      <c r="K9" s="1372"/>
      <c r="L9" s="2726"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344"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32"/>
      <c r="B10" s="198" t="s">
        <v>2856</v>
      </c>
      <c r="C10" s="200">
        <f>SUMIF(修正!C59:C119,C8,修正!F59:F119)</f>
        <v>0</v>
      </c>
      <c r="D10" s="200" t="s">
        <v>141</v>
      </c>
      <c r="E10" s="200" t="e">
        <f>ROUND(C11/E7,4)</f>
        <v>#DIV/0!</v>
      </c>
      <c r="F10" s="2751" t="s">
        <v>2857</v>
      </c>
      <c r="G10" s="2752"/>
      <c r="H10" s="2752"/>
      <c r="I10" s="2752"/>
      <c r="J10" s="2753"/>
      <c r="K10" s="1372"/>
      <c r="L10" s="2726"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34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32"/>
      <c r="B11" s="2754" t="s">
        <v>2859</v>
      </c>
      <c r="C11" s="922">
        <f>C10/4</f>
        <v>0</v>
      </c>
      <c r="D11" s="922" t="s">
        <v>142</v>
      </c>
      <c r="E11" s="922" t="e">
        <f>ROUND(C11/E7,4)</f>
        <v>#DIV/0!</v>
      </c>
      <c r="F11" s="2755" t="s">
        <v>2860</v>
      </c>
      <c r="G11" s="2756"/>
      <c r="H11" s="2756"/>
      <c r="I11" s="2756"/>
      <c r="J11" s="2757"/>
      <c r="K11" s="1372"/>
      <c r="L11" s="2726"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344" t="s">
        <v>2862</v>
      </c>
      <c r="X11" s="1616" t="s">
        <v>2863</v>
      </c>
      <c r="Y11" s="1617">
        <f>$G$3</f>
        <v>3.05</v>
      </c>
      <c r="Z11" s="1617">
        <f t="shared" ref="Z11:AJ11" si="3">$G$3</f>
        <v>3.05</v>
      </c>
      <c r="AA11" s="1617">
        <f t="shared" si="3"/>
        <v>3.05</v>
      </c>
      <c r="AB11" s="1617">
        <f t="shared" si="3"/>
        <v>3.05</v>
      </c>
      <c r="AC11" s="1617">
        <f t="shared" si="3"/>
        <v>3.05</v>
      </c>
      <c r="AD11" s="1617">
        <f t="shared" si="3"/>
        <v>3.05</v>
      </c>
      <c r="AE11" s="1617">
        <f t="shared" si="3"/>
        <v>3.05</v>
      </c>
      <c r="AF11" s="1617">
        <f t="shared" si="3"/>
        <v>3.05</v>
      </c>
      <c r="AG11" s="1617">
        <f t="shared" si="3"/>
        <v>3.05</v>
      </c>
      <c r="AH11" s="1617">
        <f t="shared" si="3"/>
        <v>3.05</v>
      </c>
      <c r="AI11" s="1617">
        <f t="shared" si="3"/>
        <v>3.05</v>
      </c>
      <c r="AJ11" s="1617">
        <f t="shared" si="3"/>
        <v>3.05</v>
      </c>
    </row>
    <row r="12" spans="1:36" ht="25.5" thickBot="1">
      <c r="A12" s="3331" t="s">
        <v>2864</v>
      </c>
      <c r="B12" s="2758" t="s">
        <v>2865</v>
      </c>
      <c r="C12" s="918">
        <f>ROUND(C15*D15*E15*F15*G15*H15*I15*J15,4)</f>
        <v>1</v>
      </c>
      <c r="D12" s="2759" t="s">
        <v>2866</v>
      </c>
      <c r="E12" s="2760"/>
      <c r="F12" s="2760"/>
      <c r="G12" s="2761"/>
      <c r="H12" s="2761"/>
      <c r="I12" s="2761"/>
      <c r="J12" s="2762"/>
      <c r="K12" s="1372"/>
      <c r="L12" s="2763"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344"/>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49"/>
      <c r="B13" s="2764" t="s">
        <v>2869</v>
      </c>
      <c r="C13" s="2765" t="s">
        <v>2870</v>
      </c>
      <c r="D13" s="1810" t="s">
        <v>2871</v>
      </c>
      <c r="E13" s="1810" t="s">
        <v>2872</v>
      </c>
      <c r="F13" s="30" t="s">
        <v>2873</v>
      </c>
      <c r="G13" s="2766" t="s">
        <v>2874</v>
      </c>
      <c r="H13" s="2766" t="s">
        <v>2874</v>
      </c>
      <c r="I13" s="2766" t="s">
        <v>2874</v>
      </c>
      <c r="J13" s="2767" t="s">
        <v>2874</v>
      </c>
      <c r="K13" s="1372"/>
      <c r="L13" s="1372"/>
      <c r="M13" s="1372"/>
      <c r="N13" s="1372"/>
      <c r="O13" s="1372"/>
      <c r="P13" s="1372"/>
      <c r="Q13" s="1372"/>
      <c r="R13" s="1604">
        <v>12</v>
      </c>
      <c r="S13" s="1605"/>
      <c r="T13" s="1604" t="e">
        <f t="shared" si="0"/>
        <v>#DIV/0!</v>
      </c>
      <c r="U13" s="1605"/>
      <c r="V13" s="1604" t="e">
        <f t="shared" si="1"/>
        <v>#DIV/0!</v>
      </c>
      <c r="W13" s="3344"/>
      <c r="X13" s="1618"/>
      <c r="Y13" s="1615">
        <f>(-0.163*(Y12^2)-0.59*Y12+7617)*(10^(-4))/Y11</f>
        <v>0.24973770491803282</v>
      </c>
      <c r="Z13" s="1615">
        <f t="shared" ref="Z13:AJ13" si="5">(-0.163*(Z12^2)-0.59*Z12+7617)*(10^(-4))/Z11</f>
        <v>0.24973770491803282</v>
      </c>
      <c r="AA13" s="1615">
        <f t="shared" si="5"/>
        <v>0.24973770491803282</v>
      </c>
      <c r="AB13" s="1615">
        <f t="shared" si="5"/>
        <v>0.24973770491803282</v>
      </c>
      <c r="AC13" s="1615">
        <f t="shared" si="5"/>
        <v>0.24973770491803282</v>
      </c>
      <c r="AD13" s="1615">
        <f t="shared" si="5"/>
        <v>0.24973770491803282</v>
      </c>
      <c r="AE13" s="1615">
        <f t="shared" si="5"/>
        <v>0.24973770491803282</v>
      </c>
      <c r="AF13" s="1615">
        <f t="shared" si="5"/>
        <v>0.24973770491803282</v>
      </c>
      <c r="AG13" s="1615">
        <f t="shared" si="5"/>
        <v>0.24973770491803282</v>
      </c>
      <c r="AH13" s="1615">
        <f t="shared" si="5"/>
        <v>0.24973770491803282</v>
      </c>
      <c r="AI13" s="1615">
        <f t="shared" si="5"/>
        <v>0.24973770491803282</v>
      </c>
      <c r="AJ13" s="1615">
        <f t="shared" si="5"/>
        <v>0.24973770491803282</v>
      </c>
    </row>
    <row r="14" spans="1:36" ht="15">
      <c r="A14" s="3349"/>
      <c r="B14" s="2768"/>
      <c r="C14" s="2769"/>
      <c r="D14" s="2770"/>
      <c r="E14" s="2770"/>
      <c r="F14" s="2771"/>
      <c r="G14" s="2772" t="s">
        <v>2875</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50"/>
      <c r="B15" s="2776" t="s">
        <v>2876</v>
      </c>
      <c r="C15" s="229">
        <f>IF(C14="有",1.1,1)</f>
        <v>1</v>
      </c>
      <c r="D15" s="229">
        <f>IF(D14="有",1.1,1)</f>
        <v>1</v>
      </c>
      <c r="E15" s="229">
        <f>IF(E14="有",1.1,1)</f>
        <v>1</v>
      </c>
      <c r="F15" s="229">
        <f>IF(F14="500米范围内",1.2,IF(F14="500-1000米",1.1,1))</f>
        <v>1</v>
      </c>
      <c r="G15" s="948">
        <v>1</v>
      </c>
      <c r="H15" s="948">
        <v>1</v>
      </c>
      <c r="I15" s="948">
        <v>1</v>
      </c>
      <c r="J15" s="949">
        <v>1</v>
      </c>
      <c r="K15" s="1372"/>
      <c r="L15" s="2777" t="s">
        <v>2812</v>
      </c>
      <c r="M15" s="919" t="s">
        <v>2877</v>
      </c>
      <c r="N15" s="919" t="s">
        <v>2878</v>
      </c>
      <c r="O15" s="919" t="s">
        <v>2879</v>
      </c>
      <c r="P15" s="2778" t="s">
        <v>2880</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31" t="s">
        <v>2881</v>
      </c>
      <c r="B16" s="2745" t="s">
        <v>2882</v>
      </c>
      <c r="C16" s="1803" t="e">
        <f>ROUND(SUM(G17:J17)/C17,0)</f>
        <v>#DIV/0!</v>
      </c>
      <c r="D16" s="2779" t="s">
        <v>2883</v>
      </c>
      <c r="E16" s="2780"/>
      <c r="F16" s="2781"/>
      <c r="G16" s="2782"/>
      <c r="H16" s="2782"/>
      <c r="I16" s="2782"/>
      <c r="J16" s="2783"/>
      <c r="K16" s="1372"/>
      <c r="L16" s="2784" t="s">
        <v>2884</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32"/>
      <c r="B17" s="2785" t="s">
        <v>2885</v>
      </c>
      <c r="C17" s="923">
        <f>SUMPRODUCT((修正!A2:A5=E2)*(修正!B1:M1=G2)*(修正!B2:M5))</f>
        <v>0</v>
      </c>
      <c r="D17" s="2786"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2889</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2890</v>
      </c>
      <c r="C19" s="926" t="e">
        <f>ROUND(IF(H19="按公示增长率计算",SUMPRODUCT((地价!A3:A22=YEAR(G19)&amp;"-"&amp;ROUNDUP(MONTH(G19)/3,0))*(地价!X2:AB2=E2)*(地价!X3:AB22)),IF(H19="地价指数",M20/M19,(1+I19)^O19)),4)</f>
        <v>#DIV/0!</v>
      </c>
      <c r="D19" s="2797" t="s">
        <v>2891</v>
      </c>
      <c r="E19" s="927">
        <v>41640</v>
      </c>
      <c r="F19" s="2797" t="s">
        <v>2892</v>
      </c>
      <c r="G19" s="928">
        <f>'数据-取费表'!B2</f>
        <v>43209</v>
      </c>
      <c r="H19" s="2798" t="s">
        <v>2893</v>
      </c>
      <c r="I19" s="929" t="str">
        <f>IF(H19="季度增幅（自定义）",SUMIF(N21:N24,E2,O21:O24),"")</f>
        <v/>
      </c>
      <c r="J19" s="2795"/>
      <c r="K19" s="1379"/>
      <c r="L19" s="2799" t="s">
        <v>2894</v>
      </c>
      <c r="M19" s="1736">
        <f>ROUND(SUMIF(地价!B2:F2,E2,地价!B22:F22),0)</f>
        <v>0</v>
      </c>
      <c r="N19" s="2800" t="s">
        <v>2895</v>
      </c>
      <c r="O19" s="930">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2896</v>
      </c>
      <c r="C20" s="931" t="e">
        <f>ROUND(POWER(1+G20,J20-I20)*(POWER(1+G20,I20)-1)/(POWER(1+G20,J20)-1),4)</f>
        <v>#DIV/0!</v>
      </c>
      <c r="D20" s="2806" t="s">
        <v>2897</v>
      </c>
      <c r="E20" s="1770">
        <f ca="1">存贷款利率!D4/100</f>
        <v>4.3499999999999997E-2</v>
      </c>
      <c r="F20" s="2806" t="s">
        <v>2888</v>
      </c>
      <c r="G20" s="936">
        <f>SUMIF(M15:P15,E2,M17:P17)</f>
        <v>0</v>
      </c>
      <c r="H20" s="2806" t="s">
        <v>2898</v>
      </c>
      <c r="I20" s="937" t="e">
        <f>SUMIF('数据-取费表'!C6:C15,E2,'数据-取费表'!F6:F15)/COUNTIF('数据-取费表'!C6:C15,E2)</f>
        <v>#DIV/0!</v>
      </c>
      <c r="J20" s="938">
        <f>IF(E2="住宅",70,IF(E2="商业",40,50))</f>
        <v>50</v>
      </c>
      <c r="K20" s="1379"/>
      <c r="L20" s="2807" t="s">
        <v>2899</v>
      </c>
      <c r="M20" s="1737">
        <f>ROUND(SUMPRODUCT((地价!A4:A22=YEAR(G19)&amp;"-"&amp;ROUNDUP(MONTH(G19)/3,0))*(地价!B2:F2=E2)*(地价!B4:F22)),0)</f>
        <v>0</v>
      </c>
      <c r="N20" s="2808" t="s">
        <v>2900</v>
      </c>
      <c r="O20" s="2809" t="s">
        <v>2901</v>
      </c>
      <c r="P20" s="2810" t="s">
        <v>2902</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2903</v>
      </c>
      <c r="C21" s="939">
        <f>IF(B21="容积率修正",IF(G3&lt;=10,D22,J22),C23)</f>
        <v>0</v>
      </c>
      <c r="D21" s="2813"/>
      <c r="E21" s="2813"/>
      <c r="F21" s="2813"/>
      <c r="G21" s="2813"/>
      <c r="H21" s="2813"/>
      <c r="I21" s="2813"/>
      <c r="J21" s="2814"/>
      <c r="K21" s="1379"/>
      <c r="N21" s="2815" t="s">
        <v>2904</v>
      </c>
      <c r="O21" s="1563"/>
      <c r="P21" s="1564">
        <f>SUMPRODUCT((地价!A3:A22=YEAR(G19)&amp;"-"&amp;ROUNDUP(MONTH(G19)/3,0))*(地价!AD2:AH2=N21)*(地价!AD3:AH22))</f>
        <v>1.46E-2</v>
      </c>
      <c r="R21" s="1378"/>
      <c r="S21" s="1378"/>
      <c r="T21" s="1373"/>
      <c r="U21" s="1373"/>
      <c r="V21" s="1373"/>
      <c r="W21" s="1372"/>
      <c r="X21" s="1372"/>
      <c r="Y21" s="1372"/>
      <c r="Z21" s="1379"/>
      <c r="AA21" s="1380"/>
      <c r="AB21" s="1380"/>
      <c r="AC21" s="1380"/>
      <c r="AD21" s="1380"/>
      <c r="AE21" s="1380"/>
      <c r="AF21" s="1380"/>
    </row>
    <row r="22" spans="1:37" s="2738" customFormat="1" ht="14.25">
      <c r="A22" s="2664" t="s">
        <v>2905</v>
      </c>
      <c r="B22" s="2816" t="s">
        <v>2906</v>
      </c>
      <c r="C22" s="1812" t="s">
        <v>2907</v>
      </c>
      <c r="D22" s="1812">
        <f>IF(E22=G22,F22,IF(G3&lt;=10,ROUND(F22+(H22-F22)*(G3-E22)/(G22-E22),4),"——"))</f>
        <v>0</v>
      </c>
      <c r="E22" s="915">
        <f>ROUNDDOWN(G3,1)</f>
        <v>3</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5" t="s">
        <v>2908</v>
      </c>
      <c r="O22" s="1563"/>
      <c r="P22" s="1564">
        <f>SUMPRODUCT((地价!A3:A22=YEAR(G19)&amp;"-"&amp;ROUNDUP(MONTH(G19)/3,0))*(地价!AD2:AH2=N22)*(地价!AD3:AH22))</f>
        <v>1.46E-2</v>
      </c>
      <c r="R22" s="1378"/>
      <c r="S22" s="1378"/>
      <c r="T22" s="1373"/>
      <c r="U22" s="1373"/>
      <c r="V22" s="1373"/>
      <c r="W22" s="1372"/>
      <c r="X22" s="1372"/>
      <c r="Y22" s="1372"/>
      <c r="Z22" s="1379"/>
      <c r="AA22" s="1380"/>
      <c r="AB22" s="1380"/>
      <c r="AC22" s="1380"/>
      <c r="AD22" s="1380"/>
      <c r="AE22" s="1380"/>
      <c r="AF22" s="1380"/>
    </row>
    <row r="23" spans="1:37" ht="27.75" thickBot="1">
      <c r="A23" s="2664" t="s">
        <v>2909</v>
      </c>
      <c r="B23" s="2817" t="s">
        <v>2910</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2911</v>
      </c>
      <c r="O23" s="1563"/>
      <c r="P23" s="1564">
        <f>SUMPRODUCT((地价!A3:A22=YEAR(G19)&amp;"-"&amp;ROUNDUP(MONTH(G19)/3,0))*(地价!AD2:AH2=N23)*(地价!AD3:AH22))</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2912</v>
      </c>
      <c r="C24" s="926">
        <f>SUMIF(A45:A88,E2,B45:B88)</f>
        <v>0</v>
      </c>
      <c r="D24" s="2793"/>
      <c r="E24" s="2823"/>
      <c r="F24" s="2823"/>
      <c r="G24" s="2823"/>
      <c r="H24" s="2823"/>
      <c r="I24" s="2823"/>
      <c r="J24" s="2824"/>
      <c r="K24" s="1379"/>
      <c r="N24" s="2825" t="s">
        <v>2913</v>
      </c>
      <c r="O24" s="1565"/>
      <c r="P24" s="1566">
        <f>SUMPRODUCT((地价!A3:A22=YEAR(G19)&amp;"-"&amp;ROUNDUP(MONTH(G19)/3,0))*(地价!AD2:AH2=N24)*(地价!AD3:AH22))</f>
        <v>1.24E-2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2914</v>
      </c>
      <c r="C25" s="932"/>
      <c r="D25" s="2748"/>
      <c r="E25" s="2748"/>
      <c r="F25" s="2827"/>
      <c r="G25" s="2748"/>
      <c r="H25" s="2748"/>
      <c r="I25" s="2748"/>
      <c r="J25" s="2749"/>
      <c r="K25" s="1372"/>
      <c r="N25" s="2828" t="s">
        <v>2915</v>
      </c>
      <c r="O25" s="1567"/>
      <c r="P25" s="1566">
        <f>SUMPRODUCT((地价!A3:A22=YEAR(G19)&amp;"-"&amp;ROUNDUP(MONTH(G19)/3,0))*(地价!AD2:AH2=N25)*(地价!AD3:AH22))</f>
        <v>2.1700000000000001E-2</v>
      </c>
      <c r="R25" s="1378"/>
      <c r="S25" s="1378"/>
      <c r="T25" s="1373"/>
      <c r="U25" s="1373"/>
      <c r="V25" s="1373"/>
      <c r="W25" s="1372"/>
      <c r="X25" s="1372"/>
      <c r="Y25" s="1372"/>
      <c r="Z25" s="1379"/>
      <c r="AA25" s="1380"/>
      <c r="AB25" s="1380"/>
      <c r="AC25" s="1380"/>
      <c r="AD25" s="1380"/>
    </row>
    <row r="26" spans="1:37" ht="15">
      <c r="A26" s="2829"/>
      <c r="B26" s="2816" t="s">
        <v>2916</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2917</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2918</v>
      </c>
      <c r="C28" s="2840" t="s">
        <v>2919</v>
      </c>
      <c r="D28" s="2840" t="s">
        <v>2920</v>
      </c>
      <c r="E28" s="2841" t="s">
        <v>2921</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2922</v>
      </c>
      <c r="C29" s="206" t="e">
        <f>ROUND(C5*C18*C19*C20*C21*C24,0)</f>
        <v>#DIV/0!</v>
      </c>
      <c r="D29" s="2845"/>
      <c r="E29" s="944" t="e">
        <f>ROUND(C29*D29/10000,0)</f>
        <v>#DIV/0!</v>
      </c>
      <c r="F29" s="2846" t="s">
        <v>2923</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2924</v>
      </c>
      <c r="C30" s="229" t="e">
        <f>ROUND(IF(E2="工业",C29*M39,C29*M38),0)</f>
        <v>#DIV/0!</v>
      </c>
      <c r="D30" s="2851"/>
      <c r="E30" s="944" t="e">
        <f>ROUND(C30*D30/10000,0)</f>
        <v>#DIV/0!</v>
      </c>
      <c r="F30" s="2852" t="s">
        <v>2925</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339" t="s">
        <v>2930</v>
      </c>
      <c r="B33" s="2861" t="s">
        <v>2931</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40"/>
      <c r="B34" s="2765" t="s">
        <v>2932</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40"/>
      <c r="B35" s="2765" t="s">
        <v>2933</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341"/>
      <c r="B36" s="2765" t="s">
        <v>2934</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2935</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72"/>
      <c r="L37" s="2864" t="s">
        <v>2936</v>
      </c>
      <c r="M37" s="2865"/>
      <c r="N37" s="1372"/>
      <c r="O37" s="1372"/>
      <c r="P37" s="1372"/>
      <c r="Q37" s="1372"/>
      <c r="R37" s="1372"/>
      <c r="S37" s="1372"/>
      <c r="T37" s="1372"/>
      <c r="U37" s="1372"/>
      <c r="V37" s="1372"/>
      <c r="W37" s="1372"/>
      <c r="X37" s="1372"/>
      <c r="Y37" s="1372"/>
      <c r="Z37" s="1373"/>
    </row>
    <row r="38" spans="1:37">
      <c r="A38" s="2863"/>
      <c r="B38" s="2765" t="s">
        <v>2937</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72"/>
      <c r="L38" s="1889" t="s">
        <v>2938</v>
      </c>
      <c r="M38" s="2866">
        <v>0.25</v>
      </c>
      <c r="N38" s="1372"/>
      <c r="O38" s="1372"/>
      <c r="P38" s="1372"/>
      <c r="Q38" s="1372"/>
      <c r="R38" s="1372"/>
      <c r="S38" s="1372"/>
      <c r="T38" s="1372"/>
      <c r="U38" s="1372"/>
      <c r="V38" s="1372"/>
      <c r="W38" s="1372"/>
      <c r="X38" s="1372"/>
      <c r="Y38" s="1372"/>
      <c r="Z38" s="1373"/>
    </row>
    <row r="39" spans="1:37" ht="13.5" thickBot="1">
      <c r="A39" s="2849"/>
      <c r="B39" s="2867" t="s">
        <v>2939</v>
      </c>
      <c r="C39" s="229" t="e">
        <f>ROUND(C5*C19*C20*C24*F39,0)</f>
        <v>#DIV/0!</v>
      </c>
      <c r="D39" s="2851"/>
      <c r="E39" s="229" t="e">
        <f t="shared" si="7"/>
        <v>#DIV/0!</v>
      </c>
      <c r="F39" s="934">
        <f>SUMIF(修正!A45:A56,G2,修正!H45:H56)</f>
        <v>0</v>
      </c>
      <c r="G39" s="229" t="e">
        <f t="shared" si="6"/>
        <v>#DIV/0!</v>
      </c>
      <c r="H39" s="229">
        <f t="shared" si="8"/>
        <v>0</v>
      </c>
      <c r="I39" s="229" t="e">
        <f t="shared" si="9"/>
        <v>#DIV/0!</v>
      </c>
      <c r="J39" s="2868"/>
      <c r="K39" s="1372"/>
      <c r="L39" s="2869" t="s">
        <v>2880</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2940</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2941</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2942</v>
      </c>
      <c r="B47" s="1811" t="s">
        <v>2943</v>
      </c>
      <c r="C47" s="1811" t="s">
        <v>2944</v>
      </c>
      <c r="D47" s="1811" t="s">
        <v>2945</v>
      </c>
      <c r="E47" s="818" t="s">
        <v>2946</v>
      </c>
      <c r="F47" s="2879" t="s">
        <v>2947</v>
      </c>
      <c r="G47" s="1811" t="s">
        <v>754</v>
      </c>
      <c r="H47" s="2880" t="s">
        <v>2948</v>
      </c>
      <c r="I47" s="1811" t="s">
        <v>2949</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78" t="s">
        <v>2950</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2951</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2952</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2953</v>
      </c>
      <c r="B51" s="2883" t="s">
        <v>2954</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2955</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2956</v>
      </c>
      <c r="B53" s="2884" t="s">
        <v>2957</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2958</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2959</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2960</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2961</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2942</v>
      </c>
      <c r="B58" s="1811"/>
      <c r="C58" s="1811" t="s">
        <v>2944</v>
      </c>
      <c r="D58" s="1811" t="s">
        <v>2945</v>
      </c>
      <c r="E58" s="818" t="s">
        <v>2946</v>
      </c>
      <c r="F58" s="2879" t="s">
        <v>2962</v>
      </c>
      <c r="G58" s="1811" t="s">
        <v>754</v>
      </c>
      <c r="H58" s="2880" t="s">
        <v>2948</v>
      </c>
      <c r="I58" s="1811" t="s">
        <v>2949</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78" t="s">
        <v>2963</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2951</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2952</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2953</v>
      </c>
      <c r="B62" s="2883" t="s">
        <v>2954</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2955</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2956</v>
      </c>
      <c r="B64" s="2884" t="s">
        <v>2957</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2958</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2959</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2960</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2964</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2942</v>
      </c>
      <c r="B69" s="1811"/>
      <c r="C69" s="1811" t="s">
        <v>2944</v>
      </c>
      <c r="D69" s="1811" t="s">
        <v>2945</v>
      </c>
      <c r="E69" s="818" t="s">
        <v>2946</v>
      </c>
      <c r="F69" s="2879" t="s">
        <v>2962</v>
      </c>
      <c r="G69" s="1811" t="s">
        <v>754</v>
      </c>
      <c r="H69" s="2880" t="s">
        <v>2948</v>
      </c>
      <c r="I69" s="1811" t="s">
        <v>2949</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78" t="s">
        <v>2965</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2951</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2952</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2966</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2958</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2959</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2956</v>
      </c>
      <c r="B76" s="2884" t="s">
        <v>2957</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2960</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2967</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2968</v>
      </c>
      <c r="B79" s="2875">
        <f>1+E81</f>
        <v>1</v>
      </c>
      <c r="C79" s="813"/>
      <c r="D79" s="813"/>
      <c r="E79" s="814"/>
      <c r="F79" s="2877"/>
      <c r="G79" s="6"/>
      <c r="H79" s="6"/>
      <c r="I79" s="6"/>
      <c r="J79" s="7"/>
      <c r="K79" s="7"/>
      <c r="L79" s="7"/>
      <c r="M79" s="7"/>
      <c r="N79" s="7"/>
      <c r="Z79" s="2720"/>
      <c r="AA79" s="2796"/>
      <c r="AG79" s="1374"/>
      <c r="AK79" s="2796"/>
    </row>
    <row r="80" spans="1:37" ht="24.75">
      <c r="A80" s="2878" t="s">
        <v>2942</v>
      </c>
      <c r="B80" s="1811"/>
      <c r="C80" s="1811" t="s">
        <v>2944</v>
      </c>
      <c r="D80" s="1811" t="s">
        <v>2945</v>
      </c>
      <c r="E80" s="818" t="s">
        <v>2946</v>
      </c>
      <c r="F80" s="2879" t="s">
        <v>2962</v>
      </c>
      <c r="G80" s="1811" t="s">
        <v>754</v>
      </c>
      <c r="H80" s="2880" t="s">
        <v>2948</v>
      </c>
      <c r="I80" s="1811" t="s">
        <v>2949</v>
      </c>
      <c r="J80" s="603" t="s">
        <v>2595</v>
      </c>
      <c r="K80" s="603" t="s">
        <v>2596</v>
      </c>
      <c r="L80" s="603" t="s">
        <v>2597</v>
      </c>
      <c r="M80" s="603" t="s">
        <v>2598</v>
      </c>
      <c r="N80" s="603" t="s">
        <v>2599</v>
      </c>
      <c r="Z80" s="2720"/>
      <c r="AA80" s="2796"/>
      <c r="AG80" s="1374"/>
      <c r="AK80" s="2796"/>
    </row>
    <row r="81" spans="1:37" ht="38.25">
      <c r="A81" s="2878" t="s">
        <v>2969</v>
      </c>
      <c r="B81" s="2882" t="str">
        <f>估价对象房地状况!G15</f>
        <v>估价对象位于XX开发区，园区建设成熟度XX，产业集聚程度XX</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2951</v>
      </c>
      <c r="B82" s="2882" t="str">
        <f>估价对象房地状况!G16</f>
        <v>估价对象周边道路状况、公共交通通达情况、停车便捷程度，综合评价交通便捷度较好</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2952</v>
      </c>
      <c r="B83" s="2882">
        <f>估价对象房地状况!G17</f>
        <v>0</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2966</v>
      </c>
      <c r="B84" s="2882">
        <f>估价对象房地状况!G22</f>
        <v>0</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2958</v>
      </c>
      <c r="B85" s="1727" t="str">
        <f>估价对象房地状况!G19</f>
        <v>估价对象所在区域公共配套设施齐备情况</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2959</v>
      </c>
      <c r="B86" s="1727" t="str">
        <f>估价对象房地状况!G20</f>
        <v>估价对象所在区域基础设施水平</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2956</v>
      </c>
      <c r="B87" s="2884" t="s">
        <v>2970</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2971</v>
      </c>
      <c r="B88" s="2891" t="str">
        <f>估价对象房地状况!G18</f>
        <v>该园区内是否有污染型企业，绿化情况，卫生条件，整体环境状况判断</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333" t="s">
        <v>2972</v>
      </c>
      <c r="B90" s="3333"/>
      <c r="C90" s="3333"/>
      <c r="D90" s="3333"/>
      <c r="E90" s="3333"/>
      <c r="F90" s="3333"/>
      <c r="G90" s="3333"/>
      <c r="H90" s="3333"/>
      <c r="I90" s="3333"/>
      <c r="J90" s="3333"/>
      <c r="K90" s="2892"/>
      <c r="L90" s="2892"/>
      <c r="M90" s="2892"/>
      <c r="N90" s="2892"/>
    </row>
    <row r="91" spans="1:37">
      <c r="A91" s="3335" t="s">
        <v>2973</v>
      </c>
      <c r="B91" s="3335" t="s">
        <v>2974</v>
      </c>
      <c r="C91" s="2846" t="s">
        <v>2975</v>
      </c>
      <c r="D91" s="2847"/>
      <c r="E91" s="2847"/>
      <c r="F91" s="2847"/>
      <c r="G91" s="2847"/>
      <c r="H91" s="2847"/>
      <c r="I91" s="2847"/>
      <c r="J91" s="2893"/>
      <c r="K91" s="2894"/>
      <c r="L91" s="2894"/>
      <c r="M91" s="2894"/>
      <c r="N91" s="2894"/>
    </row>
    <row r="92" spans="1:37">
      <c r="A92" s="3335"/>
      <c r="B92" s="3335"/>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336"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37"/>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37"/>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37"/>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37"/>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37"/>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37"/>
      <c r="B99" s="2895" t="s">
        <v>2855</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338"/>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36" t="s">
        <v>2977</v>
      </c>
      <c r="B101" s="2899" t="s">
        <v>2978</v>
      </c>
      <c r="C101" s="2900">
        <f>$G$3</f>
        <v>3.05</v>
      </c>
      <c r="D101" s="2900">
        <f t="shared" ref="D101:N101" si="31">$G$3</f>
        <v>3.05</v>
      </c>
      <c r="E101" s="2900">
        <f t="shared" si="31"/>
        <v>3.05</v>
      </c>
      <c r="F101" s="2900">
        <f t="shared" si="31"/>
        <v>3.05</v>
      </c>
      <c r="G101" s="2900">
        <f t="shared" si="31"/>
        <v>3.05</v>
      </c>
      <c r="H101" s="2900">
        <f t="shared" si="31"/>
        <v>3.05</v>
      </c>
      <c r="I101" s="2900">
        <f t="shared" si="31"/>
        <v>3.05</v>
      </c>
      <c r="J101" s="2900">
        <f t="shared" si="31"/>
        <v>3.05</v>
      </c>
      <c r="K101" s="2900">
        <f t="shared" si="31"/>
        <v>3.05</v>
      </c>
      <c r="L101" s="2900">
        <f t="shared" si="31"/>
        <v>3.05</v>
      </c>
      <c r="M101" s="2900">
        <f t="shared" si="31"/>
        <v>3.05</v>
      </c>
      <c r="N101" s="2900">
        <f t="shared" si="31"/>
        <v>3.05</v>
      </c>
    </row>
    <row r="102" spans="1:14">
      <c r="A102" s="3337"/>
      <c r="B102" s="2895">
        <v>1</v>
      </c>
      <c r="C102" s="2896">
        <f>1.9362/C101</f>
        <v>0.63481967213114754</v>
      </c>
      <c r="D102" s="2896">
        <f>1.9362/D101</f>
        <v>0.63481967213114754</v>
      </c>
      <c r="E102" s="2896">
        <f>1.8629/E101</f>
        <v>0.61078688524590163</v>
      </c>
      <c r="F102" s="2896">
        <f>1.8629/F101</f>
        <v>0.61078688524590163</v>
      </c>
      <c r="G102" s="2896">
        <f>1.8629/G101</f>
        <v>0.61078688524590163</v>
      </c>
      <c r="H102" s="2896">
        <f>1.8629/H101</f>
        <v>0.61078688524590163</v>
      </c>
      <c r="I102" s="2896">
        <f>1.8629/I101</f>
        <v>0.61078688524590163</v>
      </c>
      <c r="J102" s="2896">
        <f>1.942/J101</f>
        <v>0.63672131147540989</v>
      </c>
      <c r="K102" s="2896">
        <f>1.942/K101</f>
        <v>0.63672131147540989</v>
      </c>
      <c r="L102" s="2896">
        <f>1.942/L101</f>
        <v>0.63672131147540989</v>
      </c>
      <c r="M102" s="2896">
        <f>1.942/M101</f>
        <v>0.63672131147540989</v>
      </c>
      <c r="N102" s="2896">
        <f>1.942/N101</f>
        <v>0.63672131147540989</v>
      </c>
    </row>
    <row r="103" spans="1:14">
      <c r="A103" s="3337"/>
      <c r="B103" s="2895">
        <v>2</v>
      </c>
      <c r="C103" s="2896">
        <f>1.4198/C101</f>
        <v>0.4655081967213115</v>
      </c>
      <c r="D103" s="2896">
        <f>1.4198/D101</f>
        <v>0.4655081967213115</v>
      </c>
      <c r="E103" s="2896">
        <f>1.3372/E101</f>
        <v>0.43842622950819671</v>
      </c>
      <c r="F103" s="2896">
        <f>1.3372/F101</f>
        <v>0.43842622950819671</v>
      </c>
      <c r="G103" s="2896">
        <f>1.3372/G101</f>
        <v>0.43842622950819671</v>
      </c>
      <c r="H103" s="2896">
        <f>1.3372/H101</f>
        <v>0.43842622950819671</v>
      </c>
      <c r="I103" s="2896">
        <f>1.3372/I101</f>
        <v>0.43842622950819671</v>
      </c>
      <c r="J103" s="2896">
        <f>1.2799/J101</f>
        <v>0.4196393442622951</v>
      </c>
      <c r="K103" s="2896">
        <f>1.2799/K101</f>
        <v>0.4196393442622951</v>
      </c>
      <c r="L103" s="2896">
        <f>1.2799/L101</f>
        <v>0.4196393442622951</v>
      </c>
      <c r="M103" s="2896">
        <f>1.2799/M101</f>
        <v>0.4196393442622951</v>
      </c>
      <c r="N103" s="2896">
        <f>1.2799/N101</f>
        <v>0.4196393442622951</v>
      </c>
    </row>
    <row r="104" spans="1:14">
      <c r="A104" s="3337"/>
      <c r="B104" s="2895">
        <v>3</v>
      </c>
      <c r="C104" s="2896">
        <f>1.1594/C101</f>
        <v>0.38013114754098365</v>
      </c>
      <c r="D104" s="2896">
        <f>1.1594/D101</f>
        <v>0.38013114754098365</v>
      </c>
      <c r="E104" s="2896">
        <f>1.0788/E101</f>
        <v>0.35370491803278692</v>
      </c>
      <c r="F104" s="2896">
        <f>1.0788/F101</f>
        <v>0.35370491803278692</v>
      </c>
      <c r="G104" s="2896">
        <f>1.0788/G101</f>
        <v>0.35370491803278692</v>
      </c>
      <c r="H104" s="2896">
        <f>1.0788/H101</f>
        <v>0.35370491803278692</v>
      </c>
      <c r="I104" s="2896">
        <f>1.0788/I101</f>
        <v>0.35370491803278692</v>
      </c>
      <c r="J104" s="2896">
        <f>1.0072/J101</f>
        <v>0.33022950819672137</v>
      </c>
      <c r="K104" s="2896">
        <f>1.0072/K101</f>
        <v>0.33022950819672137</v>
      </c>
      <c r="L104" s="2896">
        <f>1.0072/L101</f>
        <v>0.33022950819672137</v>
      </c>
      <c r="M104" s="2896">
        <f>1.0072/M101</f>
        <v>0.33022950819672137</v>
      </c>
      <c r="N104" s="2896">
        <f>1.0072/N101</f>
        <v>0.33022950819672137</v>
      </c>
    </row>
    <row r="105" spans="1:14">
      <c r="A105" s="3337"/>
      <c r="B105" s="2895">
        <v>4</v>
      </c>
      <c r="C105" s="2896">
        <f>0.9622/C101</f>
        <v>0.31547540983606559</v>
      </c>
      <c r="D105" s="2896">
        <f>0.9622/D101</f>
        <v>0.31547540983606559</v>
      </c>
      <c r="E105" s="2896">
        <f>0.8656/E101</f>
        <v>0.28380327868852462</v>
      </c>
      <c r="F105" s="2896">
        <f>0.8656/F101</f>
        <v>0.28380327868852462</v>
      </c>
      <c r="G105" s="2896">
        <f>0.8656/G101</f>
        <v>0.28380327868852462</v>
      </c>
      <c r="H105" s="2896">
        <f>0.8656/H101</f>
        <v>0.28380327868852462</v>
      </c>
      <c r="I105" s="2896">
        <f>0.8656/I101</f>
        <v>0.28380327868852462</v>
      </c>
      <c r="J105" s="2896">
        <f>0.7525/J101</f>
        <v>0.24672131147540982</v>
      </c>
      <c r="K105" s="2896">
        <f>0.7525/K101</f>
        <v>0.24672131147540982</v>
      </c>
      <c r="L105" s="2896">
        <f>0.7525/L101</f>
        <v>0.24672131147540982</v>
      </c>
      <c r="M105" s="2896">
        <f>0.7525/M101</f>
        <v>0.24672131147540982</v>
      </c>
      <c r="N105" s="2896">
        <f>0.7525/N101</f>
        <v>0.24672131147540982</v>
      </c>
    </row>
    <row r="106" spans="1:14">
      <c r="A106" s="3337"/>
      <c r="B106" s="2895">
        <v>5</v>
      </c>
      <c r="C106" s="2896">
        <f>0.8417/C101</f>
        <v>0.27596721311475414</v>
      </c>
      <c r="D106" s="2896">
        <f>0.8417/D101</f>
        <v>0.27596721311475414</v>
      </c>
      <c r="E106" s="2896">
        <f>0.7371/E101</f>
        <v>0.24167213114754099</v>
      </c>
      <c r="F106" s="2896">
        <f>0.7371/F101</f>
        <v>0.24167213114754099</v>
      </c>
      <c r="G106" s="2896">
        <f>0.7371/G101</f>
        <v>0.24167213114754099</v>
      </c>
      <c r="H106" s="2896">
        <f>0.7371/H101</f>
        <v>0.24167213114754099</v>
      </c>
      <c r="I106" s="2896">
        <f>0.7371/I101</f>
        <v>0.24167213114754099</v>
      </c>
      <c r="J106" s="2896">
        <f>0.5659/J101</f>
        <v>0.18554098360655738</v>
      </c>
      <c r="K106" s="2896">
        <f>0.5659/K101</f>
        <v>0.18554098360655738</v>
      </c>
      <c r="L106" s="2896">
        <f>0.5659/L101</f>
        <v>0.18554098360655738</v>
      </c>
      <c r="M106" s="2896">
        <f>0.5659/M101</f>
        <v>0.18554098360655738</v>
      </c>
      <c r="N106" s="2896">
        <f>0.5659/N101</f>
        <v>0.18554098360655738</v>
      </c>
    </row>
    <row r="107" spans="1:14">
      <c r="A107" s="3337"/>
      <c r="B107" s="2895">
        <v>6</v>
      </c>
      <c r="C107" s="2896">
        <f>0.7608/C101</f>
        <v>0.2494426229508197</v>
      </c>
      <c r="D107" s="2896">
        <f>0.7608/D101</f>
        <v>0.2494426229508197</v>
      </c>
      <c r="E107" s="2896">
        <f>0.6482/E101</f>
        <v>0.21252459016393443</v>
      </c>
      <c r="F107" s="2896">
        <f>0.6482/F101</f>
        <v>0.21252459016393443</v>
      </c>
      <c r="G107" s="2896">
        <f>0.6482/G101</f>
        <v>0.21252459016393443</v>
      </c>
      <c r="H107" s="2896">
        <f>0.6482/H101</f>
        <v>0.21252459016393443</v>
      </c>
      <c r="I107" s="2896">
        <f>0.6482/I101</f>
        <v>0.21252459016393443</v>
      </c>
      <c r="J107" s="2896">
        <f>0.4525/J101</f>
        <v>0.14836065573770493</v>
      </c>
      <c r="K107" s="2896">
        <f>0.4525/K101</f>
        <v>0.14836065573770493</v>
      </c>
      <c r="L107" s="2896">
        <f>0.4525/L101</f>
        <v>0.14836065573770493</v>
      </c>
      <c r="M107" s="2896">
        <f>0.4525/M101</f>
        <v>0.14836065573770493</v>
      </c>
      <c r="N107" s="2896">
        <f>0.4525/N101</f>
        <v>0.14836065573770493</v>
      </c>
    </row>
    <row r="108" spans="1:14">
      <c r="A108" s="3337"/>
      <c r="B108" s="3161" t="s">
        <v>2979</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338"/>
      <c r="B109" s="3162"/>
      <c r="C109" s="2898">
        <f>(-0.163*(C108^2)-0.59*C108+7617)*(10^(-4))/C101</f>
        <v>0.24973770491803282</v>
      </c>
      <c r="D109" s="2898">
        <f>(-0.163*(D108^2)-0.59*D108+7617)*(10^(-4))/D101</f>
        <v>0.24973770491803282</v>
      </c>
      <c r="E109" s="2898">
        <f>(-0.161*(E108^2)-7.509*E108+6533)*(10^(-4))/E101</f>
        <v>0.21419672131147541</v>
      </c>
      <c r="F109" s="2898">
        <f>(-0.161*(F108^2)-7.509*F108+6533)*(10^(-4))/F101</f>
        <v>0.21419672131147541</v>
      </c>
      <c r="G109" s="2898">
        <f>(-0.161*(G108^2)-7.509*G108+6533)*(10^(-4))/G101</f>
        <v>0.21419672131147541</v>
      </c>
      <c r="H109" s="2898">
        <f>(-0.161*(H108^2)-7.509*H108+6533)*(10^(-4))/H101</f>
        <v>0.21419672131147541</v>
      </c>
      <c r="I109" s="2898">
        <f>(-0.161*(I108^2)-7.509*I108+6533)*(10^(-4))/I101</f>
        <v>0.21419672131147541</v>
      </c>
      <c r="J109" s="2898">
        <f>(-0.214*(J108^2)-21.991*J108+4665)*(10^(-4))/J101</f>
        <v>0.15295081967213117</v>
      </c>
      <c r="K109" s="2898">
        <f>(-0.214*(K108^2)-21.991*K108+4665)*(10^(-4))/K101</f>
        <v>0.15295081967213117</v>
      </c>
      <c r="L109" s="2898">
        <f>(-0.214*(L108^2)-21.991*L108+4665)*(10^(-4))/L101</f>
        <v>0.15295081967213117</v>
      </c>
      <c r="M109" s="2898">
        <f>(-0.214*(M108^2)-21.991*M108+4665)*(10^(-4))/M101</f>
        <v>0.15295081967213117</v>
      </c>
      <c r="N109" s="2898">
        <f>(-0.214*(N108^2)-21.991*N108+4665)*(10^(-4))/N101</f>
        <v>0.15295081967213117</v>
      </c>
    </row>
    <row r="110" spans="1:14">
      <c r="A110" s="3334" t="s">
        <v>2980</v>
      </c>
      <c r="B110" s="3334"/>
      <c r="C110" s="3334"/>
      <c r="D110" s="3334"/>
      <c r="E110" s="3334"/>
      <c r="F110" s="3334"/>
      <c r="G110" s="3334"/>
      <c r="H110" s="3334"/>
      <c r="I110" s="3334"/>
      <c r="J110" s="3334"/>
      <c r="K110" s="2901"/>
      <c r="L110" s="2901"/>
      <c r="M110" s="2901"/>
      <c r="N110" s="2901"/>
    </row>
    <row r="112" spans="1:14" ht="13.5" thickBot="1"/>
    <row r="113" spans="1:13" ht="25.5" thickBot="1">
      <c r="A113" s="902" t="s">
        <v>2981</v>
      </c>
      <c r="B113" s="1289">
        <f>G3</f>
        <v>3.05</v>
      </c>
      <c r="C113" s="903" t="s">
        <v>2982</v>
      </c>
      <c r="D113" s="904">
        <f>SUMPRODUCT((A115:A118=F113)*(B114:M114=H113)*B115:M118)</f>
        <v>0</v>
      </c>
      <c r="E113" s="2724" t="s">
        <v>2812</v>
      </c>
      <c r="F113" s="2903">
        <f>E2</f>
        <v>0</v>
      </c>
      <c r="G113" s="2724" t="s">
        <v>2813</v>
      </c>
      <c r="H113" s="2903">
        <f>G2</f>
        <v>0</v>
      </c>
      <c r="I113" s="2724"/>
      <c r="J113" s="2904"/>
      <c r="K113" s="2904"/>
      <c r="L113" s="2904"/>
      <c r="M113" s="2904"/>
    </row>
    <row r="114" spans="1:13">
      <c r="A114" s="907"/>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8" t="s">
        <v>2877</v>
      </c>
      <c r="B115" s="909">
        <f>ROUND(0.9335-0.0094*B113,4)</f>
        <v>0.90480000000000005</v>
      </c>
      <c r="C115" s="909">
        <f>B115</f>
        <v>0.90480000000000005</v>
      </c>
      <c r="D115" s="909">
        <f>ROUND(0.8331-0.0109*B113,4)</f>
        <v>0.79990000000000006</v>
      </c>
      <c r="E115" s="909">
        <f>D115</f>
        <v>0.79990000000000006</v>
      </c>
      <c r="F115" s="909">
        <f>E115</f>
        <v>0.79990000000000006</v>
      </c>
      <c r="G115" s="909">
        <f>F115</f>
        <v>0.79990000000000006</v>
      </c>
      <c r="H115" s="909">
        <f>G115</f>
        <v>0.79990000000000006</v>
      </c>
      <c r="I115" s="909">
        <f>ROUND(0.689-0.0155*B113,4)</f>
        <v>0.64170000000000005</v>
      </c>
      <c r="J115" s="909">
        <f t="shared" ref="J115:M118" si="33">I115</f>
        <v>0.64170000000000005</v>
      </c>
      <c r="K115" s="909">
        <f t="shared" si="33"/>
        <v>0.64170000000000005</v>
      </c>
      <c r="L115" s="909">
        <f t="shared" si="33"/>
        <v>0.64170000000000005</v>
      </c>
      <c r="M115" s="910">
        <f t="shared" si="33"/>
        <v>0.64170000000000005</v>
      </c>
    </row>
    <row r="116" spans="1:13">
      <c r="A116" s="908" t="s">
        <v>2878</v>
      </c>
      <c r="B116" s="909">
        <f>ROUND(0.949-0.012*B113,4)</f>
        <v>0.91239999999999999</v>
      </c>
      <c r="C116" s="909">
        <f>B116</f>
        <v>0.91239999999999999</v>
      </c>
      <c r="D116" s="909">
        <f>ROUND(0.8567-0.013*B113,4)</f>
        <v>0.81710000000000005</v>
      </c>
      <c r="E116" s="909">
        <f t="shared" ref="E116:H117" si="34">D116</f>
        <v>0.81710000000000005</v>
      </c>
      <c r="F116" s="909">
        <f t="shared" si="34"/>
        <v>0.81710000000000005</v>
      </c>
      <c r="G116" s="909">
        <f t="shared" si="34"/>
        <v>0.81710000000000005</v>
      </c>
      <c r="H116" s="909">
        <f t="shared" si="34"/>
        <v>0.81710000000000005</v>
      </c>
      <c r="I116" s="909">
        <f>ROUND(0.7694-0.014*B113,4)</f>
        <v>0.72670000000000001</v>
      </c>
      <c r="J116" s="909">
        <f t="shared" si="33"/>
        <v>0.72670000000000001</v>
      </c>
      <c r="K116" s="909">
        <f t="shared" si="33"/>
        <v>0.72670000000000001</v>
      </c>
      <c r="L116" s="909">
        <f t="shared" si="33"/>
        <v>0.72670000000000001</v>
      </c>
      <c r="M116" s="910">
        <f t="shared" si="33"/>
        <v>0.72670000000000001</v>
      </c>
    </row>
    <row r="117" spans="1:13">
      <c r="A117" s="908" t="s">
        <v>2879</v>
      </c>
      <c r="B117" s="909">
        <f>ROUND(0.8808-0.006*B113,4)</f>
        <v>0.86250000000000004</v>
      </c>
      <c r="C117" s="909">
        <f>B117</f>
        <v>0.86250000000000004</v>
      </c>
      <c r="D117" s="909">
        <f>ROUND(0.8748-0.008*B113,4)</f>
        <v>0.85040000000000004</v>
      </c>
      <c r="E117" s="909">
        <f t="shared" si="34"/>
        <v>0.85040000000000004</v>
      </c>
      <c r="F117" s="909">
        <f t="shared" si="34"/>
        <v>0.85040000000000004</v>
      </c>
      <c r="G117" s="909">
        <f t="shared" si="34"/>
        <v>0.85040000000000004</v>
      </c>
      <c r="H117" s="909">
        <f t="shared" si="34"/>
        <v>0.85040000000000004</v>
      </c>
      <c r="I117" s="909">
        <f>ROUND(0.7412-0.0095*B113,4)</f>
        <v>0.71220000000000006</v>
      </c>
      <c r="J117" s="909">
        <f t="shared" si="33"/>
        <v>0.71220000000000006</v>
      </c>
      <c r="K117" s="909">
        <f t="shared" si="33"/>
        <v>0.71220000000000006</v>
      </c>
      <c r="L117" s="909">
        <f t="shared" si="33"/>
        <v>0.71220000000000006</v>
      </c>
      <c r="M117" s="910">
        <f t="shared" si="33"/>
        <v>0.71220000000000006</v>
      </c>
    </row>
    <row r="118" spans="1:13" ht="13.5" thickBot="1">
      <c r="A118" s="713" t="s">
        <v>2880</v>
      </c>
      <c r="B118" s="911">
        <f>ROUND(0.7275-0.01*B113,4)</f>
        <v>0.69699999999999995</v>
      </c>
      <c r="C118" s="911">
        <f>B118</f>
        <v>0.69699999999999995</v>
      </c>
      <c r="D118" s="911">
        <f>ROUND(0.7043-0.012*B113,4)</f>
        <v>0.66769999999999996</v>
      </c>
      <c r="E118" s="911">
        <f>D118</f>
        <v>0.66769999999999996</v>
      </c>
      <c r="F118" s="911">
        <f>E118</f>
        <v>0.66769999999999996</v>
      </c>
      <c r="G118" s="911">
        <f>ROUND(0.6299-0.0122*B113,4)</f>
        <v>0.5927</v>
      </c>
      <c r="H118" s="911">
        <f>G118</f>
        <v>0.5927</v>
      </c>
      <c r="I118" s="911">
        <f>ROUND(0.5667-0.0136*B113,4)</f>
        <v>0.5252</v>
      </c>
      <c r="J118" s="911">
        <f t="shared" si="33"/>
        <v>0.5252</v>
      </c>
      <c r="K118" s="911">
        <f t="shared" si="33"/>
        <v>0.5252</v>
      </c>
      <c r="L118" s="911">
        <f t="shared" si="33"/>
        <v>0.5252</v>
      </c>
      <c r="M118" s="912">
        <f t="shared" si="33"/>
        <v>0.5252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51" t="s">
        <v>183</v>
      </c>
      <c r="B18" s="881" t="s">
        <v>560</v>
      </c>
      <c r="C18" s="882" t="s">
        <v>561</v>
      </c>
      <c r="D18" s="883"/>
      <c r="E18" s="881">
        <v>1</v>
      </c>
      <c r="F18" s="884" t="s">
        <v>562</v>
      </c>
      <c r="G18" s="885"/>
      <c r="H18" s="877"/>
      <c r="I18" s="877"/>
    </row>
    <row r="19" spans="1:9" s="886" customFormat="1" ht="19.5" customHeight="1">
      <c r="A19" s="3351"/>
      <c r="B19" s="3351" t="s">
        <v>563</v>
      </c>
      <c r="C19" s="882" t="s">
        <v>564</v>
      </c>
      <c r="D19" s="883"/>
      <c r="E19" s="881">
        <v>0.9</v>
      </c>
      <c r="F19" s="884" t="s">
        <v>565</v>
      </c>
      <c r="G19" s="885"/>
      <c r="H19" s="877"/>
      <c r="I19" s="877"/>
    </row>
    <row r="20" spans="1:9" s="886" customFormat="1" ht="19.5" customHeight="1">
      <c r="A20" s="3351"/>
      <c r="B20" s="3351"/>
      <c r="C20" s="882" t="s">
        <v>566</v>
      </c>
      <c r="D20" s="883"/>
      <c r="E20" s="881">
        <v>1.1000000000000001</v>
      </c>
      <c r="F20" s="884" t="s">
        <v>567</v>
      </c>
      <c r="G20" s="885"/>
      <c r="H20" s="877"/>
      <c r="I20" s="877"/>
    </row>
    <row r="21" spans="1:9" s="886" customFormat="1" ht="19.5" customHeight="1">
      <c r="A21" s="3351"/>
      <c r="B21" s="3351"/>
      <c r="C21" s="882" t="s">
        <v>568</v>
      </c>
      <c r="D21" s="883"/>
      <c r="E21" s="881">
        <v>0.8</v>
      </c>
      <c r="F21" s="884" t="s">
        <v>569</v>
      </c>
      <c r="G21" s="885"/>
      <c r="H21" s="877"/>
      <c r="I21" s="877"/>
    </row>
    <row r="22" spans="1:9" s="886" customFormat="1" ht="19.5" customHeight="1">
      <c r="A22" s="3351"/>
      <c r="B22" s="3351"/>
      <c r="C22" s="882" t="s">
        <v>570</v>
      </c>
      <c r="D22" s="883"/>
      <c r="E22" s="881">
        <v>0.5</v>
      </c>
      <c r="F22" s="884"/>
      <c r="G22" s="885"/>
      <c r="H22" s="877"/>
      <c r="I22" s="877"/>
    </row>
    <row r="23" spans="1:9" s="886" customFormat="1" ht="19.5" customHeight="1">
      <c r="A23" s="3351" t="s">
        <v>184</v>
      </c>
      <c r="B23" s="881" t="s">
        <v>560</v>
      </c>
      <c r="C23" s="882" t="s">
        <v>571</v>
      </c>
      <c r="D23" s="883"/>
      <c r="E23" s="881">
        <v>1</v>
      </c>
      <c r="F23" s="884" t="s">
        <v>572</v>
      </c>
      <c r="G23" s="885"/>
      <c r="H23" s="877"/>
      <c r="I23" s="877"/>
    </row>
    <row r="24" spans="1:9" s="886" customFormat="1" ht="19.5" customHeight="1">
      <c r="A24" s="3351"/>
      <c r="B24" s="3351" t="s">
        <v>563</v>
      </c>
      <c r="C24" s="882" t="s">
        <v>573</v>
      </c>
      <c r="D24" s="883"/>
      <c r="E24" s="881">
        <v>0.5</v>
      </c>
      <c r="F24" s="884"/>
      <c r="G24" s="885"/>
      <c r="H24" s="877"/>
      <c r="I24" s="877"/>
    </row>
    <row r="25" spans="1:9" s="886" customFormat="1" ht="19.5" customHeight="1">
      <c r="A25" s="3351"/>
      <c r="B25" s="3351"/>
      <c r="C25" s="882" t="s">
        <v>574</v>
      </c>
      <c r="D25" s="883"/>
      <c r="E25" s="881">
        <v>1.1000000000000001</v>
      </c>
      <c r="F25" s="884"/>
      <c r="G25" s="885"/>
      <c r="H25" s="877"/>
      <c r="I25" s="877"/>
    </row>
    <row r="26" spans="1:9" s="886" customFormat="1" ht="19.5" customHeight="1">
      <c r="A26" s="3351"/>
      <c r="B26" s="3351"/>
      <c r="C26" s="882" t="s">
        <v>575</v>
      </c>
      <c r="D26" s="883"/>
      <c r="E26" s="881">
        <v>1.1000000000000001</v>
      </c>
      <c r="F26" s="884"/>
      <c r="G26" s="885"/>
      <c r="H26" s="877"/>
      <c r="I26" s="877"/>
    </row>
    <row r="27" spans="1:9" s="886" customFormat="1" ht="19.5" customHeight="1">
      <c r="A27" s="3351"/>
      <c r="B27" s="3351"/>
      <c r="C27" s="882" t="s">
        <v>576</v>
      </c>
      <c r="D27" s="883"/>
      <c r="E27" s="881">
        <v>0.9</v>
      </c>
      <c r="F27" s="884" t="s">
        <v>577</v>
      </c>
      <c r="G27" s="885"/>
      <c r="H27" s="877"/>
      <c r="I27" s="877"/>
    </row>
    <row r="28" spans="1:9" s="886" customFormat="1" ht="19.5" customHeight="1">
      <c r="A28" s="3351"/>
      <c r="B28" s="3351"/>
      <c r="C28" s="882" t="s">
        <v>578</v>
      </c>
      <c r="D28" s="883"/>
      <c r="E28" s="881">
        <v>0.9</v>
      </c>
      <c r="F28" s="884" t="s">
        <v>579</v>
      </c>
      <c r="G28" s="885"/>
      <c r="H28" s="877"/>
      <c r="I28" s="877"/>
    </row>
    <row r="29" spans="1:9" s="886" customFormat="1" ht="19.5" customHeight="1">
      <c r="A29" s="3351"/>
      <c r="B29" s="3351"/>
      <c r="C29" s="882" t="s">
        <v>580</v>
      </c>
      <c r="D29" s="883"/>
      <c r="E29" s="881">
        <v>0.9</v>
      </c>
      <c r="F29" s="884" t="s">
        <v>581</v>
      </c>
      <c r="G29" s="885"/>
      <c r="H29" s="877"/>
      <c r="I29" s="877"/>
    </row>
    <row r="30" spans="1:9" s="886" customFormat="1" ht="19.5" customHeight="1">
      <c r="A30" s="3351"/>
      <c r="B30" s="3351"/>
      <c r="C30" s="882" t="s">
        <v>582</v>
      </c>
      <c r="D30" s="883"/>
      <c r="E30" s="881">
        <v>0.9</v>
      </c>
      <c r="F30" s="884" t="s">
        <v>583</v>
      </c>
      <c r="G30" s="885"/>
      <c r="H30" s="877"/>
      <c r="I30" s="877"/>
    </row>
    <row r="31" spans="1:9" s="886" customFormat="1" ht="19.5" customHeight="1">
      <c r="A31" s="3351"/>
      <c r="B31" s="3351"/>
      <c r="C31" s="882" t="s">
        <v>584</v>
      </c>
      <c r="D31" s="883"/>
      <c r="E31" s="881">
        <v>0.8</v>
      </c>
      <c r="F31" s="884" t="s">
        <v>585</v>
      </c>
      <c r="G31" s="885"/>
      <c r="H31" s="877"/>
      <c r="I31" s="877"/>
    </row>
    <row r="32" spans="1:9" s="886" customFormat="1" ht="19.5" customHeight="1">
      <c r="A32" s="3351"/>
      <c r="B32" s="3351"/>
      <c r="C32" s="882" t="s">
        <v>586</v>
      </c>
      <c r="D32" s="883"/>
      <c r="E32" s="881">
        <v>0.8</v>
      </c>
      <c r="F32" s="884" t="s">
        <v>587</v>
      </c>
      <c r="G32" s="885"/>
      <c r="H32" s="877"/>
      <c r="I32" s="877"/>
    </row>
    <row r="33" spans="1:9" s="886" customFormat="1" ht="19.5" customHeight="1">
      <c r="A33" s="3351" t="s">
        <v>185</v>
      </c>
      <c r="B33" s="881" t="s">
        <v>560</v>
      </c>
      <c r="C33" s="882" t="s">
        <v>588</v>
      </c>
      <c r="D33" s="883"/>
      <c r="E33" s="881">
        <v>1</v>
      </c>
      <c r="F33" s="884" t="s">
        <v>589</v>
      </c>
      <c r="G33" s="885"/>
      <c r="H33" s="877"/>
      <c r="I33" s="877"/>
    </row>
    <row r="34" spans="1:9" s="886" customFormat="1" ht="19.5" customHeight="1">
      <c r="A34" s="3351"/>
      <c r="B34" s="881" t="s">
        <v>563</v>
      </c>
      <c r="C34" s="882" t="s">
        <v>590</v>
      </c>
      <c r="D34" s="883"/>
      <c r="E34" s="881">
        <v>1.5</v>
      </c>
      <c r="F34" s="884" t="s">
        <v>591</v>
      </c>
      <c r="G34" s="885"/>
      <c r="H34" s="877"/>
      <c r="I34" s="877"/>
    </row>
    <row r="35" spans="1:9" s="886" customFormat="1" ht="19.5" customHeight="1">
      <c r="A35" s="3351" t="s">
        <v>186</v>
      </c>
      <c r="B35" s="881" t="s">
        <v>560</v>
      </c>
      <c r="C35" s="882" t="s">
        <v>592</v>
      </c>
      <c r="D35" s="883"/>
      <c r="E35" s="881">
        <v>1</v>
      </c>
      <c r="F35" s="884" t="s">
        <v>593</v>
      </c>
      <c r="G35" s="885"/>
      <c r="H35" s="877"/>
      <c r="I35" s="877"/>
    </row>
    <row r="36" spans="1:9" s="886" customFormat="1" ht="19.5" customHeight="1">
      <c r="A36" s="3351"/>
      <c r="B36" s="3351" t="s">
        <v>563</v>
      </c>
      <c r="C36" s="882" t="s">
        <v>594</v>
      </c>
      <c r="D36" s="883"/>
      <c r="E36" s="881">
        <v>1</v>
      </c>
      <c r="F36" s="884" t="s">
        <v>595</v>
      </c>
      <c r="G36" s="885"/>
      <c r="H36" s="877"/>
      <c r="I36" s="877"/>
    </row>
    <row r="37" spans="1:9" s="886" customFormat="1" ht="19.5" customHeight="1">
      <c r="A37" s="3351"/>
      <c r="B37" s="3351"/>
      <c r="C37" s="882" t="s">
        <v>596</v>
      </c>
      <c r="D37" s="883"/>
      <c r="E37" s="881">
        <v>1.5</v>
      </c>
      <c r="F37" s="884" t="s">
        <v>597</v>
      </c>
      <c r="G37" s="885"/>
      <c r="H37" s="877"/>
      <c r="I37" s="877"/>
    </row>
    <row r="38" spans="1:9" s="886" customFormat="1" ht="19.5" customHeight="1">
      <c r="A38" s="3351"/>
      <c r="B38" s="3351"/>
      <c r="C38" s="882" t="s">
        <v>598</v>
      </c>
      <c r="D38" s="883"/>
      <c r="E38" s="881">
        <v>1</v>
      </c>
      <c r="F38" s="884" t="s">
        <v>599</v>
      </c>
      <c r="G38" s="885"/>
      <c r="H38" s="877"/>
      <c r="I38" s="877"/>
    </row>
    <row r="39" spans="1:9" s="886" customFormat="1" ht="19.5" customHeight="1">
      <c r="A39" s="3351"/>
      <c r="B39" s="335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51" t="s">
        <v>614</v>
      </c>
      <c r="C61" s="817" t="s">
        <v>615</v>
      </c>
      <c r="D61" s="817" t="s">
        <v>616</v>
      </c>
      <c r="E61" s="894">
        <v>0.5</v>
      </c>
      <c r="F61" s="881">
        <v>80</v>
      </c>
    </row>
    <row r="62" spans="1:8" s="877" customFormat="1" ht="24">
      <c r="A62" s="881">
        <v>2</v>
      </c>
      <c r="B62" s="3351"/>
      <c r="C62" s="817" t="s">
        <v>617</v>
      </c>
      <c r="D62" s="817" t="s">
        <v>618</v>
      </c>
      <c r="E62" s="894">
        <v>0.5</v>
      </c>
      <c r="F62" s="881">
        <v>80</v>
      </c>
    </row>
    <row r="63" spans="1:8" s="877" customFormat="1" ht="36">
      <c r="A63" s="881">
        <v>3</v>
      </c>
      <c r="B63" s="3351"/>
      <c r="C63" s="817" t="s">
        <v>619</v>
      </c>
      <c r="D63" s="817" t="s">
        <v>620</v>
      </c>
      <c r="E63" s="894">
        <v>0.5</v>
      </c>
      <c r="F63" s="881">
        <v>80</v>
      </c>
    </row>
    <row r="64" spans="1:8" s="877" customFormat="1" ht="36">
      <c r="A64" s="881">
        <v>4</v>
      </c>
      <c r="B64" s="3351"/>
      <c r="C64" s="817" t="s">
        <v>621</v>
      </c>
      <c r="D64" s="817" t="s">
        <v>622</v>
      </c>
      <c r="E64" s="894">
        <v>0.4</v>
      </c>
      <c r="F64" s="881">
        <v>60</v>
      </c>
    </row>
    <row r="65" spans="1:6" s="877" customFormat="1" ht="36">
      <c r="A65" s="881">
        <v>5</v>
      </c>
      <c r="B65" s="3351"/>
      <c r="C65" s="817" t="s">
        <v>623</v>
      </c>
      <c r="D65" s="817" t="s">
        <v>624</v>
      </c>
      <c r="E65" s="894">
        <v>0.2</v>
      </c>
      <c r="F65" s="881">
        <v>30</v>
      </c>
    </row>
    <row r="66" spans="1:6" s="877" customFormat="1" ht="36">
      <c r="A66" s="881">
        <v>6</v>
      </c>
      <c r="B66" s="3351"/>
      <c r="C66" s="817" t="s">
        <v>625</v>
      </c>
      <c r="D66" s="817" t="s">
        <v>626</v>
      </c>
      <c r="E66" s="894">
        <v>0.3</v>
      </c>
      <c r="F66" s="881">
        <v>50</v>
      </c>
    </row>
    <row r="67" spans="1:6" s="877" customFormat="1" ht="36">
      <c r="A67" s="881">
        <v>7</v>
      </c>
      <c r="B67" s="3351"/>
      <c r="C67" s="817" t="s">
        <v>627</v>
      </c>
      <c r="D67" s="817" t="s">
        <v>628</v>
      </c>
      <c r="E67" s="894">
        <v>0.2</v>
      </c>
      <c r="F67" s="881">
        <v>30</v>
      </c>
    </row>
    <row r="68" spans="1:6" s="877" customFormat="1" ht="36">
      <c r="A68" s="881">
        <v>8</v>
      </c>
      <c r="B68" s="3351"/>
      <c r="C68" s="817" t="s">
        <v>629</v>
      </c>
      <c r="D68" s="817" t="s">
        <v>630</v>
      </c>
      <c r="E68" s="894">
        <v>0.2</v>
      </c>
      <c r="F68" s="881">
        <v>30</v>
      </c>
    </row>
    <row r="69" spans="1:6" s="877" customFormat="1" ht="36">
      <c r="A69" s="881">
        <v>9</v>
      </c>
      <c r="B69" s="3351"/>
      <c r="C69" s="817" t="s">
        <v>631</v>
      </c>
      <c r="D69" s="817" t="s">
        <v>632</v>
      </c>
      <c r="E69" s="894">
        <v>0.2</v>
      </c>
      <c r="F69" s="881">
        <v>30</v>
      </c>
    </row>
    <row r="70" spans="1:6" s="877" customFormat="1" ht="48">
      <c r="A70" s="881">
        <v>10</v>
      </c>
      <c r="B70" s="3351"/>
      <c r="C70" s="817" t="s">
        <v>633</v>
      </c>
      <c r="D70" s="817" t="s">
        <v>634</v>
      </c>
      <c r="E70" s="894">
        <v>0.2</v>
      </c>
      <c r="F70" s="881">
        <v>30</v>
      </c>
    </row>
    <row r="71" spans="1:6" s="877" customFormat="1" ht="48">
      <c r="A71" s="881">
        <v>11</v>
      </c>
      <c r="B71" s="3351"/>
      <c r="C71" s="817" t="s">
        <v>635</v>
      </c>
      <c r="D71" s="817" t="s">
        <v>636</v>
      </c>
      <c r="E71" s="894">
        <v>0.2</v>
      </c>
      <c r="F71" s="881">
        <v>30</v>
      </c>
    </row>
    <row r="72" spans="1:6" s="877" customFormat="1" ht="36">
      <c r="A72" s="881">
        <v>12</v>
      </c>
      <c r="B72" s="3351"/>
      <c r="C72" s="817" t="s">
        <v>637</v>
      </c>
      <c r="D72" s="817" t="s">
        <v>638</v>
      </c>
      <c r="E72" s="894">
        <v>0.5</v>
      </c>
      <c r="F72" s="881">
        <v>80</v>
      </c>
    </row>
    <row r="73" spans="1:6" s="877" customFormat="1" ht="24">
      <c r="A73" s="881">
        <v>13</v>
      </c>
      <c r="B73" s="3351"/>
      <c r="C73" s="817" t="s">
        <v>639</v>
      </c>
      <c r="D73" s="817" t="s">
        <v>640</v>
      </c>
      <c r="E73" s="894">
        <v>0.4</v>
      </c>
      <c r="F73" s="881">
        <v>60</v>
      </c>
    </row>
    <row r="74" spans="1:6" s="877" customFormat="1" ht="24">
      <c r="A74" s="881">
        <v>14</v>
      </c>
      <c r="B74" s="3351"/>
      <c r="C74" s="817" t="s">
        <v>641</v>
      </c>
      <c r="D74" s="817" t="s">
        <v>642</v>
      </c>
      <c r="E74" s="894">
        <v>0.2</v>
      </c>
      <c r="F74" s="881">
        <v>30</v>
      </c>
    </row>
    <row r="75" spans="1:6" s="877" customFormat="1" ht="24">
      <c r="A75" s="881">
        <v>15</v>
      </c>
      <c r="B75" s="3351"/>
      <c r="C75" s="817" t="s">
        <v>643</v>
      </c>
      <c r="D75" s="817" t="s">
        <v>644</v>
      </c>
      <c r="E75" s="894">
        <v>0.2</v>
      </c>
      <c r="F75" s="881">
        <v>30</v>
      </c>
    </row>
    <row r="76" spans="1:6" s="877" customFormat="1" ht="24">
      <c r="A76" s="881">
        <v>16</v>
      </c>
      <c r="B76" s="3351" t="s">
        <v>645</v>
      </c>
      <c r="C76" s="817" t="s">
        <v>646</v>
      </c>
      <c r="D76" s="817" t="s">
        <v>647</v>
      </c>
      <c r="E76" s="894">
        <v>0.5</v>
      </c>
      <c r="F76" s="881">
        <v>80</v>
      </c>
    </row>
    <row r="77" spans="1:6" s="877" customFormat="1" ht="24">
      <c r="A77" s="881">
        <v>17</v>
      </c>
      <c r="B77" s="3351"/>
      <c r="C77" s="817" t="s">
        <v>648</v>
      </c>
      <c r="D77" s="817" t="s">
        <v>649</v>
      </c>
      <c r="E77" s="894">
        <v>0.5</v>
      </c>
      <c r="F77" s="881">
        <v>80</v>
      </c>
    </row>
    <row r="78" spans="1:6" s="877" customFormat="1" ht="24">
      <c r="A78" s="881">
        <v>18</v>
      </c>
      <c r="B78" s="3351"/>
      <c r="C78" s="817" t="s">
        <v>650</v>
      </c>
      <c r="D78" s="817" t="s">
        <v>651</v>
      </c>
      <c r="E78" s="894">
        <v>0.2</v>
      </c>
      <c r="F78" s="881">
        <v>30</v>
      </c>
    </row>
    <row r="79" spans="1:6" s="877" customFormat="1" ht="24">
      <c r="A79" s="881">
        <v>19</v>
      </c>
      <c r="B79" s="3351"/>
      <c r="C79" s="817" t="s">
        <v>652</v>
      </c>
      <c r="D79" s="817" t="s">
        <v>653</v>
      </c>
      <c r="E79" s="894">
        <v>0.5</v>
      </c>
      <c r="F79" s="881">
        <v>80</v>
      </c>
    </row>
    <row r="80" spans="1:6" s="877" customFormat="1" ht="36">
      <c r="A80" s="881">
        <v>20</v>
      </c>
      <c r="B80" s="3351"/>
      <c r="C80" s="817" t="s">
        <v>654</v>
      </c>
      <c r="D80" s="817" t="s">
        <v>655</v>
      </c>
      <c r="E80" s="894">
        <v>0.2</v>
      </c>
      <c r="F80" s="881">
        <v>30</v>
      </c>
    </row>
    <row r="81" spans="1:6" s="877" customFormat="1" ht="36">
      <c r="A81" s="881">
        <v>21</v>
      </c>
      <c r="B81" s="3351"/>
      <c r="C81" s="817" t="s">
        <v>656</v>
      </c>
      <c r="D81" s="817" t="s">
        <v>657</v>
      </c>
      <c r="E81" s="894">
        <v>0.2</v>
      </c>
      <c r="F81" s="881">
        <v>30</v>
      </c>
    </row>
    <row r="82" spans="1:6" s="877" customFormat="1" ht="48">
      <c r="A82" s="881">
        <v>22</v>
      </c>
      <c r="B82" s="3351"/>
      <c r="C82" s="817" t="s">
        <v>658</v>
      </c>
      <c r="D82" s="817" t="s">
        <v>659</v>
      </c>
      <c r="E82" s="894">
        <v>0.2</v>
      </c>
      <c r="F82" s="881">
        <v>30</v>
      </c>
    </row>
    <row r="83" spans="1:6" s="877" customFormat="1" ht="48">
      <c r="A83" s="881">
        <v>23</v>
      </c>
      <c r="B83" s="3351"/>
      <c r="C83" s="817" t="s">
        <v>660</v>
      </c>
      <c r="D83" s="817" t="s">
        <v>661</v>
      </c>
      <c r="E83" s="894">
        <v>0.2</v>
      </c>
      <c r="F83" s="881">
        <v>30</v>
      </c>
    </row>
    <row r="84" spans="1:6" s="877" customFormat="1" ht="36">
      <c r="A84" s="881">
        <v>24</v>
      </c>
      <c r="B84" s="3351"/>
      <c r="C84" s="817" t="s">
        <v>662</v>
      </c>
      <c r="D84" s="817" t="s">
        <v>663</v>
      </c>
      <c r="E84" s="894">
        <v>0.2</v>
      </c>
      <c r="F84" s="881">
        <v>30</v>
      </c>
    </row>
    <row r="85" spans="1:6" s="877" customFormat="1" ht="36">
      <c r="A85" s="881">
        <v>25</v>
      </c>
      <c r="B85" s="3351"/>
      <c r="C85" s="817" t="s">
        <v>664</v>
      </c>
      <c r="D85" s="817" t="s">
        <v>665</v>
      </c>
      <c r="E85" s="894">
        <v>0.5</v>
      </c>
      <c r="F85" s="881">
        <v>80</v>
      </c>
    </row>
    <row r="86" spans="1:6" s="877" customFormat="1" ht="36">
      <c r="A86" s="881">
        <v>26</v>
      </c>
      <c r="B86" s="3351"/>
      <c r="C86" s="817" t="s">
        <v>666</v>
      </c>
      <c r="D86" s="817" t="s">
        <v>667</v>
      </c>
      <c r="E86" s="894">
        <v>0.2</v>
      </c>
      <c r="F86" s="881">
        <v>30</v>
      </c>
    </row>
    <row r="87" spans="1:6" s="877" customFormat="1" ht="36">
      <c r="A87" s="881">
        <v>27</v>
      </c>
      <c r="B87" s="3351"/>
      <c r="C87" s="817" t="s">
        <v>668</v>
      </c>
      <c r="D87" s="817" t="s">
        <v>669</v>
      </c>
      <c r="E87" s="894">
        <v>0.2</v>
      </c>
      <c r="F87" s="881">
        <v>30</v>
      </c>
    </row>
    <row r="88" spans="1:6" s="877" customFormat="1" ht="36">
      <c r="A88" s="881">
        <v>28</v>
      </c>
      <c r="B88" s="3351"/>
      <c r="C88" s="817" t="s">
        <v>670</v>
      </c>
      <c r="D88" s="817" t="s">
        <v>671</v>
      </c>
      <c r="E88" s="894">
        <v>0.2</v>
      </c>
      <c r="F88" s="881">
        <v>30</v>
      </c>
    </row>
    <row r="89" spans="1:6" s="877" customFormat="1" ht="24">
      <c r="A89" s="881">
        <v>29</v>
      </c>
      <c r="B89" s="3351"/>
      <c r="C89" s="817" t="s">
        <v>672</v>
      </c>
      <c r="D89" s="817" t="s">
        <v>673</v>
      </c>
      <c r="E89" s="894">
        <v>0.2</v>
      </c>
      <c r="F89" s="881">
        <v>30</v>
      </c>
    </row>
    <row r="90" spans="1:6" s="877" customFormat="1" ht="24">
      <c r="A90" s="881">
        <v>30</v>
      </c>
      <c r="B90" s="3351"/>
      <c r="C90" s="817" t="s">
        <v>674</v>
      </c>
      <c r="D90" s="817" t="s">
        <v>675</v>
      </c>
      <c r="E90" s="894">
        <v>0.2</v>
      </c>
      <c r="F90" s="881">
        <v>30</v>
      </c>
    </row>
    <row r="91" spans="1:6" s="877" customFormat="1" ht="36">
      <c r="A91" s="881">
        <v>31</v>
      </c>
      <c r="B91" s="3351"/>
      <c r="C91" s="817" t="s">
        <v>676</v>
      </c>
      <c r="D91" s="817" t="s">
        <v>677</v>
      </c>
      <c r="E91" s="894">
        <v>0.2</v>
      </c>
      <c r="F91" s="881">
        <v>30</v>
      </c>
    </row>
    <row r="92" spans="1:6" s="877" customFormat="1" ht="24">
      <c r="A92" s="881">
        <v>32</v>
      </c>
      <c r="B92" s="3351" t="s">
        <v>678</v>
      </c>
      <c r="C92" s="881" t="s">
        <v>679</v>
      </c>
      <c r="D92" s="817" t="s">
        <v>680</v>
      </c>
      <c r="E92" s="894">
        <v>0.2</v>
      </c>
      <c r="F92" s="881">
        <v>30</v>
      </c>
    </row>
    <row r="93" spans="1:6" s="877" customFormat="1" ht="36">
      <c r="A93" s="881">
        <v>33</v>
      </c>
      <c r="B93" s="3351"/>
      <c r="C93" s="881" t="s">
        <v>681</v>
      </c>
      <c r="D93" s="817" t="s">
        <v>682</v>
      </c>
      <c r="E93" s="894">
        <v>0.2</v>
      </c>
      <c r="F93" s="881">
        <v>30</v>
      </c>
    </row>
    <row r="94" spans="1:6" s="877" customFormat="1" ht="48">
      <c r="A94" s="881">
        <v>34</v>
      </c>
      <c r="B94" s="3351"/>
      <c r="C94" s="881" t="s">
        <v>683</v>
      </c>
      <c r="D94" s="817" t="s">
        <v>684</v>
      </c>
      <c r="E94" s="894">
        <v>0.2</v>
      </c>
      <c r="F94" s="881">
        <v>30</v>
      </c>
    </row>
    <row r="95" spans="1:6" s="877" customFormat="1" ht="36">
      <c r="A95" s="881">
        <v>35</v>
      </c>
      <c r="B95" s="3351"/>
      <c r="C95" s="881" t="s">
        <v>685</v>
      </c>
      <c r="D95" s="817" t="s">
        <v>686</v>
      </c>
      <c r="E95" s="894">
        <v>0.2</v>
      </c>
      <c r="F95" s="881">
        <v>30</v>
      </c>
    </row>
    <row r="96" spans="1:6" s="877" customFormat="1" ht="48">
      <c r="A96" s="881">
        <v>36</v>
      </c>
      <c r="B96" s="3351"/>
      <c r="C96" s="817" t="s">
        <v>687</v>
      </c>
      <c r="D96" s="817" t="s">
        <v>688</v>
      </c>
      <c r="E96" s="894">
        <v>0.2</v>
      </c>
      <c r="F96" s="881">
        <v>30</v>
      </c>
    </row>
    <row r="97" spans="1:6" s="877" customFormat="1" ht="36">
      <c r="A97" s="881">
        <v>37</v>
      </c>
      <c r="B97" s="3351"/>
      <c r="C97" s="881" t="s">
        <v>689</v>
      </c>
      <c r="D97" s="817" t="s">
        <v>690</v>
      </c>
      <c r="E97" s="894">
        <v>0.2</v>
      </c>
      <c r="F97" s="881">
        <v>30</v>
      </c>
    </row>
    <row r="98" spans="1:6" s="877" customFormat="1" ht="36">
      <c r="A98" s="881">
        <v>38</v>
      </c>
      <c r="B98" s="3351"/>
      <c r="C98" s="881" t="s">
        <v>691</v>
      </c>
      <c r="D98" s="817" t="s">
        <v>692</v>
      </c>
      <c r="E98" s="894">
        <v>0.2</v>
      </c>
      <c r="F98" s="881">
        <v>30</v>
      </c>
    </row>
    <row r="99" spans="1:6" s="877" customFormat="1" ht="36">
      <c r="A99" s="881">
        <v>39</v>
      </c>
      <c r="B99" s="3351" t="s">
        <v>693</v>
      </c>
      <c r="C99" s="881" t="s">
        <v>694</v>
      </c>
      <c r="D99" s="817" t="s">
        <v>695</v>
      </c>
      <c r="E99" s="894">
        <v>0.3</v>
      </c>
      <c r="F99" s="881">
        <v>50</v>
      </c>
    </row>
    <row r="100" spans="1:6" s="877" customFormat="1" ht="24">
      <c r="A100" s="881">
        <v>40</v>
      </c>
      <c r="B100" s="3351"/>
      <c r="C100" s="881" t="s">
        <v>696</v>
      </c>
      <c r="D100" s="817" t="s">
        <v>697</v>
      </c>
      <c r="E100" s="894">
        <v>0.2</v>
      </c>
      <c r="F100" s="881">
        <v>30</v>
      </c>
    </row>
    <row r="101" spans="1:6" s="877" customFormat="1" ht="36">
      <c r="A101" s="881">
        <v>41</v>
      </c>
      <c r="B101" s="335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51" t="s">
        <v>708</v>
      </c>
      <c r="C105" s="881" t="s">
        <v>709</v>
      </c>
      <c r="D105" s="817" t="s">
        <v>710</v>
      </c>
      <c r="E105" s="894">
        <v>0.2</v>
      </c>
      <c r="F105" s="881">
        <v>30</v>
      </c>
    </row>
    <row r="106" spans="1:6" s="877" customFormat="1" ht="36">
      <c r="A106" s="881">
        <v>46</v>
      </c>
      <c r="B106" s="3351"/>
      <c r="C106" s="881" t="s">
        <v>711</v>
      </c>
      <c r="D106" s="817" t="s">
        <v>712</v>
      </c>
      <c r="E106" s="894">
        <v>0.2</v>
      </c>
      <c r="F106" s="881">
        <v>30</v>
      </c>
    </row>
    <row r="107" spans="1:6" s="877" customFormat="1" ht="36">
      <c r="A107" s="881">
        <v>47</v>
      </c>
      <c r="B107" s="3351" t="s">
        <v>713</v>
      </c>
      <c r="C107" s="881" t="s">
        <v>714</v>
      </c>
      <c r="D107" s="817" t="s">
        <v>715</v>
      </c>
      <c r="E107" s="894">
        <v>0.3</v>
      </c>
      <c r="F107" s="881">
        <v>50</v>
      </c>
    </row>
    <row r="108" spans="1:6" s="877" customFormat="1" ht="36">
      <c r="A108" s="881">
        <v>48</v>
      </c>
      <c r="B108" s="335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51" t="s">
        <v>724</v>
      </c>
      <c r="C111" s="881" t="s">
        <v>725</v>
      </c>
      <c r="D111" s="817" t="s">
        <v>726</v>
      </c>
      <c r="E111" s="894">
        <v>0.2</v>
      </c>
      <c r="F111" s="881">
        <v>30</v>
      </c>
    </row>
    <row r="112" spans="1:6" s="877" customFormat="1" ht="24">
      <c r="A112" s="881">
        <v>52</v>
      </c>
      <c r="B112" s="3351"/>
      <c r="C112" s="881" t="s">
        <v>727</v>
      </c>
      <c r="D112" s="817" t="s">
        <v>728</v>
      </c>
      <c r="E112" s="894">
        <v>0.2</v>
      </c>
      <c r="F112" s="881">
        <v>30</v>
      </c>
    </row>
    <row r="113" spans="1:6" s="877" customFormat="1" ht="24">
      <c r="A113" s="881">
        <v>53</v>
      </c>
      <c r="B113" s="335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51" t="s">
        <v>737</v>
      </c>
      <c r="C116" s="881" t="s">
        <v>738</v>
      </c>
      <c r="D116" s="817" t="s">
        <v>739</v>
      </c>
      <c r="E116" s="894">
        <v>0.2</v>
      </c>
      <c r="F116" s="881">
        <v>30</v>
      </c>
    </row>
    <row r="117" spans="1:6" ht="36">
      <c r="A117" s="881">
        <v>57</v>
      </c>
      <c r="B117" s="335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3003</v>
      </c>
    </row>
    <row r="2" spans="1:5" ht="15.75">
      <c r="A2" s="2910" t="s">
        <v>2995</v>
      </c>
      <c r="B2" s="2911" t="e">
        <f ca="1">SUMIF(B6:B13,"&lt;&gt;#ref!",B6:B13)</f>
        <v>#DIV/0!</v>
      </c>
      <c r="C2" s="2910" t="s">
        <v>2996</v>
      </c>
      <c r="D2" s="2910" t="s">
        <v>2997</v>
      </c>
      <c r="E2" s="2911" t="e">
        <f ca="1">SUM(E6:E13)</f>
        <v>#REF!</v>
      </c>
    </row>
    <row r="3" spans="1:5" ht="15.75">
      <c r="A3" s="2910" t="s">
        <v>2998</v>
      </c>
      <c r="B3" s="2911" t="e">
        <f ca="1">ROUND(B2*10000/E2,0)</f>
        <v>#DIV/0!</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t="e">
        <f ca="1">SUMIF(INDIRECT("'"&amp;A6&amp;"'"&amp;"!A:A"),"总价",INDIRECT("'"&amp;A6&amp;"'"&amp;"!B:B"))</f>
        <v>#DIV/0!</v>
      </c>
      <c r="C6" s="2910" t="s">
        <v>2996</v>
      </c>
      <c r="D6" s="2912"/>
      <c r="E6" s="2575">
        <f ca="1">SUMIF(INDIRECT("'"&amp;A6&amp;"'"&amp;"!C:C"),"建筑面积",INDIRECT("'"&amp;A6&amp;"'"&amp;"!D:D"))</f>
        <v>0</v>
      </c>
    </row>
    <row r="7" spans="1:5" ht="15.75">
      <c r="A7" s="2915"/>
      <c r="B7" s="2911" t="e">
        <f ca="1">SUMIF(INDIRECT("'"&amp;A7&amp;"'"&amp;"!A:A"),"总价",INDIRECT("'"&amp;A7&amp;"'"&amp;"!B:B"))</f>
        <v>#REF!</v>
      </c>
      <c r="C7" s="2910" t="s">
        <v>2996</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5" t="e">
        <f t="shared" ca="1" si="0"/>
        <v>#REF!</v>
      </c>
    </row>
    <row r="9" spans="1:5" ht="15.75">
      <c r="A9" s="2915"/>
      <c r="B9" s="2911" t="e">
        <f t="shared" ca="1" si="1"/>
        <v>#REF!</v>
      </c>
      <c r="C9" s="2910" t="s">
        <v>2996</v>
      </c>
      <c r="D9" s="2912"/>
      <c r="E9" s="2575" t="e">
        <f t="shared" ca="1" si="0"/>
        <v>#REF!</v>
      </c>
    </row>
    <row r="10" spans="1:5" ht="15.75">
      <c r="A10" s="2915"/>
      <c r="B10" s="2911" t="e">
        <f t="shared" ca="1" si="1"/>
        <v>#REF!</v>
      </c>
      <c r="C10" s="2910" t="s">
        <v>2996</v>
      </c>
      <c r="D10" s="2912"/>
      <c r="E10" s="2575" t="e">
        <f t="shared" ca="1" si="0"/>
        <v>#REF!</v>
      </c>
    </row>
    <row r="11" spans="1:5" ht="15.75">
      <c r="A11" s="2915"/>
      <c r="B11" s="2911" t="e">
        <f t="shared" ca="1" si="1"/>
        <v>#REF!</v>
      </c>
      <c r="C11" s="2910" t="s">
        <v>2996</v>
      </c>
      <c r="D11" s="2912"/>
      <c r="E11" s="2575" t="e">
        <f t="shared" ca="1" si="0"/>
        <v>#REF!</v>
      </c>
    </row>
    <row r="12" spans="1:5" ht="15.75">
      <c r="A12" s="2915"/>
      <c r="B12" s="2911" t="e">
        <f t="shared" ca="1" si="1"/>
        <v>#REF!</v>
      </c>
      <c r="C12" s="2910" t="s">
        <v>2996</v>
      </c>
      <c r="D12" s="2912"/>
      <c r="E12" s="2575" t="e">
        <f t="shared" ca="1" si="0"/>
        <v>#REF!</v>
      </c>
    </row>
    <row r="13" spans="1:5" ht="15.75">
      <c r="A13" s="2915"/>
      <c r="B13" s="2911" t="e">
        <f t="shared" ca="1" si="1"/>
        <v>#REF!</v>
      </c>
      <c r="C13" s="2910" t="s">
        <v>2996</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W6" sqref="W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57" t="s">
        <v>1150</v>
      </c>
      <c r="C1" s="3357"/>
      <c r="D1" s="3357"/>
      <c r="E1" s="3357"/>
      <c r="F1" s="3357"/>
      <c r="G1" s="3353" t="s">
        <v>1151</v>
      </c>
      <c r="H1" s="3353"/>
      <c r="I1" s="3353"/>
      <c r="J1" s="3353"/>
      <c r="K1" s="3353"/>
      <c r="L1" s="3353"/>
      <c r="N1" s="3353" t="s">
        <v>1152</v>
      </c>
      <c r="O1" s="3353"/>
      <c r="P1" s="3353"/>
      <c r="Q1" s="3353"/>
      <c r="R1" s="1448"/>
      <c r="S1" s="3353" t="s">
        <v>1153</v>
      </c>
      <c r="T1" s="3353"/>
      <c r="U1" s="3353"/>
      <c r="V1" s="3353"/>
      <c r="X1" s="3352" t="s">
        <v>1154</v>
      </c>
      <c r="Y1" s="3353"/>
      <c r="Z1" s="3353"/>
      <c r="AA1" s="3353"/>
      <c r="AB1" s="3353"/>
      <c r="AD1" s="3352" t="s">
        <v>1155</v>
      </c>
      <c r="AE1" s="3353"/>
      <c r="AF1" s="3353"/>
      <c r="AG1" s="3353"/>
      <c r="AH1" s="3353"/>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3036</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3042</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3037</v>
      </c>
      <c r="X5" s="1728">
        <f>ROUND(SUMPRODUCT(PRODUCT(1+N5:N$21)),4)</f>
        <v>1.4274</v>
      </c>
      <c r="Y5" s="1728">
        <f>ROUND(SUMPRODUCT(PRODUCT(1+O5:O$21)),4)</f>
        <v>1.2685</v>
      </c>
      <c r="Z5" s="1728">
        <f t="shared" ref="Z5" si="11">Y5</f>
        <v>1.2685</v>
      </c>
      <c r="AA5" s="1728">
        <f>ROUND(SUMPRODUCT(PRODUCT(1+P5:P$21)),4)</f>
        <v>1.4825999999999999</v>
      </c>
      <c r="AB5" s="1728">
        <f>ROUND(SUMPRODUCT(PRODUCT(1+Q5:Q$21)),4)</f>
        <v>1.2309000000000001</v>
      </c>
      <c r="AD5" s="1470">
        <f>ROUND(AVERAGE(I5:I$22)/100,4)</f>
        <v>2.1700000000000001E-2</v>
      </c>
      <c r="AE5" s="1470">
        <f>ROUND(AVERAGE(J5:J$22)/100,4)</f>
        <v>1.46E-2</v>
      </c>
      <c r="AF5" s="1470">
        <f t="shared" ref="AF5" si="12">AE5</f>
        <v>1.46E-2</v>
      </c>
      <c r="AG5" s="1470">
        <f>ROUND(AVERAGE(K5:K$22)/100,4)</f>
        <v>2.41E-2</v>
      </c>
      <c r="AH5" s="1470">
        <f>ROUND(AVERAGE(L5:L$22)/100,4)</f>
        <v>1.24E-2</v>
      </c>
    </row>
    <row r="6" spans="1:34" s="1468" customFormat="1" ht="13.5" thickBot="1">
      <c r="A6" s="1463" t="s">
        <v>3035</v>
      </c>
      <c r="B6" s="1479">
        <f t="shared" ref="B6" si="13">B7*(1+N6)</f>
        <v>439.19121308559727</v>
      </c>
      <c r="C6" s="1479">
        <f t="shared" ref="C6" si="14">C7*(1+O6)</f>
        <v>326.28510789673351</v>
      </c>
      <c r="D6" s="1479">
        <f t="shared" ref="D6" si="15">C6</f>
        <v>326.28510789673351</v>
      </c>
      <c r="E6" s="1479">
        <f t="shared" ref="E6" si="16">E7*(1+P6)</f>
        <v>626.49404043656455</v>
      </c>
      <c r="F6" s="1479">
        <f t="shared" ref="F6" si="17">F7*(1+Q6)</f>
        <v>283.46416215500358</v>
      </c>
      <c r="G6" s="2940">
        <v>2018</v>
      </c>
      <c r="H6" s="1466">
        <v>1</v>
      </c>
      <c r="I6" s="1466">
        <v>0</v>
      </c>
      <c r="J6" s="1466">
        <v>0</v>
      </c>
      <c r="K6" s="1466">
        <v>0</v>
      </c>
      <c r="L6" s="1480">
        <v>0</v>
      </c>
      <c r="M6" s="1473"/>
      <c r="N6" s="1474">
        <f t="shared" ref="N6:N11" si="18">I6/100</f>
        <v>0</v>
      </c>
      <c r="O6" s="1475">
        <f t="shared" ref="O6" si="19">J6/100</f>
        <v>0</v>
      </c>
      <c r="P6" s="1475">
        <f t="shared" ref="P6" si="20">K6/100</f>
        <v>0</v>
      </c>
      <c r="Q6" s="1475">
        <f t="shared" ref="Q6" si="21">L6/100</f>
        <v>0</v>
      </c>
      <c r="R6" s="1476"/>
      <c r="S6" s="1474">
        <f>B6/B7-1</f>
        <v>0</v>
      </c>
      <c r="T6" s="1475">
        <f t="shared" ref="T6" si="22">C6/C7-1</f>
        <v>0</v>
      </c>
      <c r="U6" s="1475">
        <f t="shared" ref="U6" si="23">D6/D7-1</f>
        <v>0</v>
      </c>
      <c r="V6" s="1475">
        <f t="shared" ref="V6" si="24">E6/E7-1</f>
        <v>0</v>
      </c>
      <c r="W6" s="1792"/>
      <c r="X6" s="1790">
        <f>ROUND(SUMPRODUCT(PRODUCT(1+N6:N$21)),4)</f>
        <v>1.4274</v>
      </c>
      <c r="Y6" s="1790">
        <f>ROUND(SUMPRODUCT(PRODUCT(1+O6:O$21)),4)</f>
        <v>1.2685</v>
      </c>
      <c r="Z6" s="1790">
        <f t="shared" ref="Z6" si="25">Y6</f>
        <v>1.2685</v>
      </c>
      <c r="AA6" s="1790">
        <f>ROUND(SUMPRODUCT(PRODUCT(1+P6:P$21)),4)</f>
        <v>1.4825999999999999</v>
      </c>
      <c r="AB6" s="1790">
        <f>ROUND(SUMPRODUCT(PRODUCT(1+Q6:Q$21)),4)</f>
        <v>1.2309000000000001</v>
      </c>
      <c r="AC6" s="1792"/>
      <c r="AD6" s="1791">
        <f>ROUND(AVERAGE(I6:I$22)/100,4)</f>
        <v>2.3E-2</v>
      </c>
      <c r="AE6" s="1791">
        <f>ROUND(AVERAGE(J6:J$22)/100,4)</f>
        <v>1.55E-2</v>
      </c>
      <c r="AF6" s="1791">
        <f t="shared" ref="AF6" si="26">AE6</f>
        <v>1.55E-2</v>
      </c>
      <c r="AG6" s="1791">
        <f>ROUND(AVERAGE(K6:K$22)/100,4)</f>
        <v>2.5499999999999998E-2</v>
      </c>
      <c r="AH6" s="1791">
        <f>ROUND(AVERAGE(L6:L$22)/100,4)</f>
        <v>1.3100000000000001E-2</v>
      </c>
    </row>
    <row r="7" spans="1:34">
      <c r="A7" s="1463" t="s">
        <v>3032</v>
      </c>
      <c r="B7" s="1471">
        <f t="shared" ref="B7" si="27">B8*(1+N7)</f>
        <v>439.19121308559727</v>
      </c>
      <c r="C7" s="1471">
        <f t="shared" ref="C7" si="28">C8*(1+O7)</f>
        <v>326.28510789673351</v>
      </c>
      <c r="D7" s="1471">
        <f t="shared" ref="D7" si="29">C7</f>
        <v>326.28510789673351</v>
      </c>
      <c r="E7" s="1471">
        <f t="shared" ref="E7" si="30">E8*(1+P7)</f>
        <v>626.49404043656455</v>
      </c>
      <c r="F7" s="1472">
        <f t="shared" ref="F7" si="31">F8*(1+Q7)</f>
        <v>283.46416215500358</v>
      </c>
      <c r="G7" s="2926">
        <v>2017</v>
      </c>
      <c r="H7" s="1464">
        <v>4</v>
      </c>
      <c r="I7" s="1464">
        <v>1.71</v>
      </c>
      <c r="J7" s="1464">
        <v>1.78</v>
      </c>
      <c r="K7" s="1464">
        <v>1.71</v>
      </c>
      <c r="L7" s="1465">
        <v>1.43</v>
      </c>
      <c r="N7" s="1474">
        <f t="shared" si="18"/>
        <v>1.7100000000000001E-2</v>
      </c>
      <c r="O7" s="1475">
        <f t="shared" ref="O7" si="32">J7/100</f>
        <v>1.78E-2</v>
      </c>
      <c r="P7" s="1475">
        <f t="shared" ref="P7" si="33">K7/100</f>
        <v>1.7100000000000001E-2</v>
      </c>
      <c r="Q7" s="1475">
        <f t="shared" ref="Q7" si="34">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3033</v>
      </c>
      <c r="B8" s="1479">
        <f t="shared" ref="B8:B9" si="35">B9*(1+N8)</f>
        <v>431.80730811680002</v>
      </c>
      <c r="C8" s="1479">
        <f t="shared" ref="C8:C9" si="36">C9*(1+O8)</f>
        <v>320.57880516480003</v>
      </c>
      <c r="D8" s="1479">
        <f t="shared" ref="D8:D9" si="37">C8</f>
        <v>320.57880516480003</v>
      </c>
      <c r="E8" s="1479">
        <f t="shared" ref="E8:E9" si="38">E9*(1+P8)</f>
        <v>615.96110553196797</v>
      </c>
      <c r="F8" s="1479">
        <f t="shared" ref="F8:F9" si="39">F9*(1+Q8)</f>
        <v>279.46777300108801</v>
      </c>
      <c r="G8" s="2922"/>
      <c r="H8" s="1466">
        <v>3</v>
      </c>
      <c r="I8" s="1466">
        <v>2.98</v>
      </c>
      <c r="J8" s="1466">
        <v>2.11</v>
      </c>
      <c r="K8" s="1466">
        <v>3.24</v>
      </c>
      <c r="L8" s="1480">
        <v>1.72</v>
      </c>
      <c r="M8" s="1473"/>
      <c r="N8" s="1474">
        <f t="shared" si="18"/>
        <v>2.98E-2</v>
      </c>
      <c r="O8" s="1475">
        <f t="shared" ref="O8" si="40">J8/100</f>
        <v>2.1099999999999997E-2</v>
      </c>
      <c r="P8" s="1475">
        <f t="shared" ref="P8" si="41">K8/100</f>
        <v>3.2400000000000005E-2</v>
      </c>
      <c r="Q8" s="1475">
        <f t="shared" ref="Q8" si="42">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5"/>
        <v>419.31181600000002</v>
      </c>
      <c r="C9" s="1479">
        <f t="shared" si="36"/>
        <v>313.95436800000004</v>
      </c>
      <c r="D9" s="1479">
        <f t="shared" si="37"/>
        <v>313.95436800000004</v>
      </c>
      <c r="E9" s="1479">
        <f t="shared" si="38"/>
        <v>596.63028431999999</v>
      </c>
      <c r="F9" s="1479">
        <f t="shared" si="39"/>
        <v>274.74220703999998</v>
      </c>
      <c r="G9" s="2921"/>
      <c r="H9" s="1467">
        <v>2</v>
      </c>
      <c r="I9" s="1467">
        <v>3.4</v>
      </c>
      <c r="J9" s="1467">
        <v>2</v>
      </c>
      <c r="K9" s="1467">
        <v>3.82</v>
      </c>
      <c r="L9" s="1481">
        <v>1.68</v>
      </c>
      <c r="M9" s="1473"/>
      <c r="N9" s="1474">
        <f t="shared" si="18"/>
        <v>3.4000000000000002E-2</v>
      </c>
      <c r="O9" s="1475">
        <f t="shared" ref="O9" si="43">J9/100</f>
        <v>0.02</v>
      </c>
      <c r="P9" s="1475">
        <f t="shared" ref="P9" si="44">K9/100</f>
        <v>3.8199999999999998E-2</v>
      </c>
      <c r="Q9" s="1475">
        <f t="shared" ref="Q9" si="45">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6">J10/100</f>
        <v>1.9199999999999998E-2</v>
      </c>
      <c r="P10" s="1475">
        <f t="shared" si="46"/>
        <v>3.9199999999999999E-2</v>
      </c>
      <c r="Q10" s="1475">
        <f t="shared" si="46"/>
        <v>1.5800000000000002E-2</v>
      </c>
      <c r="R10" s="1476"/>
      <c r="S10" s="1474">
        <f>B10/B11-1</f>
        <v>3.4499999999999975E-2</v>
      </c>
      <c r="T10" s="1475">
        <f t="shared" ref="T10:V10" si="47">C10/C11-1</f>
        <v>1.9200000000000106E-2</v>
      </c>
      <c r="U10" s="1475">
        <f t="shared" si="47"/>
        <v>1.9200000000000106E-2</v>
      </c>
      <c r="V10" s="1475">
        <f t="shared" si="47"/>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358">
        <v>2016</v>
      </c>
      <c r="H11" s="1464">
        <v>4</v>
      </c>
      <c r="I11" s="1464">
        <v>4.5599999999999996</v>
      </c>
      <c r="J11" s="1464">
        <v>2.15</v>
      </c>
      <c r="K11" s="1464">
        <v>5.32</v>
      </c>
      <c r="L11" s="1465">
        <v>1.57</v>
      </c>
      <c r="N11" s="1474">
        <f t="shared" si="18"/>
        <v>4.5599999999999995E-2</v>
      </c>
      <c r="O11" s="1475">
        <f t="shared" si="46"/>
        <v>2.1499999999999998E-2</v>
      </c>
      <c r="P11" s="1475">
        <f t="shared" si="46"/>
        <v>5.3200000000000004E-2</v>
      </c>
      <c r="Q11" s="1475">
        <f t="shared" si="46"/>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8">B11/(1+N11)</f>
        <v>374.90436113236416</v>
      </c>
      <c r="C12" s="1479">
        <f t="shared" si="48"/>
        <v>295.64366128242779</v>
      </c>
      <c r="D12" s="1479">
        <f t="shared" ref="D12:D71" si="49">C12</f>
        <v>295.64366128242779</v>
      </c>
      <c r="E12" s="1479">
        <f t="shared" ref="E12:F14" si="50">E11/(1+P11)</f>
        <v>525.06646410938095</v>
      </c>
      <c r="F12" s="1479">
        <f t="shared" si="50"/>
        <v>261.88835286009646</v>
      </c>
      <c r="G12" s="3355"/>
      <c r="H12" s="1466">
        <v>3</v>
      </c>
      <c r="I12" s="1466">
        <v>4.12</v>
      </c>
      <c r="J12" s="1466">
        <v>2</v>
      </c>
      <c r="K12" s="1466">
        <v>4.79</v>
      </c>
      <c r="L12" s="1480">
        <v>1.97</v>
      </c>
      <c r="N12" s="1474">
        <f t="shared" ref="N12:Q46" si="51">I12/100</f>
        <v>4.1200000000000001E-2</v>
      </c>
      <c r="O12" s="1475">
        <f t="shared" si="46"/>
        <v>0.02</v>
      </c>
      <c r="P12" s="1475">
        <f t="shared" si="46"/>
        <v>4.7899999999999998E-2</v>
      </c>
      <c r="Q12" s="1475">
        <f t="shared" si="46"/>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8"/>
        <v>360.06949782209392</v>
      </c>
      <c r="C13" s="1479">
        <f t="shared" si="48"/>
        <v>289.84672674747821</v>
      </c>
      <c r="D13" s="1479">
        <f t="shared" si="49"/>
        <v>289.84672674747821</v>
      </c>
      <c r="E13" s="1479">
        <f t="shared" si="50"/>
        <v>501.06543001181495</v>
      </c>
      <c r="F13" s="1479">
        <f t="shared" si="50"/>
        <v>256.82882500744967</v>
      </c>
      <c r="G13" s="3355"/>
      <c r="H13" s="1467">
        <v>2</v>
      </c>
      <c r="I13" s="1467">
        <v>3.85</v>
      </c>
      <c r="J13" s="1467">
        <v>1.95</v>
      </c>
      <c r="K13" s="1467">
        <v>4.4800000000000004</v>
      </c>
      <c r="L13" s="1481">
        <v>1.41</v>
      </c>
      <c r="N13" s="1474">
        <f t="shared" si="51"/>
        <v>3.85E-2</v>
      </c>
      <c r="O13" s="1475">
        <f t="shared" si="46"/>
        <v>1.95E-2</v>
      </c>
      <c r="P13" s="1475">
        <f t="shared" si="46"/>
        <v>4.4800000000000006E-2</v>
      </c>
      <c r="Q13" s="1475">
        <f t="shared" si="46"/>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8"/>
        <v>346.720748986128</v>
      </c>
      <c r="C14" s="1479">
        <f t="shared" si="48"/>
        <v>284.30282172386285</v>
      </c>
      <c r="D14" s="1479">
        <f t="shared" si="49"/>
        <v>284.30282172386285</v>
      </c>
      <c r="E14" s="1479">
        <f t="shared" si="50"/>
        <v>479.58023546306947</v>
      </c>
      <c r="F14" s="1479">
        <f t="shared" si="50"/>
        <v>253.25788877571213</v>
      </c>
      <c r="G14" s="3356"/>
      <c r="H14" s="1466">
        <v>1</v>
      </c>
      <c r="I14" s="1466">
        <v>4.09</v>
      </c>
      <c r="J14" s="1466">
        <v>2.93</v>
      </c>
      <c r="K14" s="1466">
        <v>4.54</v>
      </c>
      <c r="L14" s="1480">
        <v>1.48</v>
      </c>
      <c r="N14" s="1474">
        <f t="shared" si="51"/>
        <v>4.0899999999999999E-2</v>
      </c>
      <c r="O14" s="1475">
        <f t="shared" si="46"/>
        <v>2.9300000000000003E-2</v>
      </c>
      <c r="P14" s="1475">
        <f t="shared" si="46"/>
        <v>4.5400000000000003E-2</v>
      </c>
      <c r="Q14" s="1475">
        <f t="shared" si="46"/>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9"/>
        <v>277</v>
      </c>
      <c r="E15" s="1471">
        <v>459</v>
      </c>
      <c r="F15" s="1472">
        <v>249</v>
      </c>
      <c r="G15" s="3354">
        <v>2015</v>
      </c>
      <c r="H15" s="1484">
        <v>4</v>
      </c>
      <c r="I15" s="1484">
        <v>1.63</v>
      </c>
      <c r="J15" s="1484">
        <v>1.1100000000000001</v>
      </c>
      <c r="K15" s="1484">
        <v>1.77</v>
      </c>
      <c r="L15" s="1485">
        <v>1.89</v>
      </c>
      <c r="N15" s="1486">
        <f t="shared" si="51"/>
        <v>1.6299999999999999E-2</v>
      </c>
      <c r="O15" s="1487">
        <f t="shared" si="46"/>
        <v>1.11E-2</v>
      </c>
      <c r="P15" s="1487">
        <f t="shared" si="46"/>
        <v>1.77E-2</v>
      </c>
      <c r="Q15" s="1487">
        <f t="shared" si="46"/>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52">B15/(1+N15)</f>
        <v>327.65915576109415</v>
      </c>
      <c r="C16" s="1479">
        <f t="shared" si="52"/>
        <v>273.95905449510434</v>
      </c>
      <c r="D16" s="1479">
        <f t="shared" si="49"/>
        <v>273.95905449510434</v>
      </c>
      <c r="E16" s="1479">
        <f t="shared" ref="E16:F18" si="53">E15/(1+P15)</f>
        <v>451.01699911565294</v>
      </c>
      <c r="F16" s="1479">
        <f t="shared" si="53"/>
        <v>244.38119540681129</v>
      </c>
      <c r="G16" s="3355"/>
      <c r="H16" s="1489">
        <v>3</v>
      </c>
      <c r="I16" s="1489">
        <v>1.65</v>
      </c>
      <c r="J16" s="1489">
        <v>0.92</v>
      </c>
      <c r="K16" s="1489">
        <v>1.88</v>
      </c>
      <c r="L16" s="1490">
        <v>1.26</v>
      </c>
      <c r="N16" s="1474">
        <f t="shared" si="51"/>
        <v>1.6500000000000001E-2</v>
      </c>
      <c r="O16" s="1491">
        <f t="shared" si="46"/>
        <v>9.1999999999999998E-3</v>
      </c>
      <c r="P16" s="1491">
        <f t="shared" si="46"/>
        <v>1.8799999999999997E-2</v>
      </c>
      <c r="Q16" s="1491">
        <f t="shared" si="46"/>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52"/>
        <v>322.34053690220776</v>
      </c>
      <c r="C17" s="1479">
        <f t="shared" si="52"/>
        <v>271.46160770422546</v>
      </c>
      <c r="D17" s="1479">
        <f t="shared" si="49"/>
        <v>271.46160770422546</v>
      </c>
      <c r="E17" s="1479">
        <f t="shared" si="53"/>
        <v>442.69434542172456</v>
      </c>
      <c r="F17" s="1479">
        <f t="shared" si="53"/>
        <v>241.34030753190925</v>
      </c>
      <c r="G17" s="3355"/>
      <c r="H17" s="1467">
        <v>2</v>
      </c>
      <c r="I17" s="1467">
        <v>0.77</v>
      </c>
      <c r="J17" s="1467">
        <v>0.69</v>
      </c>
      <c r="K17" s="1467">
        <v>0.8</v>
      </c>
      <c r="L17" s="1481">
        <v>0.88</v>
      </c>
      <c r="N17" s="1474">
        <f t="shared" si="51"/>
        <v>7.7000000000000002E-3</v>
      </c>
      <c r="O17" s="1491">
        <f t="shared" si="46"/>
        <v>6.8999999999999999E-3</v>
      </c>
      <c r="P17" s="1491">
        <f t="shared" si="46"/>
        <v>8.0000000000000002E-3</v>
      </c>
      <c r="Q17" s="1491">
        <f t="shared" si="46"/>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52"/>
        <v>319.87748030386797</v>
      </c>
      <c r="C18" s="1479">
        <f t="shared" si="52"/>
        <v>269.60135833173649</v>
      </c>
      <c r="D18" s="1479">
        <f t="shared" si="49"/>
        <v>269.60135833173649</v>
      </c>
      <c r="E18" s="1479">
        <f t="shared" si="53"/>
        <v>439.18089823583784</v>
      </c>
      <c r="F18" s="1479">
        <f t="shared" si="53"/>
        <v>239.23503918706311</v>
      </c>
      <c r="G18" s="3356"/>
      <c r="H18" s="1466">
        <v>1</v>
      </c>
      <c r="I18" s="1466">
        <v>0.51</v>
      </c>
      <c r="J18" s="1466">
        <v>0.54</v>
      </c>
      <c r="K18" s="1466">
        <v>0.48</v>
      </c>
      <c r="L18" s="1480">
        <v>0.93</v>
      </c>
      <c r="N18" s="1482">
        <f t="shared" si="51"/>
        <v>5.1000000000000004E-3</v>
      </c>
      <c r="O18" s="1483">
        <f t="shared" si="46"/>
        <v>5.4000000000000003E-3</v>
      </c>
      <c r="P18" s="1483">
        <f t="shared" si="46"/>
        <v>4.7999999999999996E-3</v>
      </c>
      <c r="Q18" s="1483">
        <f t="shared" si="46"/>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9"/>
        <v>268</v>
      </c>
      <c r="E19" s="1492">
        <v>437</v>
      </c>
      <c r="F19" s="1493">
        <v>237</v>
      </c>
      <c r="G19" s="3354">
        <v>2014</v>
      </c>
      <c r="H19" s="1484">
        <v>4</v>
      </c>
      <c r="I19" s="1484">
        <v>0.21</v>
      </c>
      <c r="J19" s="1484">
        <v>0.41</v>
      </c>
      <c r="K19" s="1484">
        <v>0.12</v>
      </c>
      <c r="L19" s="1485">
        <v>0.89</v>
      </c>
      <c r="N19" s="1474">
        <f t="shared" si="51"/>
        <v>2.0999999999999999E-3</v>
      </c>
      <c r="O19" s="1475">
        <f t="shared" si="46"/>
        <v>4.0999999999999995E-3</v>
      </c>
      <c r="P19" s="1475">
        <f t="shared" si="46"/>
        <v>1.1999999999999999E-3</v>
      </c>
      <c r="Q19" s="1475">
        <f t="shared" si="46"/>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54">B19/(1+N19)</f>
        <v>317.33359944117353</v>
      </c>
      <c r="C20" s="1479">
        <f t="shared" si="54"/>
        <v>266.90568668459315</v>
      </c>
      <c r="D20" s="1479">
        <f t="shared" si="49"/>
        <v>266.90568668459315</v>
      </c>
      <c r="E20" s="1479">
        <f t="shared" ref="E20:F22" si="55">E19/(1+P19)</f>
        <v>436.47622852576905</v>
      </c>
      <c r="F20" s="1479">
        <f t="shared" si="55"/>
        <v>234.90930716622066</v>
      </c>
      <c r="G20" s="3355"/>
      <c r="H20" s="1494">
        <v>3</v>
      </c>
      <c r="I20" s="1494">
        <v>0.83</v>
      </c>
      <c r="J20" s="1494">
        <v>1.47</v>
      </c>
      <c r="K20" s="1494">
        <v>0.65</v>
      </c>
      <c r="L20" s="1495">
        <v>0.72</v>
      </c>
      <c r="N20" s="1474">
        <f t="shared" si="51"/>
        <v>8.3000000000000001E-3</v>
      </c>
      <c r="O20" s="1475">
        <f t="shared" si="46"/>
        <v>1.47E-2</v>
      </c>
      <c r="P20" s="1475">
        <f t="shared" si="46"/>
        <v>6.5000000000000006E-3</v>
      </c>
      <c r="Q20" s="1475">
        <f t="shared" si="46"/>
        <v>7.1999999999999998E-3</v>
      </c>
      <c r="R20" s="1476"/>
      <c r="S20" s="1474"/>
      <c r="T20" s="1475"/>
      <c r="U20" s="1475"/>
      <c r="V20" s="1475"/>
      <c r="X20" s="1461">
        <f>ROUND(SUMPRODUCT(PRODUCT(1+N20:N$21)),4)</f>
        <v>1.0325</v>
      </c>
      <c r="Y20" s="1461">
        <f>ROUND(SUMPRODUCT(PRODUCT(1+O20:O$21)),4)</f>
        <v>1.0353000000000001</v>
      </c>
      <c r="Z20" s="1461">
        <f t="shared" ref="Z20:Z21" si="56">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54"/>
        <v>314.72141172386546</v>
      </c>
      <c r="C21" s="1479">
        <f t="shared" si="54"/>
        <v>263.03901319069001</v>
      </c>
      <c r="D21" s="1479">
        <f t="shared" si="49"/>
        <v>263.03901319069001</v>
      </c>
      <c r="E21" s="1479">
        <f t="shared" si="55"/>
        <v>433.65745506782821</v>
      </c>
      <c r="F21" s="1479">
        <f t="shared" si="55"/>
        <v>233.23005080045735</v>
      </c>
      <c r="G21" s="3355"/>
      <c r="H21" s="1484">
        <v>2</v>
      </c>
      <c r="I21" s="1484">
        <v>2.4</v>
      </c>
      <c r="J21" s="1484">
        <v>2.0299999999999998</v>
      </c>
      <c r="K21" s="1484">
        <v>2.59</v>
      </c>
      <c r="L21" s="1485">
        <v>1.52</v>
      </c>
      <c r="N21" s="1474">
        <f t="shared" si="51"/>
        <v>2.4E-2</v>
      </c>
      <c r="O21" s="1475">
        <f t="shared" si="46"/>
        <v>2.0299999999999999E-2</v>
      </c>
      <c r="P21" s="1475">
        <f t="shared" si="46"/>
        <v>2.5899999999999999E-2</v>
      </c>
      <c r="Q21" s="1475">
        <f t="shared" si="46"/>
        <v>1.52E-2</v>
      </c>
      <c r="R21" s="1476"/>
      <c r="S21" s="1474"/>
      <c r="T21" s="1475"/>
      <c r="U21" s="1475"/>
      <c r="V21" s="1475"/>
      <c r="X21" s="1461">
        <f>1+N21</f>
        <v>1.024</v>
      </c>
      <c r="Y21" s="1461">
        <f>1+O21</f>
        <v>1.0203</v>
      </c>
      <c r="Z21" s="1461">
        <f t="shared" si="56"/>
        <v>1.0203</v>
      </c>
      <c r="AA21" s="1461">
        <f>1+P21</f>
        <v>1.0259</v>
      </c>
      <c r="AB21" s="1461">
        <f>1+Q21</f>
        <v>1.0152000000000001</v>
      </c>
      <c r="AD21" s="1462">
        <f>ROUND(AVERAGE(I21:I$22)/100,4)</f>
        <v>2.69E-2</v>
      </c>
      <c r="AE21" s="1462">
        <f>ROUND(AVERAGE(J21:J$22)/100,4)</f>
        <v>2.1899999999999999E-2</v>
      </c>
      <c r="AF21" s="1462">
        <f t="shared" ref="AF21" si="57">AE21</f>
        <v>2.1899999999999999E-2</v>
      </c>
      <c r="AG21" s="1462">
        <f>ROUND(AVERAGE(K21:K$22)/100,4)</f>
        <v>2.9399999999999999E-2</v>
      </c>
      <c r="AH21" s="1462">
        <f>ROUND(AVERAGE(L21:L$22)/100,4)</f>
        <v>1.44E-2</v>
      </c>
    </row>
    <row r="22" spans="1:34" s="1500" customFormat="1" ht="13.5" thickBot="1">
      <c r="A22" s="1496" t="s">
        <v>144</v>
      </c>
      <c r="B22" s="1497">
        <f t="shared" si="54"/>
        <v>307.34512863658733</v>
      </c>
      <c r="C22" s="1497">
        <f t="shared" si="54"/>
        <v>257.80556031626975</v>
      </c>
      <c r="D22" s="1497">
        <f t="shared" si="49"/>
        <v>257.80556031626975</v>
      </c>
      <c r="E22" s="1497">
        <f t="shared" si="55"/>
        <v>422.70928459677179</v>
      </c>
      <c r="F22" s="1497">
        <f t="shared" si="55"/>
        <v>229.73803270336617</v>
      </c>
      <c r="G22" s="3356"/>
      <c r="H22" s="1498">
        <v>1</v>
      </c>
      <c r="I22" s="1498">
        <v>2.97</v>
      </c>
      <c r="J22" s="1498">
        <v>2.34</v>
      </c>
      <c r="K22" s="1498">
        <v>3.28</v>
      </c>
      <c r="L22" s="1499">
        <v>1.36</v>
      </c>
      <c r="N22" s="1501">
        <f t="shared" si="51"/>
        <v>2.9700000000000001E-2</v>
      </c>
      <c r="O22" s="1502">
        <f t="shared" si="46"/>
        <v>2.3399999999999997E-2</v>
      </c>
      <c r="P22" s="1502">
        <f t="shared" si="46"/>
        <v>3.2799999999999996E-2</v>
      </c>
      <c r="Q22" s="1502">
        <f t="shared" si="46"/>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9"/>
        <v>252</v>
      </c>
      <c r="E23" s="1471">
        <v>409</v>
      </c>
      <c r="F23" s="1472">
        <v>227</v>
      </c>
      <c r="G23" s="3359">
        <v>2013</v>
      </c>
      <c r="H23" s="1508">
        <v>4</v>
      </c>
      <c r="I23" s="1508">
        <v>1.83</v>
      </c>
      <c r="J23" s="1508">
        <v>1.68</v>
      </c>
      <c r="K23" s="1508">
        <v>1.97</v>
      </c>
      <c r="L23" s="1509">
        <v>0.87</v>
      </c>
      <c r="N23" s="1486">
        <f t="shared" si="51"/>
        <v>1.83E-2</v>
      </c>
      <c r="O23" s="1487">
        <f t="shared" si="46"/>
        <v>1.6799999999999999E-2</v>
      </c>
      <c r="P23" s="1487">
        <f t="shared" si="46"/>
        <v>1.9699999999999999E-2</v>
      </c>
      <c r="Q23" s="1487">
        <f t="shared" si="46"/>
        <v>8.6999999999999994E-3</v>
      </c>
      <c r="R23" s="1476"/>
      <c r="S23" s="1477"/>
      <c r="T23" s="1478"/>
      <c r="U23" s="1478"/>
      <c r="V23" s="1478"/>
      <c r="X23" s="1478"/>
      <c r="Y23" s="1478"/>
      <c r="Z23" s="1478"/>
    </row>
    <row r="24" spans="1:34">
      <c r="A24" s="1463" t="s">
        <v>1164</v>
      </c>
      <c r="B24" s="1479">
        <f t="shared" ref="B24:C26" si="58">B23/(1+N23)</f>
        <v>293.62663262299913</v>
      </c>
      <c r="C24" s="1479">
        <f t="shared" si="58"/>
        <v>247.83634933123525</v>
      </c>
      <c r="D24" s="1479">
        <f t="shared" si="49"/>
        <v>247.83634933123525</v>
      </c>
      <c r="E24" s="1479">
        <f t="shared" ref="E24:F26" si="59">E23/(1+P23)</f>
        <v>401.09836226341076</v>
      </c>
      <c r="F24" s="1479">
        <f t="shared" si="59"/>
        <v>225.04213343908003</v>
      </c>
      <c r="G24" s="3360"/>
      <c r="H24" s="1489">
        <v>3</v>
      </c>
      <c r="I24" s="1489">
        <v>1.86</v>
      </c>
      <c r="J24" s="1489">
        <v>1.72</v>
      </c>
      <c r="K24" s="1489">
        <v>1.98</v>
      </c>
      <c r="L24" s="1490">
        <v>0.88</v>
      </c>
      <c r="N24" s="1474">
        <f t="shared" si="51"/>
        <v>1.8600000000000002E-2</v>
      </c>
      <c r="O24" s="1491">
        <f t="shared" si="46"/>
        <v>1.72E-2</v>
      </c>
      <c r="P24" s="1491">
        <f t="shared" si="46"/>
        <v>1.9799999999999998E-2</v>
      </c>
      <c r="Q24" s="1491">
        <f t="shared" si="46"/>
        <v>8.8000000000000005E-3</v>
      </c>
      <c r="R24" s="1476"/>
      <c r="S24" s="1474"/>
      <c r="T24" s="1475"/>
      <c r="U24" s="1475"/>
      <c r="V24" s="1475"/>
    </row>
    <row r="25" spans="1:34">
      <c r="A25" s="1463" t="s">
        <v>1165</v>
      </c>
      <c r="B25" s="1479">
        <f t="shared" si="58"/>
        <v>288.2649053828776</v>
      </c>
      <c r="C25" s="1479">
        <f t="shared" si="58"/>
        <v>243.64564425013293</v>
      </c>
      <c r="D25" s="1479">
        <f t="shared" si="49"/>
        <v>243.64564425013293</v>
      </c>
      <c r="E25" s="1479">
        <f t="shared" si="59"/>
        <v>393.31080825986544</v>
      </c>
      <c r="F25" s="1479">
        <f t="shared" si="59"/>
        <v>223.07903790551154</v>
      </c>
      <c r="G25" s="3360"/>
      <c r="H25" s="1467">
        <v>2</v>
      </c>
      <c r="I25" s="1467">
        <v>2.04</v>
      </c>
      <c r="J25" s="1467">
        <v>2.33</v>
      </c>
      <c r="K25" s="1467">
        <v>2.0699999999999998</v>
      </c>
      <c r="L25" s="1481">
        <v>0.69</v>
      </c>
      <c r="N25" s="1474">
        <f t="shared" si="51"/>
        <v>2.0400000000000001E-2</v>
      </c>
      <c r="O25" s="1491">
        <f t="shared" si="46"/>
        <v>2.3300000000000001E-2</v>
      </c>
      <c r="P25" s="1491">
        <f t="shared" si="46"/>
        <v>2.07E-2</v>
      </c>
      <c r="Q25" s="1491">
        <f t="shared" si="46"/>
        <v>6.8999999999999999E-3</v>
      </c>
      <c r="R25" s="1476"/>
      <c r="S25" s="1474"/>
      <c r="T25" s="1475"/>
      <c r="U25" s="1475"/>
      <c r="V25" s="1475"/>
      <c r="X25" s="1510"/>
      <c r="Y25" s="1511"/>
    </row>
    <row r="26" spans="1:34">
      <c r="A26" s="1463" t="s">
        <v>1166</v>
      </c>
      <c r="B26" s="1479">
        <f t="shared" si="58"/>
        <v>282.50186729015837</v>
      </c>
      <c r="C26" s="1479">
        <f t="shared" si="58"/>
        <v>238.09796174155468</v>
      </c>
      <c r="D26" s="1479">
        <f t="shared" si="49"/>
        <v>238.09796174155468</v>
      </c>
      <c r="E26" s="1479">
        <f t="shared" si="59"/>
        <v>385.33438646014054</v>
      </c>
      <c r="F26" s="1479">
        <f t="shared" si="59"/>
        <v>221.55034055567739</v>
      </c>
      <c r="G26" s="3361"/>
      <c r="H26" s="1466">
        <v>1</v>
      </c>
      <c r="I26" s="1466">
        <v>1.67</v>
      </c>
      <c r="J26" s="1466">
        <v>1.31</v>
      </c>
      <c r="K26" s="1466">
        <v>1.85</v>
      </c>
      <c r="L26" s="1480">
        <v>0.96</v>
      </c>
      <c r="N26" s="1482">
        <f t="shared" si="51"/>
        <v>1.67E-2</v>
      </c>
      <c r="O26" s="1483">
        <f t="shared" si="51"/>
        <v>1.3100000000000001E-2</v>
      </c>
      <c r="P26" s="1483">
        <f t="shared" si="51"/>
        <v>1.8500000000000003E-2</v>
      </c>
      <c r="Q26" s="1483">
        <f t="shared" si="51"/>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9"/>
        <v>234</v>
      </c>
      <c r="E27" s="1513">
        <v>379</v>
      </c>
      <c r="F27" s="1514">
        <v>220</v>
      </c>
      <c r="G27" s="3354">
        <v>2012</v>
      </c>
      <c r="H27" s="1484">
        <v>4</v>
      </c>
      <c r="I27" s="1484">
        <v>0.91</v>
      </c>
      <c r="J27" s="1484">
        <v>0.68</v>
      </c>
      <c r="K27" s="1484">
        <v>0.98</v>
      </c>
      <c r="L27" s="1485">
        <v>0.9</v>
      </c>
      <c r="N27" s="1474">
        <f t="shared" si="51"/>
        <v>9.1000000000000004E-3</v>
      </c>
      <c r="O27" s="1475">
        <f t="shared" si="51"/>
        <v>6.8000000000000005E-3</v>
      </c>
      <c r="P27" s="1475">
        <f t="shared" si="51"/>
        <v>9.7999999999999997E-3</v>
      </c>
      <c r="Q27" s="1475">
        <f t="shared" si="51"/>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9"/>
        <v>232.41954707985698</v>
      </c>
      <c r="E28" s="1479">
        <f t="shared" ref="E28:F30" si="60">E27/(1+P27)</f>
        <v>375.32184591008121</v>
      </c>
      <c r="F28" s="1479">
        <f t="shared" si="60"/>
        <v>218.03766105054513</v>
      </c>
      <c r="G28" s="3355"/>
      <c r="H28" s="1489">
        <v>3</v>
      </c>
      <c r="I28" s="1489">
        <v>0.09</v>
      </c>
      <c r="J28" s="1489">
        <v>0.28999999999999998</v>
      </c>
      <c r="K28" s="1489">
        <v>-0.01</v>
      </c>
      <c r="L28" s="1490">
        <v>0.57999999999999996</v>
      </c>
      <c r="N28" s="1474">
        <f t="shared" si="51"/>
        <v>8.9999999999999998E-4</v>
      </c>
      <c r="O28" s="1475">
        <f t="shared" si="51"/>
        <v>2.8999999999999998E-3</v>
      </c>
      <c r="P28" s="1475">
        <f t="shared" si="51"/>
        <v>-1E-4</v>
      </c>
      <c r="Q28" s="1475">
        <f t="shared" si="51"/>
        <v>5.7999999999999996E-3</v>
      </c>
      <c r="R28" s="1476"/>
      <c r="S28" s="1474"/>
      <c r="T28" s="1475"/>
      <c r="U28" s="1475"/>
      <c r="V28" s="1475"/>
    </row>
    <row r="29" spans="1:34">
      <c r="A29" s="1463" t="s">
        <v>1169</v>
      </c>
      <c r="B29" s="1479">
        <f>B28/(1+N28)</f>
        <v>275.24529281292263</v>
      </c>
      <c r="C29" s="1479">
        <f>C28/(1+O28)</f>
        <v>231.74747938962707</v>
      </c>
      <c r="D29" s="1479">
        <f t="shared" si="49"/>
        <v>231.74747938962707</v>
      </c>
      <c r="E29" s="1479">
        <f t="shared" si="60"/>
        <v>375.35938184826603</v>
      </c>
      <c r="F29" s="1479">
        <f t="shared" si="60"/>
        <v>216.78033510692495</v>
      </c>
      <c r="G29" s="3355"/>
      <c r="H29" s="1467">
        <v>2</v>
      </c>
      <c r="I29" s="1467">
        <v>0.02</v>
      </c>
      <c r="J29" s="1467">
        <v>0.12</v>
      </c>
      <c r="K29" s="1467">
        <v>-0.08</v>
      </c>
      <c r="L29" s="1481">
        <v>1.24</v>
      </c>
      <c r="N29" s="1474">
        <f t="shared" si="51"/>
        <v>2.0000000000000001E-4</v>
      </c>
      <c r="O29" s="1475">
        <f t="shared" si="51"/>
        <v>1.1999999999999999E-3</v>
      </c>
      <c r="P29" s="1475">
        <f t="shared" si="51"/>
        <v>-8.0000000000000004E-4</v>
      </c>
      <c r="Q29" s="1475">
        <f t="shared" si="51"/>
        <v>1.24E-2</v>
      </c>
      <c r="R29" s="1476"/>
      <c r="S29" s="1474"/>
      <c r="T29" s="1475"/>
      <c r="U29" s="1475"/>
      <c r="V29" s="1475"/>
    </row>
    <row r="30" spans="1:34" ht="13.5" thickBot="1">
      <c r="A30" s="1463" t="s">
        <v>1170</v>
      </c>
      <c r="B30" s="1479">
        <f>B29/(1+N29)</f>
        <v>275.19025476197027</v>
      </c>
      <c r="C30" s="1515">
        <v>232</v>
      </c>
      <c r="D30" s="1515">
        <f t="shared" si="49"/>
        <v>232</v>
      </c>
      <c r="E30" s="1479">
        <f t="shared" si="60"/>
        <v>375.65990977608692</v>
      </c>
      <c r="F30" s="1479">
        <f t="shared" si="60"/>
        <v>214.12518283971252</v>
      </c>
      <c r="G30" s="3356"/>
      <c r="H30" s="1466">
        <v>1</v>
      </c>
      <c r="I30" s="1466">
        <v>0.02</v>
      </c>
      <c r="J30" s="1466">
        <v>0.13</v>
      </c>
      <c r="K30" s="1466">
        <v>-0.04</v>
      </c>
      <c r="L30" s="1480">
        <v>0.46</v>
      </c>
      <c r="N30" s="1474">
        <f t="shared" si="51"/>
        <v>2.0000000000000001E-4</v>
      </c>
      <c r="O30" s="1475">
        <f t="shared" si="51"/>
        <v>1.2999999999999999E-3</v>
      </c>
      <c r="P30" s="1475">
        <f t="shared" si="51"/>
        <v>-4.0000000000000002E-4</v>
      </c>
      <c r="Q30" s="1475">
        <f t="shared" si="51"/>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9"/>
        <v>232</v>
      </c>
      <c r="E31" s="1471">
        <v>376</v>
      </c>
      <c r="F31" s="1472">
        <v>213</v>
      </c>
      <c r="G31" s="3354">
        <v>2011</v>
      </c>
      <c r="H31" s="1484">
        <v>4</v>
      </c>
      <c r="I31" s="1484">
        <v>-0.2</v>
      </c>
      <c r="J31" s="1484">
        <v>0.04</v>
      </c>
      <c r="K31" s="1484">
        <v>-0.34</v>
      </c>
      <c r="L31" s="1485">
        <v>0.46</v>
      </c>
      <c r="N31" s="1486">
        <f t="shared" si="51"/>
        <v>-2E-3</v>
      </c>
      <c r="O31" s="1487">
        <f t="shared" si="51"/>
        <v>4.0000000000000002E-4</v>
      </c>
      <c r="P31" s="1487">
        <f t="shared" si="51"/>
        <v>-3.4000000000000002E-3</v>
      </c>
      <c r="Q31" s="1487">
        <f t="shared" si="51"/>
        <v>4.5999999999999999E-3</v>
      </c>
      <c r="R31" s="1476"/>
      <c r="S31" s="1477"/>
      <c r="T31" s="1478"/>
      <c r="U31" s="1478"/>
      <c r="V31" s="1478"/>
      <c r="X31" s="1478"/>
      <c r="Y31" s="1478"/>
      <c r="Z31" s="1478"/>
    </row>
    <row r="32" spans="1:34">
      <c r="A32" s="1463" t="s">
        <v>1172</v>
      </c>
      <c r="B32" s="1479">
        <f t="shared" ref="B32:C34" si="61">B31/(1+N31)</f>
        <v>275.55110220440883</v>
      </c>
      <c r="C32" s="1479">
        <f t="shared" si="61"/>
        <v>231.90723710515795</v>
      </c>
      <c r="D32" s="1479">
        <f t="shared" si="49"/>
        <v>231.90723710515795</v>
      </c>
      <c r="E32" s="1479">
        <f t="shared" ref="E32:F34" si="62">E31/(1+P31)</f>
        <v>377.28276138872161</v>
      </c>
      <c r="F32" s="1479">
        <f t="shared" si="62"/>
        <v>212.02468644236512</v>
      </c>
      <c r="G32" s="3355">
        <v>2011</v>
      </c>
      <c r="H32" s="1489">
        <v>3</v>
      </c>
      <c r="I32" s="1489">
        <v>0.13</v>
      </c>
      <c r="J32" s="1489">
        <v>0.75</v>
      </c>
      <c r="K32" s="1489">
        <v>-0.08</v>
      </c>
      <c r="L32" s="1490">
        <v>0.53</v>
      </c>
      <c r="N32" s="1474">
        <f t="shared" si="51"/>
        <v>1.2999999999999999E-3</v>
      </c>
      <c r="O32" s="1491">
        <f t="shared" si="51"/>
        <v>7.4999999999999997E-3</v>
      </c>
      <c r="P32" s="1491">
        <f t="shared" si="51"/>
        <v>-8.0000000000000004E-4</v>
      </c>
      <c r="Q32" s="1491">
        <f t="shared" si="51"/>
        <v>5.3E-3</v>
      </c>
      <c r="R32" s="1476"/>
      <c r="S32" s="1474"/>
      <c r="T32" s="1475"/>
      <c r="U32" s="1475"/>
      <c r="V32" s="1475"/>
    </row>
    <row r="33" spans="1:26">
      <c r="A33" s="1463" t="s">
        <v>1173</v>
      </c>
      <c r="B33" s="1479">
        <f t="shared" si="61"/>
        <v>275.19335084830601</v>
      </c>
      <c r="C33" s="1479">
        <f t="shared" si="61"/>
        <v>230.18088050139744</v>
      </c>
      <c r="D33" s="1479">
        <f t="shared" si="49"/>
        <v>230.18088050139744</v>
      </c>
      <c r="E33" s="1479">
        <f t="shared" si="62"/>
        <v>377.58482925212331</v>
      </c>
      <c r="F33" s="1479">
        <f t="shared" si="62"/>
        <v>210.90687997847917</v>
      </c>
      <c r="G33" s="3355">
        <v>2011</v>
      </c>
      <c r="H33" s="1467">
        <v>2</v>
      </c>
      <c r="I33" s="1467">
        <v>-0.4</v>
      </c>
      <c r="J33" s="1467">
        <v>0.17</v>
      </c>
      <c r="K33" s="1467">
        <v>-0.57999999999999996</v>
      </c>
      <c r="L33" s="1481">
        <v>-0.2</v>
      </c>
      <c r="N33" s="1474">
        <f t="shared" si="51"/>
        <v>-4.0000000000000001E-3</v>
      </c>
      <c r="O33" s="1491">
        <f t="shared" si="51"/>
        <v>1.7000000000000001E-3</v>
      </c>
      <c r="P33" s="1491">
        <f t="shared" si="51"/>
        <v>-5.7999999999999996E-3</v>
      </c>
      <c r="Q33" s="1491">
        <f t="shared" si="51"/>
        <v>-2E-3</v>
      </c>
      <c r="R33" s="1476"/>
      <c r="S33" s="1474"/>
      <c r="T33" s="1475"/>
      <c r="U33" s="1475"/>
      <c r="V33" s="1475"/>
    </row>
    <row r="34" spans="1:26" ht="13.5" thickBot="1">
      <c r="A34" s="1463" t="s">
        <v>1174</v>
      </c>
      <c r="B34" s="1479">
        <f t="shared" si="61"/>
        <v>276.29854502841971</v>
      </c>
      <c r="C34" s="1479">
        <f t="shared" si="61"/>
        <v>229.79023709833027</v>
      </c>
      <c r="D34" s="1479">
        <f t="shared" si="49"/>
        <v>229.79023709833027</v>
      </c>
      <c r="E34" s="1479">
        <f t="shared" si="62"/>
        <v>379.78759731655936</v>
      </c>
      <c r="F34" s="1479">
        <f t="shared" si="62"/>
        <v>211.32953905659235</v>
      </c>
      <c r="G34" s="3356">
        <v>2011</v>
      </c>
      <c r="H34" s="1466">
        <v>1</v>
      </c>
      <c r="I34" s="1466">
        <v>2.65</v>
      </c>
      <c r="J34" s="1466">
        <v>3.76</v>
      </c>
      <c r="K34" s="1466">
        <v>1.89</v>
      </c>
      <c r="L34" s="1480">
        <v>7.95</v>
      </c>
      <c r="N34" s="1482">
        <f t="shared" si="51"/>
        <v>2.6499999999999999E-2</v>
      </c>
      <c r="O34" s="1483">
        <f t="shared" si="51"/>
        <v>3.7599999999999995E-2</v>
      </c>
      <c r="P34" s="1483">
        <f t="shared" si="51"/>
        <v>1.89E-2</v>
      </c>
      <c r="Q34" s="1483">
        <f t="shared" si="51"/>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9"/>
        <v>221</v>
      </c>
      <c r="E35" s="1471">
        <v>373</v>
      </c>
      <c r="F35" s="1472">
        <v>196</v>
      </c>
      <c r="G35" s="3354">
        <v>2010</v>
      </c>
      <c r="H35" s="1484">
        <v>4</v>
      </c>
      <c r="I35" s="1484">
        <v>5.72</v>
      </c>
      <c r="J35" s="1484">
        <v>6.57</v>
      </c>
      <c r="K35" s="1484">
        <v>5.72</v>
      </c>
      <c r="L35" s="1485">
        <v>2.72</v>
      </c>
      <c r="N35" s="1474">
        <f t="shared" si="51"/>
        <v>5.7200000000000001E-2</v>
      </c>
      <c r="O35" s="1475">
        <f t="shared" si="51"/>
        <v>6.5700000000000008E-2</v>
      </c>
      <c r="P35" s="1475">
        <f t="shared" si="51"/>
        <v>5.7200000000000001E-2</v>
      </c>
      <c r="Q35" s="1475">
        <f t="shared" si="51"/>
        <v>2.7200000000000002E-2</v>
      </c>
      <c r="R35" s="1476"/>
      <c r="S35" s="1477"/>
      <c r="T35" s="1478"/>
      <c r="U35" s="1478"/>
      <c r="V35" s="1478"/>
      <c r="X35" s="1478"/>
      <c r="Y35" s="1478"/>
      <c r="Z35" s="1478"/>
    </row>
    <row r="36" spans="1:26">
      <c r="A36" s="1463" t="s">
        <v>1176</v>
      </c>
      <c r="B36" s="1479">
        <f t="shared" ref="B36:C38" si="63">B35/(1+N35)</f>
        <v>254.44570563753314</v>
      </c>
      <c r="C36" s="1479">
        <f t="shared" si="63"/>
        <v>207.37543398705074</v>
      </c>
      <c r="D36" s="1479">
        <f t="shared" si="49"/>
        <v>207.37543398705074</v>
      </c>
      <c r="E36" s="1479">
        <f t="shared" ref="E36:F38" si="64">E35/(1+P35)</f>
        <v>352.81876655315932</v>
      </c>
      <c r="F36" s="1479">
        <f t="shared" si="64"/>
        <v>190.809968847352</v>
      </c>
      <c r="G36" s="3355">
        <v>2010</v>
      </c>
      <c r="H36" s="1489">
        <v>3</v>
      </c>
      <c r="I36" s="1489">
        <v>4.7300000000000004</v>
      </c>
      <c r="J36" s="1489">
        <v>3.9</v>
      </c>
      <c r="K36" s="1489">
        <v>5.03</v>
      </c>
      <c r="L36" s="1490">
        <v>4.21</v>
      </c>
      <c r="N36" s="1474">
        <f t="shared" si="51"/>
        <v>4.7300000000000002E-2</v>
      </c>
      <c r="O36" s="1475">
        <f t="shared" si="51"/>
        <v>3.9E-2</v>
      </c>
      <c r="P36" s="1475">
        <f t="shared" si="51"/>
        <v>5.0300000000000004E-2</v>
      </c>
      <c r="Q36" s="1475">
        <f t="shared" si="51"/>
        <v>4.2099999999999999E-2</v>
      </c>
      <c r="R36" s="1476"/>
      <c r="S36" s="1474"/>
      <c r="T36" s="1475"/>
      <c r="U36" s="1475"/>
      <c r="V36" s="1475"/>
    </row>
    <row r="37" spans="1:26">
      <c r="A37" s="1463" t="s">
        <v>1177</v>
      </c>
      <c r="B37" s="1479">
        <f t="shared" si="63"/>
        <v>242.95398227588385</v>
      </c>
      <c r="C37" s="1479">
        <f t="shared" si="63"/>
        <v>199.59137053614126</v>
      </c>
      <c r="D37" s="1479">
        <f t="shared" si="49"/>
        <v>199.59137053614126</v>
      </c>
      <c r="E37" s="1479">
        <f t="shared" si="64"/>
        <v>335.92189522342125</v>
      </c>
      <c r="F37" s="1479">
        <f t="shared" si="64"/>
        <v>183.10139991109489</v>
      </c>
      <c r="G37" s="3355">
        <v>2010</v>
      </c>
      <c r="H37" s="1467">
        <v>2</v>
      </c>
      <c r="I37" s="1467">
        <v>4.6900000000000004</v>
      </c>
      <c r="J37" s="1467">
        <v>3.55</v>
      </c>
      <c r="K37" s="1467">
        <v>5.07</v>
      </c>
      <c r="L37" s="1481">
        <v>4.2300000000000004</v>
      </c>
      <c r="N37" s="1474">
        <f t="shared" si="51"/>
        <v>4.6900000000000004E-2</v>
      </c>
      <c r="O37" s="1475">
        <f t="shared" si="51"/>
        <v>3.5499999999999997E-2</v>
      </c>
      <c r="P37" s="1475">
        <f t="shared" si="51"/>
        <v>5.0700000000000002E-2</v>
      </c>
      <c r="Q37" s="1475">
        <f t="shared" si="51"/>
        <v>4.2300000000000004E-2</v>
      </c>
      <c r="R37" s="1476"/>
      <c r="S37" s="1474"/>
      <c r="T37" s="1475"/>
      <c r="U37" s="1475"/>
      <c r="V37" s="1475"/>
    </row>
    <row r="38" spans="1:26" ht="13.5" thickBot="1">
      <c r="A38" s="1463" t="s">
        <v>1178</v>
      </c>
      <c r="B38" s="1479">
        <f t="shared" si="63"/>
        <v>232.06990378821649</v>
      </c>
      <c r="C38" s="1479">
        <f t="shared" si="63"/>
        <v>192.74878854286936</v>
      </c>
      <c r="D38" s="1479">
        <f t="shared" si="49"/>
        <v>192.74878854286936</v>
      </c>
      <c r="E38" s="1479">
        <f t="shared" si="64"/>
        <v>319.71247284992984</v>
      </c>
      <c r="F38" s="1479">
        <f t="shared" si="64"/>
        <v>175.67053622862409</v>
      </c>
      <c r="G38" s="3356">
        <v>2010</v>
      </c>
      <c r="H38" s="1466">
        <v>1</v>
      </c>
      <c r="I38" s="1466">
        <v>5.4</v>
      </c>
      <c r="J38" s="1466">
        <v>3.2</v>
      </c>
      <c r="K38" s="1466">
        <v>6.16</v>
      </c>
      <c r="L38" s="1480">
        <v>4.51</v>
      </c>
      <c r="N38" s="1474">
        <f t="shared" si="51"/>
        <v>5.4000000000000006E-2</v>
      </c>
      <c r="O38" s="1475">
        <f t="shared" si="51"/>
        <v>3.2000000000000001E-2</v>
      </c>
      <c r="P38" s="1475">
        <f t="shared" si="51"/>
        <v>6.1600000000000002E-2</v>
      </c>
      <c r="Q38" s="1475">
        <f t="shared" si="51"/>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9"/>
        <v>187</v>
      </c>
      <c r="E39" s="1471">
        <v>301</v>
      </c>
      <c r="F39" s="1472">
        <v>168</v>
      </c>
      <c r="G39" s="3354">
        <v>2009</v>
      </c>
      <c r="H39" s="1484">
        <v>4</v>
      </c>
      <c r="I39" s="1484">
        <v>2.2999999999999998</v>
      </c>
      <c r="J39" s="1484">
        <v>1.04</v>
      </c>
      <c r="K39" s="1484">
        <v>2.84</v>
      </c>
      <c r="L39" s="1485">
        <v>0.67</v>
      </c>
      <c r="N39" s="1486">
        <f t="shared" si="51"/>
        <v>2.3E-2</v>
      </c>
      <c r="O39" s="1487">
        <f t="shared" si="51"/>
        <v>1.04E-2</v>
      </c>
      <c r="P39" s="1487">
        <f t="shared" si="51"/>
        <v>2.8399999999999998E-2</v>
      </c>
      <c r="Q39" s="1487">
        <f t="shared" si="51"/>
        <v>6.7000000000000002E-3</v>
      </c>
      <c r="R39" s="1476"/>
      <c r="S39" s="1477"/>
      <c r="T39" s="1478"/>
      <c r="U39" s="1478"/>
      <c r="V39" s="1478"/>
      <c r="X39" s="1478"/>
      <c r="Y39" s="1478"/>
      <c r="Z39" s="1478"/>
    </row>
    <row r="40" spans="1:26">
      <c r="A40" s="1463" t="s">
        <v>1180</v>
      </c>
      <c r="B40" s="1479">
        <f t="shared" ref="B40:C42" si="65">B39/(1+N39)</f>
        <v>215.05376344086022</v>
      </c>
      <c r="C40" s="1479">
        <f t="shared" si="65"/>
        <v>185.0752177355503</v>
      </c>
      <c r="D40" s="1479">
        <f t="shared" si="49"/>
        <v>185.0752177355503</v>
      </c>
      <c r="E40" s="1479">
        <f t="shared" ref="E40:F42" si="66">E39/(1+P39)</f>
        <v>292.68767016725008</v>
      </c>
      <c r="F40" s="1479">
        <f t="shared" si="66"/>
        <v>166.88189132810174</v>
      </c>
      <c r="G40" s="3355">
        <v>2009</v>
      </c>
      <c r="H40" s="1489">
        <v>3</v>
      </c>
      <c r="I40" s="1489">
        <v>2.1</v>
      </c>
      <c r="J40" s="1489">
        <v>1.86</v>
      </c>
      <c r="K40" s="1489">
        <v>2.29</v>
      </c>
      <c r="L40" s="1490">
        <v>0.85</v>
      </c>
      <c r="N40" s="1474">
        <f t="shared" si="51"/>
        <v>2.1000000000000001E-2</v>
      </c>
      <c r="O40" s="1491">
        <f t="shared" si="51"/>
        <v>1.8600000000000002E-2</v>
      </c>
      <c r="P40" s="1491">
        <f t="shared" si="51"/>
        <v>2.29E-2</v>
      </c>
      <c r="Q40" s="1491">
        <f t="shared" si="51"/>
        <v>8.5000000000000006E-3</v>
      </c>
      <c r="R40" s="1476"/>
      <c r="S40" s="1474"/>
      <c r="T40" s="1475"/>
      <c r="U40" s="1475"/>
      <c r="V40" s="1475"/>
    </row>
    <row r="41" spans="1:26">
      <c r="A41" s="1463" t="s">
        <v>1181</v>
      </c>
      <c r="B41" s="1479">
        <f t="shared" si="65"/>
        <v>210.630522469011</v>
      </c>
      <c r="C41" s="1479">
        <f t="shared" si="65"/>
        <v>181.69567812247232</v>
      </c>
      <c r="D41" s="1479">
        <f t="shared" si="49"/>
        <v>181.69567812247232</v>
      </c>
      <c r="E41" s="1479">
        <f t="shared" si="66"/>
        <v>286.13517466736738</v>
      </c>
      <c r="F41" s="1479">
        <f t="shared" si="66"/>
        <v>165.47535084591149</v>
      </c>
      <c r="G41" s="3355">
        <v>2009</v>
      </c>
      <c r="H41" s="1467">
        <v>2</v>
      </c>
      <c r="I41" s="1467">
        <v>0.86</v>
      </c>
      <c r="J41" s="1467">
        <v>-1.1299999999999999</v>
      </c>
      <c r="K41" s="1467">
        <v>1.79</v>
      </c>
      <c r="L41" s="1481">
        <v>-2.0699999999999998</v>
      </c>
      <c r="N41" s="1474">
        <f t="shared" si="51"/>
        <v>8.6E-3</v>
      </c>
      <c r="O41" s="1491">
        <f t="shared" si="51"/>
        <v>-1.1299999999999999E-2</v>
      </c>
      <c r="P41" s="1491">
        <f t="shared" si="51"/>
        <v>1.7899999999999999E-2</v>
      </c>
      <c r="Q41" s="1491">
        <f t="shared" si="51"/>
        <v>-2.07E-2</v>
      </c>
      <c r="R41" s="1476"/>
      <c r="S41" s="1474"/>
      <c r="T41" s="1475"/>
      <c r="U41" s="1475"/>
      <c r="V41" s="1475"/>
    </row>
    <row r="42" spans="1:26">
      <c r="A42" s="1463" t="s">
        <v>1182</v>
      </c>
      <c r="B42" s="1479">
        <f t="shared" si="65"/>
        <v>208.83454537875372</v>
      </c>
      <c r="C42" s="1479">
        <f t="shared" si="65"/>
        <v>183.77230517090351</v>
      </c>
      <c r="D42" s="1479">
        <f t="shared" si="49"/>
        <v>183.77230517090351</v>
      </c>
      <c r="E42" s="1479">
        <f t="shared" si="66"/>
        <v>281.10342338870947</v>
      </c>
      <c r="F42" s="1479">
        <f t="shared" si="66"/>
        <v>168.97309388942256</v>
      </c>
      <c r="G42" s="3356">
        <v>2009</v>
      </c>
      <c r="H42" s="1466">
        <v>1</v>
      </c>
      <c r="I42" s="1466">
        <v>-2.64</v>
      </c>
      <c r="J42" s="1466">
        <v>-2.5299999999999998</v>
      </c>
      <c r="K42" s="1466">
        <v>-3.02</v>
      </c>
      <c r="L42" s="1480">
        <v>1.52</v>
      </c>
      <c r="N42" s="1482">
        <f t="shared" si="51"/>
        <v>-2.64E-2</v>
      </c>
      <c r="O42" s="1483">
        <f t="shared" si="51"/>
        <v>-2.53E-2</v>
      </c>
      <c r="P42" s="1483">
        <f t="shared" si="51"/>
        <v>-3.0200000000000001E-2</v>
      </c>
      <c r="Q42" s="1483">
        <f t="shared" si="51"/>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9"/>
        <v>188</v>
      </c>
      <c r="E43" s="1513">
        <v>289</v>
      </c>
      <c r="F43" s="1514">
        <v>166</v>
      </c>
      <c r="G43" s="3354">
        <v>2008</v>
      </c>
      <c r="H43" s="1484">
        <v>4</v>
      </c>
      <c r="I43" s="1484">
        <v>1.73</v>
      </c>
      <c r="J43" s="1484">
        <v>0.03</v>
      </c>
      <c r="K43" s="1484">
        <v>2.59</v>
      </c>
      <c r="L43" s="1485">
        <v>-1.66</v>
      </c>
      <c r="N43" s="1474">
        <f t="shared" si="51"/>
        <v>1.7299999999999999E-2</v>
      </c>
      <c r="O43" s="1475">
        <f t="shared" si="51"/>
        <v>2.9999999999999997E-4</v>
      </c>
      <c r="P43" s="1475">
        <f t="shared" si="51"/>
        <v>2.5899999999999999E-2</v>
      </c>
      <c r="Q43" s="1475">
        <f t="shared" si="51"/>
        <v>-1.66E-2</v>
      </c>
      <c r="R43" s="1476"/>
      <c r="S43" s="1477"/>
      <c r="T43" s="1478"/>
      <c r="U43" s="1478"/>
      <c r="V43" s="1478"/>
      <c r="X43" s="1478"/>
      <c r="Y43" s="1478"/>
      <c r="Z43" s="1478"/>
    </row>
    <row r="44" spans="1:26">
      <c r="A44" s="1463" t="s">
        <v>1184</v>
      </c>
      <c r="B44" s="1479">
        <f t="shared" ref="B44:C46" si="67">B43/(1+N43)</f>
        <v>210.36075887152265</v>
      </c>
      <c r="C44" s="1479">
        <f t="shared" si="67"/>
        <v>187.94361691492554</v>
      </c>
      <c r="D44" s="1479">
        <f t="shared" si="49"/>
        <v>187.94361691492554</v>
      </c>
      <c r="E44" s="1479">
        <f t="shared" ref="E44:F46" si="68">E43/(1+P43)</f>
        <v>281.70386977288234</v>
      </c>
      <c r="F44" s="1479">
        <f t="shared" si="68"/>
        <v>168.80211511083994</v>
      </c>
      <c r="G44" s="3355">
        <v>2008</v>
      </c>
      <c r="H44" s="1489">
        <v>3</v>
      </c>
      <c r="I44" s="1489">
        <v>1.96</v>
      </c>
      <c r="J44" s="1489">
        <v>2.36</v>
      </c>
      <c r="K44" s="1489">
        <v>1.82</v>
      </c>
      <c r="L44" s="1490">
        <v>2.2200000000000002</v>
      </c>
      <c r="N44" s="1474">
        <f t="shared" si="51"/>
        <v>1.9599999999999999E-2</v>
      </c>
      <c r="O44" s="1475">
        <f t="shared" si="51"/>
        <v>2.3599999999999999E-2</v>
      </c>
      <c r="P44" s="1475">
        <f t="shared" si="51"/>
        <v>1.8200000000000001E-2</v>
      </c>
      <c r="Q44" s="1475">
        <f t="shared" si="51"/>
        <v>2.2200000000000001E-2</v>
      </c>
      <c r="R44" s="1476"/>
      <c r="S44" s="1474"/>
      <c r="T44" s="1475"/>
      <c r="U44" s="1475"/>
      <c r="V44" s="1475"/>
    </row>
    <row r="45" spans="1:26">
      <c r="A45" s="1463" t="s">
        <v>1185</v>
      </c>
      <c r="B45" s="1479">
        <f t="shared" si="67"/>
        <v>206.31694671589116</v>
      </c>
      <c r="C45" s="1479">
        <f t="shared" si="67"/>
        <v>183.61041121036101</v>
      </c>
      <c r="D45" s="1479">
        <f t="shared" si="49"/>
        <v>183.61041121036101</v>
      </c>
      <c r="E45" s="1479">
        <f t="shared" si="68"/>
        <v>276.66850301795557</v>
      </c>
      <c r="F45" s="1479">
        <f t="shared" si="68"/>
        <v>165.1360938278614</v>
      </c>
      <c r="G45" s="3355">
        <v>2008</v>
      </c>
      <c r="H45" s="1467">
        <v>2</v>
      </c>
      <c r="I45" s="1467">
        <v>4.93</v>
      </c>
      <c r="J45" s="1467">
        <v>7.38</v>
      </c>
      <c r="K45" s="1467">
        <v>3.98</v>
      </c>
      <c r="L45" s="1481">
        <v>6.86</v>
      </c>
      <c r="N45" s="1474">
        <f t="shared" si="51"/>
        <v>4.9299999999999997E-2</v>
      </c>
      <c r="O45" s="1475">
        <f t="shared" si="51"/>
        <v>7.3800000000000004E-2</v>
      </c>
      <c r="P45" s="1475">
        <f t="shared" si="51"/>
        <v>3.9800000000000002E-2</v>
      </c>
      <c r="Q45" s="1475">
        <f t="shared" si="51"/>
        <v>6.8600000000000008E-2</v>
      </c>
      <c r="R45" s="1476"/>
      <c r="S45" s="1474"/>
      <c r="T45" s="1475"/>
      <c r="U45" s="1475"/>
      <c r="V45" s="1475"/>
    </row>
    <row r="46" spans="1:26" s="1519" customFormat="1" ht="13.5" thickBot="1">
      <c r="A46" s="1463" t="s">
        <v>1186</v>
      </c>
      <c r="B46" s="1516">
        <f t="shared" si="67"/>
        <v>196.62341248059772</v>
      </c>
      <c r="C46" s="1516">
        <f t="shared" si="67"/>
        <v>170.99125648199012</v>
      </c>
      <c r="D46" s="1516">
        <f t="shared" si="49"/>
        <v>170.99125648199012</v>
      </c>
      <c r="E46" s="1516">
        <f t="shared" si="68"/>
        <v>266.07857570490052</v>
      </c>
      <c r="F46" s="1516">
        <f t="shared" si="68"/>
        <v>154.53499328828505</v>
      </c>
      <c r="G46" s="3356">
        <v>2008</v>
      </c>
      <c r="H46" s="1517">
        <v>1</v>
      </c>
      <c r="I46" s="1517">
        <v>4.1399999999999997</v>
      </c>
      <c r="J46" s="1517">
        <v>3.45</v>
      </c>
      <c r="K46" s="1517">
        <v>4.95</v>
      </c>
      <c r="L46" s="1518">
        <v>4.82</v>
      </c>
      <c r="N46" s="1520">
        <f t="shared" si="51"/>
        <v>4.1399999999999999E-2</v>
      </c>
      <c r="O46" s="1521">
        <f t="shared" si="51"/>
        <v>3.4500000000000003E-2</v>
      </c>
      <c r="P46" s="1521">
        <f t="shared" si="51"/>
        <v>4.9500000000000002E-2</v>
      </c>
      <c r="Q46" s="1521">
        <f t="shared" si="51"/>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9"/>
        <v>165</v>
      </c>
      <c r="E47" s="1471">
        <v>254</v>
      </c>
      <c r="F47" s="1472">
        <v>148</v>
      </c>
      <c r="G47" s="3354">
        <v>2007</v>
      </c>
      <c r="H47" s="1524">
        <v>4</v>
      </c>
      <c r="I47" s="1524">
        <v>5.51</v>
      </c>
      <c r="J47" s="1524">
        <v>4.8899999999999997</v>
      </c>
      <c r="K47" s="1524">
        <v>6.43</v>
      </c>
      <c r="L47" s="1525">
        <v>5.36</v>
      </c>
      <c r="N47" s="1526">
        <f t="shared" ref="N47:O50" si="69">B47/B48-1</f>
        <v>4.1339718365245526E-2</v>
      </c>
      <c r="O47" s="1527">
        <f t="shared" si="69"/>
        <v>4.0324492593776018E-2</v>
      </c>
      <c r="P47" s="1527">
        <f t="shared" ref="P47:Q50" si="70">E47/E48-1</f>
        <v>6.1625555347990968E-2</v>
      </c>
      <c r="Q47" s="1527">
        <f t="shared" si="70"/>
        <v>4.6757569250590603E-2</v>
      </c>
      <c r="R47" s="1476"/>
      <c r="S47" s="1477"/>
      <c r="T47" s="1478"/>
      <c r="U47" s="1478"/>
      <c r="V47" s="1478"/>
      <c r="X47" s="1478"/>
      <c r="Y47" s="1478"/>
      <c r="Z47" s="1478"/>
    </row>
    <row r="48" spans="1:26">
      <c r="A48" s="1463" t="s">
        <v>1188</v>
      </c>
      <c r="B48" s="1479">
        <f t="shared" ref="B48:C50" si="71">B49+(B$47-B$51)*I48/SUM(I$47:I$50)</f>
        <v>180.5366651097618</v>
      </c>
      <c r="C48" s="1479">
        <f t="shared" si="71"/>
        <v>158.60435967302453</v>
      </c>
      <c r="D48" s="1479">
        <f t="shared" si="49"/>
        <v>158.60435967302453</v>
      </c>
      <c r="E48" s="1479">
        <f t="shared" ref="E48:F50" si="72">E49+(E$47-E$51)*K48/SUM(K$47:K$50)</f>
        <v>239.25573260785075</v>
      </c>
      <c r="F48" s="1479">
        <f t="shared" si="72"/>
        <v>141.38899430740037</v>
      </c>
      <c r="G48" s="3355">
        <v>2007</v>
      </c>
      <c r="H48" s="1489">
        <v>3</v>
      </c>
      <c r="I48" s="1489">
        <v>8.65</v>
      </c>
      <c r="J48" s="1489">
        <v>8.06</v>
      </c>
      <c r="K48" s="1489">
        <v>9.94</v>
      </c>
      <c r="L48" s="1490">
        <v>5.8</v>
      </c>
      <c r="N48" s="1526">
        <f t="shared" si="69"/>
        <v>6.940217571740015E-2</v>
      </c>
      <c r="O48" s="1527">
        <f t="shared" si="69"/>
        <v>7.1197482471153428E-2</v>
      </c>
      <c r="P48" s="1527">
        <f t="shared" si="70"/>
        <v>0.10529679922579582</v>
      </c>
      <c r="Q48" s="1527">
        <f t="shared" si="70"/>
        <v>5.3292245059512133E-2</v>
      </c>
      <c r="R48" s="1476"/>
      <c r="S48" s="1474"/>
      <c r="T48" s="1475"/>
      <c r="U48" s="1475"/>
      <c r="V48" s="1475"/>
      <c r="X48" s="1528"/>
      <c r="Y48" s="1528"/>
      <c r="Z48" s="1528"/>
    </row>
    <row r="49" spans="1:26">
      <c r="A49" s="1463" t="s">
        <v>1189</v>
      </c>
      <c r="B49" s="1479">
        <f t="shared" si="71"/>
        <v>168.82017748715555</v>
      </c>
      <c r="C49" s="1479">
        <f t="shared" si="71"/>
        <v>148.06267029972753</v>
      </c>
      <c r="D49" s="1479">
        <f t="shared" si="49"/>
        <v>148.06267029972753</v>
      </c>
      <c r="E49" s="1479">
        <f t="shared" si="72"/>
        <v>216.46288379323747</v>
      </c>
      <c r="F49" s="1479">
        <f t="shared" si="72"/>
        <v>134.23529411764704</v>
      </c>
      <c r="G49" s="3355">
        <v>2007</v>
      </c>
      <c r="H49" s="1467">
        <v>2</v>
      </c>
      <c r="I49" s="1467">
        <v>3.67</v>
      </c>
      <c r="J49" s="1467">
        <v>2.3199999999999998</v>
      </c>
      <c r="K49" s="1467">
        <v>5.0199999999999996</v>
      </c>
      <c r="L49" s="1481">
        <v>6.71</v>
      </c>
      <c r="N49" s="1526">
        <f t="shared" si="69"/>
        <v>3.0339138143848032E-2</v>
      </c>
      <c r="O49" s="1527">
        <f t="shared" si="69"/>
        <v>2.0922341588790472E-2</v>
      </c>
      <c r="P49" s="1527">
        <f t="shared" si="70"/>
        <v>5.6164796592717003E-2</v>
      </c>
      <c r="Q49" s="1527">
        <f t="shared" si="70"/>
        <v>6.5704536723887319E-2</v>
      </c>
      <c r="R49" s="1476"/>
      <c r="S49" s="1474"/>
      <c r="T49" s="1475"/>
      <c r="U49" s="1475"/>
      <c r="V49" s="1475"/>
      <c r="X49" s="1528"/>
      <c r="Y49" s="1528"/>
      <c r="Z49" s="1528"/>
    </row>
    <row r="50" spans="1:26">
      <c r="A50" s="1463" t="s">
        <v>1190</v>
      </c>
      <c r="B50" s="1479">
        <f t="shared" si="71"/>
        <v>163.84913591779542</v>
      </c>
      <c r="C50" s="1479">
        <f t="shared" si="71"/>
        <v>145.0283378746594</v>
      </c>
      <c r="D50" s="1479">
        <f t="shared" si="49"/>
        <v>145.0283378746594</v>
      </c>
      <c r="E50" s="1479">
        <f t="shared" si="72"/>
        <v>204.95180722891567</v>
      </c>
      <c r="F50" s="1479">
        <f t="shared" si="72"/>
        <v>125.95920303605313</v>
      </c>
      <c r="G50" s="3356">
        <v>2007</v>
      </c>
      <c r="H50" s="1466">
        <v>1</v>
      </c>
      <c r="I50" s="1466">
        <v>3.58</v>
      </c>
      <c r="J50" s="1466">
        <v>3.08</v>
      </c>
      <c r="K50" s="1466">
        <v>4.34</v>
      </c>
      <c r="L50" s="1480">
        <v>3.21</v>
      </c>
      <c r="N50" s="1529">
        <f t="shared" si="69"/>
        <v>3.0497710174814063E-2</v>
      </c>
      <c r="O50" s="1530">
        <f t="shared" si="69"/>
        <v>2.8569772160704998E-2</v>
      </c>
      <c r="P50" s="1530">
        <f t="shared" si="70"/>
        <v>5.1034908866234296E-2</v>
      </c>
      <c r="Q50" s="1530">
        <f t="shared" si="70"/>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9"/>
        <v>141</v>
      </c>
      <c r="E51" s="1492">
        <v>195</v>
      </c>
      <c r="F51" s="1493">
        <v>122</v>
      </c>
      <c r="G51" s="3354">
        <v>2006</v>
      </c>
      <c r="H51" s="1484">
        <v>4</v>
      </c>
      <c r="I51" s="1484">
        <v>3.79</v>
      </c>
      <c r="J51" s="1484">
        <v>2.21</v>
      </c>
      <c r="K51" s="1484">
        <v>5.65</v>
      </c>
      <c r="L51" s="1485">
        <v>5.41</v>
      </c>
      <c r="N51" s="1526">
        <f t="shared" ref="N51:O54" si="73">I51/SUM(I$51:I$54)*(B$51/B$55-1)</f>
        <v>7.245466462748526E-2</v>
      </c>
      <c r="O51" s="1527">
        <f t="shared" si="73"/>
        <v>2.3237230038062766E-2</v>
      </c>
      <c r="P51" s="1527">
        <f t="shared" ref="P51:Q54" si="74">K51/SUM(K$51:K$54)*(E$51/E$55-1)</f>
        <v>0.16146893866323722</v>
      </c>
      <c r="Q51" s="1527">
        <f t="shared" si="74"/>
        <v>5.0755230321793784E-2</v>
      </c>
      <c r="R51" s="1476"/>
      <c r="S51" s="1477"/>
      <c r="T51" s="1478"/>
      <c r="U51" s="1478"/>
      <c r="V51" s="1478"/>
      <c r="X51" s="1528"/>
      <c r="Y51" s="1528"/>
      <c r="Z51" s="1528"/>
    </row>
    <row r="52" spans="1:26">
      <c r="A52" s="1463" t="s">
        <v>1192</v>
      </c>
      <c r="B52" s="1479">
        <f t="shared" ref="B52:C54" si="75">B53+(B$51-B$55)*I52/SUM(I$51:I$54)</f>
        <v>149.00125628140702</v>
      </c>
      <c r="C52" s="1479">
        <f t="shared" si="75"/>
        <v>137.95592286501378</v>
      </c>
      <c r="D52" s="1479">
        <f t="shared" si="49"/>
        <v>137.95592286501378</v>
      </c>
      <c r="E52" s="1479">
        <f t="shared" ref="E52:F54" si="76">E53+(E$51-E$55)*K52/SUM(K$51:K$54)</f>
        <v>169.97231450719823</v>
      </c>
      <c r="F52" s="1479">
        <f t="shared" si="76"/>
        <v>116.21390374331551</v>
      </c>
      <c r="G52" s="3355">
        <v>2006</v>
      </c>
      <c r="H52" s="1489">
        <v>3</v>
      </c>
      <c r="I52" s="1489">
        <v>0.92</v>
      </c>
      <c r="J52" s="1489">
        <v>1.08</v>
      </c>
      <c r="K52" s="1489">
        <v>0.73</v>
      </c>
      <c r="L52" s="1490">
        <v>1.08</v>
      </c>
      <c r="N52" s="1526">
        <f t="shared" si="73"/>
        <v>1.7587939698492462E-2</v>
      </c>
      <c r="O52" s="1527">
        <f t="shared" si="73"/>
        <v>1.1355750425840628E-2</v>
      </c>
      <c r="P52" s="1527">
        <f t="shared" si="74"/>
        <v>2.0862358446754544E-2</v>
      </c>
      <c r="Q52" s="1527">
        <f t="shared" si="74"/>
        <v>1.0132282578103011E-2</v>
      </c>
      <c r="R52" s="1476"/>
      <c r="S52" s="1474"/>
      <c r="T52" s="1475"/>
      <c r="U52" s="1475"/>
      <c r="V52" s="1475"/>
      <c r="X52" s="1528"/>
      <c r="Y52" s="1528"/>
      <c r="Z52" s="1528"/>
    </row>
    <row r="53" spans="1:26">
      <c r="A53" s="1463" t="s">
        <v>1193</v>
      </c>
      <c r="B53" s="1479">
        <f t="shared" si="75"/>
        <v>146.57412060301507</v>
      </c>
      <c r="C53" s="1479">
        <f t="shared" si="75"/>
        <v>136.46831955922866</v>
      </c>
      <c r="D53" s="1479">
        <f t="shared" si="49"/>
        <v>136.46831955922866</v>
      </c>
      <c r="E53" s="1479">
        <f t="shared" si="76"/>
        <v>166.73864894795128</v>
      </c>
      <c r="F53" s="1479">
        <f t="shared" si="76"/>
        <v>115.05882352941177</v>
      </c>
      <c r="G53" s="3355">
        <v>2006</v>
      </c>
      <c r="H53" s="1467">
        <v>2</v>
      </c>
      <c r="I53" s="1467">
        <v>0.96</v>
      </c>
      <c r="J53" s="1467">
        <v>0.25</v>
      </c>
      <c r="K53" s="1467">
        <v>1.9</v>
      </c>
      <c r="L53" s="1481">
        <v>0.95</v>
      </c>
      <c r="N53" s="1526">
        <f t="shared" si="73"/>
        <v>1.8352632728861701E-2</v>
      </c>
      <c r="O53" s="1527">
        <f t="shared" si="73"/>
        <v>2.6286459319075526E-3</v>
      </c>
      <c r="P53" s="1527">
        <f t="shared" si="74"/>
        <v>5.4299289107991269E-2</v>
      </c>
      <c r="Q53" s="1527">
        <f t="shared" si="74"/>
        <v>8.9126559714794995E-3</v>
      </c>
      <c r="R53" s="1476"/>
      <c r="S53" s="1474"/>
      <c r="T53" s="1475"/>
      <c r="U53" s="1475"/>
      <c r="V53" s="1475"/>
      <c r="X53" s="1528"/>
      <c r="Y53" s="1528"/>
      <c r="Z53" s="1528"/>
    </row>
    <row r="54" spans="1:26">
      <c r="A54" s="1463" t="s">
        <v>1194</v>
      </c>
      <c r="B54" s="1479">
        <f t="shared" si="75"/>
        <v>144.04145728643215</v>
      </c>
      <c r="C54" s="1479">
        <f t="shared" si="75"/>
        <v>136.12396694214877</v>
      </c>
      <c r="D54" s="1479">
        <f t="shared" si="49"/>
        <v>136.12396694214877</v>
      </c>
      <c r="E54" s="1479">
        <f t="shared" si="76"/>
        <v>158.32225913621264</v>
      </c>
      <c r="F54" s="1479">
        <f t="shared" si="76"/>
        <v>114.04278074866311</v>
      </c>
      <c r="G54" s="3356">
        <v>2006</v>
      </c>
      <c r="H54" s="1466">
        <v>1</v>
      </c>
      <c r="I54" s="1466">
        <v>2.29</v>
      </c>
      <c r="J54" s="1466">
        <v>3.72</v>
      </c>
      <c r="K54" s="1466">
        <v>0.75</v>
      </c>
      <c r="L54" s="1480">
        <v>0.04</v>
      </c>
      <c r="N54" s="1529">
        <f t="shared" si="73"/>
        <v>4.3778675988638847E-2</v>
      </c>
      <c r="O54" s="1530">
        <f t="shared" si="73"/>
        <v>3.9114251466784385E-2</v>
      </c>
      <c r="P54" s="1530">
        <f t="shared" si="74"/>
        <v>2.1433929911049188E-2</v>
      </c>
      <c r="Q54" s="1530">
        <f t="shared" si="74"/>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9"/>
        <v>131</v>
      </c>
      <c r="E55" s="1492">
        <v>155</v>
      </c>
      <c r="F55" s="1493">
        <v>114</v>
      </c>
      <c r="G55" s="3354">
        <v>2005</v>
      </c>
      <c r="H55" s="1484">
        <v>4</v>
      </c>
      <c r="I55" s="1484">
        <v>3.29</v>
      </c>
      <c r="J55" s="1484">
        <v>1.44</v>
      </c>
      <c r="K55" s="1484">
        <v>0.66</v>
      </c>
      <c r="L55" s="1485">
        <v>7.78</v>
      </c>
      <c r="N55" s="1526">
        <f t="shared" ref="N55:O58" si="77">I55/SUM(I$55:I$58)*(B$55/B$59-1)</f>
        <v>9.9404603216919935E-2</v>
      </c>
      <c r="O55" s="1527">
        <f t="shared" si="77"/>
        <v>4.7636550760861554E-2</v>
      </c>
      <c r="P55" s="1527">
        <f t="shared" ref="P55:Q58" si="78">K55/SUM(K$55:K$58)*(E$55/E$59-1)</f>
        <v>8.3756345177664976E-2</v>
      </c>
      <c r="Q55" s="1527">
        <f t="shared" si="78"/>
        <v>5.2148766661559584E-2</v>
      </c>
      <c r="R55" s="1476"/>
      <c r="S55" s="1477"/>
      <c r="T55" s="1478"/>
      <c r="U55" s="1478"/>
      <c r="V55" s="1478"/>
      <c r="X55" s="1528"/>
      <c r="Y55" s="1528"/>
      <c r="Z55" s="1528"/>
    </row>
    <row r="56" spans="1:26">
      <c r="A56" s="1463" t="s">
        <v>1196</v>
      </c>
      <c r="B56" s="1479">
        <f t="shared" ref="B56:C58" si="79">B57+(B$55-B$59)*I56/SUM(I$55:I$58)</f>
        <v>125.9720430107527</v>
      </c>
      <c r="C56" s="1479">
        <f t="shared" si="79"/>
        <v>125.1883408071749</v>
      </c>
      <c r="D56" s="1479">
        <f t="shared" si="49"/>
        <v>125.1883408071749</v>
      </c>
      <c r="E56" s="1479">
        <f t="shared" ref="E56:F58" si="80">E57+(E$55-E$59)*K56/SUM(K$55:K$58)</f>
        <v>144.61421319796952</v>
      </c>
      <c r="F56" s="1479">
        <f t="shared" si="80"/>
        <v>108.42008196721311</v>
      </c>
      <c r="G56" s="3355">
        <v>2005</v>
      </c>
      <c r="H56" s="1489">
        <v>3</v>
      </c>
      <c r="I56" s="1489">
        <v>0.46</v>
      </c>
      <c r="J56" s="1489">
        <v>0.32</v>
      </c>
      <c r="K56" s="1489">
        <v>0.42</v>
      </c>
      <c r="L56" s="1490">
        <v>0.64</v>
      </c>
      <c r="N56" s="1526">
        <f t="shared" si="77"/>
        <v>1.3898515951301874E-2</v>
      </c>
      <c r="O56" s="1527">
        <f t="shared" si="77"/>
        <v>1.0585900169080346E-2</v>
      </c>
      <c r="P56" s="1527">
        <f t="shared" si="78"/>
        <v>5.3299492385786795E-2</v>
      </c>
      <c r="Q56" s="1527">
        <f t="shared" si="78"/>
        <v>4.2898728359123568E-3</v>
      </c>
      <c r="R56" s="1476"/>
      <c r="S56" s="1474"/>
      <c r="T56" s="1475"/>
      <c r="U56" s="1475"/>
      <c r="V56" s="1475"/>
      <c r="X56" s="1528"/>
      <c r="Y56" s="1528"/>
      <c r="Z56" s="1528"/>
    </row>
    <row r="57" spans="1:26">
      <c r="A57" s="1463" t="s">
        <v>1197</v>
      </c>
      <c r="B57" s="1479">
        <f t="shared" si="79"/>
        <v>124.29032258064517</v>
      </c>
      <c r="C57" s="1479">
        <f t="shared" si="79"/>
        <v>123.8968609865471</v>
      </c>
      <c r="D57" s="1479">
        <f t="shared" si="49"/>
        <v>123.8968609865471</v>
      </c>
      <c r="E57" s="1479">
        <f t="shared" si="80"/>
        <v>138.00507614213197</v>
      </c>
      <c r="F57" s="1479">
        <f t="shared" si="80"/>
        <v>107.96106557377048</v>
      </c>
      <c r="G57" s="3355">
        <v>2005</v>
      </c>
      <c r="H57" s="1467">
        <v>2</v>
      </c>
      <c r="I57" s="1467">
        <v>0.47</v>
      </c>
      <c r="J57" s="1467">
        <v>0.1</v>
      </c>
      <c r="K57" s="1467">
        <v>0.52</v>
      </c>
      <c r="L57" s="1481">
        <v>0.79</v>
      </c>
      <c r="N57" s="1526">
        <f t="shared" si="77"/>
        <v>1.420065760241713E-2</v>
      </c>
      <c r="O57" s="1527">
        <f t="shared" si="77"/>
        <v>3.3080938028376083E-3</v>
      </c>
      <c r="P57" s="1527">
        <f t="shared" si="78"/>
        <v>6.598984771573603E-2</v>
      </c>
      <c r="Q57" s="1527">
        <f t="shared" si="78"/>
        <v>5.2953117818293153E-3</v>
      </c>
      <c r="R57" s="1476"/>
      <c r="S57" s="1474"/>
      <c r="T57" s="1475"/>
      <c r="U57" s="1475"/>
      <c r="V57" s="1475"/>
      <c r="X57" s="1528"/>
      <c r="Y57" s="1528"/>
      <c r="Z57" s="1528"/>
    </row>
    <row r="58" spans="1:26">
      <c r="A58" s="1463" t="s">
        <v>1198</v>
      </c>
      <c r="B58" s="1479">
        <f t="shared" si="79"/>
        <v>122.57204301075269</v>
      </c>
      <c r="C58" s="1479">
        <f t="shared" si="79"/>
        <v>123.4932735426009</v>
      </c>
      <c r="D58" s="1479">
        <f t="shared" si="49"/>
        <v>123.4932735426009</v>
      </c>
      <c r="E58" s="1479">
        <f t="shared" si="80"/>
        <v>129.82233502538071</v>
      </c>
      <c r="F58" s="1479">
        <f t="shared" si="80"/>
        <v>107.39446721311475</v>
      </c>
      <c r="G58" s="3356">
        <v>2005</v>
      </c>
      <c r="H58" s="1466">
        <v>1</v>
      </c>
      <c r="I58" s="1466">
        <v>0.43</v>
      </c>
      <c r="J58" s="1466">
        <v>0.37</v>
      </c>
      <c r="K58" s="1466">
        <v>0.37</v>
      </c>
      <c r="L58" s="1480">
        <v>0.55000000000000004</v>
      </c>
      <c r="N58" s="1529">
        <f t="shared" si="77"/>
        <v>1.2992090997956099E-2</v>
      </c>
      <c r="O58" s="1530">
        <f t="shared" si="77"/>
        <v>1.2239947070499151E-2</v>
      </c>
      <c r="P58" s="1530">
        <f t="shared" si="78"/>
        <v>4.6954314720812178E-2</v>
      </c>
      <c r="Q58" s="1530">
        <f t="shared" si="78"/>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9"/>
        <v>122</v>
      </c>
      <c r="E59" s="1513">
        <v>124</v>
      </c>
      <c r="F59" s="1514">
        <v>107</v>
      </c>
      <c r="G59" s="3354">
        <v>2004</v>
      </c>
      <c r="H59" s="1484">
        <v>4</v>
      </c>
      <c r="I59" s="1484">
        <v>0.33</v>
      </c>
      <c r="J59" s="1484">
        <v>0.5</v>
      </c>
      <c r="K59" s="1484">
        <v>0.5</v>
      </c>
      <c r="L59" s="1485">
        <v>0</v>
      </c>
      <c r="N59" s="1526">
        <f t="shared" ref="N59:O62" si="81">I59/SUM(I$59:I$62)*(B$59/B$63-1)</f>
        <v>1.3391770148526898E-2</v>
      </c>
      <c r="O59" s="1527">
        <f t="shared" si="81"/>
        <v>1.063264221158958E-2</v>
      </c>
      <c r="P59" s="1527">
        <f t="shared" ref="P59:Q62" si="82">K59/SUM(K$59:K$62)*(E$59/E$63-1)</f>
        <v>2.2244466688911134E-2</v>
      </c>
      <c r="Q59" s="1527">
        <f t="shared" si="82"/>
        <v>0</v>
      </c>
      <c r="R59" s="1476"/>
      <c r="S59" s="1477"/>
      <c r="T59" s="1478"/>
      <c r="U59" s="1478"/>
      <c r="V59" s="1478"/>
      <c r="X59" s="1528"/>
      <c r="Y59" s="1528"/>
      <c r="Z59" s="1528"/>
    </row>
    <row r="60" spans="1:26">
      <c r="A60" s="1463" t="s">
        <v>1200</v>
      </c>
      <c r="B60" s="1479">
        <f t="shared" ref="B60:C62" si="83">B61+(B$59-B$63)*I60/SUM(I$59:I$62)</f>
        <v>119.51351351351352</v>
      </c>
      <c r="C60" s="1479">
        <f t="shared" si="83"/>
        <v>120.7878787878788</v>
      </c>
      <c r="D60" s="1479">
        <f t="shared" si="49"/>
        <v>120.7878787878788</v>
      </c>
      <c r="E60" s="1479">
        <f t="shared" ref="E60:F62" si="84">E61+(E$59-E$63)*K60/SUM(K$59:K$62)</f>
        <v>121.5975975975976</v>
      </c>
      <c r="F60" s="1479">
        <f t="shared" si="84"/>
        <v>107</v>
      </c>
      <c r="G60" s="3355">
        <v>2004</v>
      </c>
      <c r="H60" s="1489">
        <v>3</v>
      </c>
      <c r="I60" s="1489">
        <v>0.56000000000000005</v>
      </c>
      <c r="J60" s="1489">
        <v>0.8</v>
      </c>
      <c r="K60" s="1489">
        <v>0.83</v>
      </c>
      <c r="L60" s="1490">
        <v>0.06</v>
      </c>
      <c r="N60" s="1526">
        <f t="shared" si="81"/>
        <v>2.2725428130833527E-2</v>
      </c>
      <c r="O60" s="1527">
        <f t="shared" si="81"/>
        <v>1.7012227538543329E-2</v>
      </c>
      <c r="P60" s="1527">
        <f t="shared" si="82"/>
        <v>3.6925814703592477E-2</v>
      </c>
      <c r="Q60" s="1527">
        <f t="shared" si="82"/>
        <v>2.8846153846153744E-2</v>
      </c>
      <c r="R60" s="1476"/>
      <c r="S60" s="1474"/>
      <c r="T60" s="1475"/>
      <c r="U60" s="1475"/>
      <c r="V60" s="1475"/>
      <c r="X60" s="1528"/>
      <c r="Y60" s="1528"/>
      <c r="Z60" s="1528"/>
    </row>
    <row r="61" spans="1:26">
      <c r="A61" s="1463" t="s">
        <v>1201</v>
      </c>
      <c r="B61" s="1479">
        <f t="shared" si="83"/>
        <v>116.99099099099099</v>
      </c>
      <c r="C61" s="1479">
        <f t="shared" si="83"/>
        <v>118.84848484848486</v>
      </c>
      <c r="D61" s="1479">
        <f t="shared" si="49"/>
        <v>118.84848484848486</v>
      </c>
      <c r="E61" s="1479">
        <f t="shared" si="84"/>
        <v>117.60960960960961</v>
      </c>
      <c r="F61" s="1479">
        <f t="shared" si="84"/>
        <v>104</v>
      </c>
      <c r="G61" s="3355">
        <v>2004</v>
      </c>
      <c r="H61" s="1467">
        <v>2</v>
      </c>
      <c r="I61" s="1467">
        <v>1</v>
      </c>
      <c r="J61" s="1467">
        <v>1.5</v>
      </c>
      <c r="K61" s="1467">
        <v>1.5</v>
      </c>
      <c r="L61" s="1481">
        <v>0</v>
      </c>
      <c r="N61" s="1526">
        <f t="shared" si="81"/>
        <v>4.0581121662202721E-2</v>
      </c>
      <c r="O61" s="1527">
        <f t="shared" si="81"/>
        <v>3.1897926634768738E-2</v>
      </c>
      <c r="P61" s="1527">
        <f t="shared" si="82"/>
        <v>6.6733400066733395E-2</v>
      </c>
      <c r="Q61" s="1527">
        <f t="shared" si="82"/>
        <v>0</v>
      </c>
      <c r="R61" s="1476"/>
      <c r="S61" s="1474"/>
      <c r="T61" s="1475"/>
      <c r="U61" s="1475"/>
      <c r="V61" s="1475"/>
      <c r="X61" s="1528"/>
      <c r="Y61" s="1528"/>
      <c r="Z61" s="1528"/>
    </row>
    <row r="62" spans="1:26" s="1519" customFormat="1" ht="13.5" thickBot="1">
      <c r="A62" s="1463" t="s">
        <v>1202</v>
      </c>
      <c r="B62" s="1516">
        <f t="shared" si="83"/>
        <v>112.48648648648648</v>
      </c>
      <c r="C62" s="1516">
        <f t="shared" si="83"/>
        <v>115.21212121212122</v>
      </c>
      <c r="D62" s="1516">
        <f t="shared" si="49"/>
        <v>115.21212121212122</v>
      </c>
      <c r="E62" s="1516">
        <f t="shared" si="84"/>
        <v>110.4024024024024</v>
      </c>
      <c r="F62" s="1516">
        <f t="shared" si="84"/>
        <v>104</v>
      </c>
      <c r="G62" s="3356">
        <v>2004</v>
      </c>
      <c r="H62" s="1517">
        <v>1</v>
      </c>
      <c r="I62" s="1517">
        <v>0.33</v>
      </c>
      <c r="J62" s="1517">
        <v>0.5</v>
      </c>
      <c r="K62" s="1517">
        <v>0.5</v>
      </c>
      <c r="L62" s="1518">
        <v>0</v>
      </c>
      <c r="N62" s="1531">
        <f t="shared" si="81"/>
        <v>1.3391770148526898E-2</v>
      </c>
      <c r="O62" s="1532">
        <f t="shared" si="81"/>
        <v>1.063264221158958E-2</v>
      </c>
      <c r="P62" s="1532">
        <f t="shared" si="82"/>
        <v>2.2244466688911134E-2</v>
      </c>
      <c r="Q62" s="1532">
        <f t="shared" si="82"/>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9"/>
        <v>114</v>
      </c>
      <c r="E63" s="1534">
        <v>108</v>
      </c>
      <c r="F63" s="1535">
        <v>104</v>
      </c>
      <c r="G63" s="3354">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5">B65+(B$63-B$67)/4</f>
        <v>109.75</v>
      </c>
      <c r="C64" s="1538">
        <f t="shared" si="85"/>
        <v>112.25</v>
      </c>
      <c r="D64" s="1538">
        <f t="shared" si="49"/>
        <v>112.25</v>
      </c>
      <c r="E64" s="1538">
        <f t="shared" ref="E64:F66" si="86">E65+(E$63-E$67)/4</f>
        <v>107.25</v>
      </c>
      <c r="F64" s="1538">
        <f t="shared" si="86"/>
        <v>103.5</v>
      </c>
      <c r="G64" s="3355">
        <v>2003</v>
      </c>
      <c r="H64" s="1489">
        <v>3</v>
      </c>
      <c r="I64" s="1536"/>
      <c r="J64" s="1536"/>
      <c r="K64" s="1536"/>
      <c r="L64" s="1536"/>
      <c r="X64" s="1528"/>
      <c r="Y64" s="1528"/>
      <c r="Z64" s="1528"/>
    </row>
    <row r="65" spans="1:26">
      <c r="A65" s="1463" t="s">
        <v>1205</v>
      </c>
      <c r="B65" s="1538">
        <f t="shared" si="85"/>
        <v>108.5</v>
      </c>
      <c r="C65" s="1538">
        <f t="shared" si="85"/>
        <v>110.5</v>
      </c>
      <c r="D65" s="1538">
        <f t="shared" si="49"/>
        <v>110.5</v>
      </c>
      <c r="E65" s="1538">
        <f t="shared" si="86"/>
        <v>106.5</v>
      </c>
      <c r="F65" s="1538">
        <f t="shared" si="86"/>
        <v>103</v>
      </c>
      <c r="G65" s="3355">
        <v>2003</v>
      </c>
      <c r="H65" s="1467">
        <v>2</v>
      </c>
      <c r="I65" s="1536"/>
      <c r="J65" s="1536"/>
      <c r="K65" s="1536"/>
      <c r="L65" s="1536"/>
      <c r="X65" s="1528"/>
      <c r="Y65" s="1528"/>
      <c r="Z65" s="1528"/>
    </row>
    <row r="66" spans="1:26" ht="13.5" thickBot="1">
      <c r="A66" s="1463" t="s">
        <v>1206</v>
      </c>
      <c r="B66" s="1538">
        <f t="shared" si="85"/>
        <v>107.25</v>
      </c>
      <c r="C66" s="1538">
        <f t="shared" si="85"/>
        <v>108.75</v>
      </c>
      <c r="D66" s="1538">
        <f t="shared" si="49"/>
        <v>108.75</v>
      </c>
      <c r="E66" s="1538">
        <f t="shared" si="86"/>
        <v>105.75</v>
      </c>
      <c r="F66" s="1538">
        <f t="shared" si="86"/>
        <v>102.5</v>
      </c>
      <c r="G66" s="3356">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9"/>
        <v>107</v>
      </c>
      <c r="E67" s="1540">
        <v>105</v>
      </c>
      <c r="F67" s="1541">
        <v>102</v>
      </c>
      <c r="G67" s="3354">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7">B69+(B$67-B$71)/4</f>
        <v>105</v>
      </c>
      <c r="C68" s="1538">
        <f t="shared" si="87"/>
        <v>106</v>
      </c>
      <c r="D68" s="1538">
        <f t="shared" si="49"/>
        <v>106</v>
      </c>
      <c r="E68" s="1538">
        <f t="shared" ref="E68:F70" si="88">E69+(E$67-E$71)/4</f>
        <v>104.5</v>
      </c>
      <c r="F68" s="1538">
        <f t="shared" si="88"/>
        <v>101.5</v>
      </c>
      <c r="G68" s="3355">
        <v>2002</v>
      </c>
      <c r="H68" s="1489">
        <v>3</v>
      </c>
      <c r="I68" s="1536"/>
      <c r="J68" s="1536"/>
      <c r="K68" s="1536"/>
      <c r="L68" s="1536"/>
      <c r="X68" s="1528"/>
      <c r="Y68" s="1528"/>
      <c r="Z68" s="1528"/>
    </row>
    <row r="69" spans="1:26">
      <c r="A69" s="1463" t="s">
        <v>1209</v>
      </c>
      <c r="B69" s="1538">
        <f t="shared" si="87"/>
        <v>104</v>
      </c>
      <c r="C69" s="1538">
        <f t="shared" si="87"/>
        <v>105</v>
      </c>
      <c r="D69" s="1538">
        <f t="shared" si="49"/>
        <v>105</v>
      </c>
      <c r="E69" s="1538">
        <f t="shared" si="88"/>
        <v>104</v>
      </c>
      <c r="F69" s="1538">
        <f t="shared" si="88"/>
        <v>101</v>
      </c>
      <c r="G69" s="3355">
        <v>2002</v>
      </c>
      <c r="H69" s="1467">
        <v>2</v>
      </c>
      <c r="I69" s="1536"/>
      <c r="J69" s="1536"/>
      <c r="K69" s="1536"/>
      <c r="L69" s="1536"/>
      <c r="X69" s="1528"/>
      <c r="Y69" s="1528"/>
      <c r="Z69" s="1528"/>
    </row>
    <row r="70" spans="1:26" s="1500" customFormat="1" ht="13.5" thickBot="1">
      <c r="A70" s="1496" t="s">
        <v>1210</v>
      </c>
      <c r="B70" s="1542">
        <f t="shared" si="87"/>
        <v>103</v>
      </c>
      <c r="C70" s="1542">
        <f t="shared" si="87"/>
        <v>104</v>
      </c>
      <c r="D70" s="1542">
        <f t="shared" si="49"/>
        <v>104</v>
      </c>
      <c r="E70" s="1542">
        <f t="shared" si="88"/>
        <v>103.5</v>
      </c>
      <c r="F70" s="1542">
        <f t="shared" si="88"/>
        <v>100.5</v>
      </c>
      <c r="G70" s="3356">
        <v>2002</v>
      </c>
      <c r="H70" s="1543">
        <v>1</v>
      </c>
      <c r="I70" s="1544"/>
      <c r="J70" s="1544"/>
      <c r="K70" s="1544"/>
      <c r="L70" s="1544"/>
      <c r="N70" s="1545"/>
      <c r="S70" s="1545"/>
      <c r="X70" s="1546"/>
      <c r="Y70" s="1546"/>
      <c r="Z70" s="1546"/>
    </row>
    <row r="71" spans="1:26" ht="13.5" thickBot="1">
      <c r="B71" s="1547">
        <v>102</v>
      </c>
      <c r="C71" s="1548">
        <v>103</v>
      </c>
      <c r="D71" s="1548">
        <f t="shared" si="49"/>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117" activePane="bottomLeft" state="frozen"/>
      <selection activeCell="C50" sqref="C50"/>
      <selection pane="bottomLeft" activeCell="J130" sqref="J130"/>
    </sheetView>
  </sheetViews>
  <sheetFormatPr defaultRowHeight="12.75"/>
  <cols>
    <col min="1" max="1" width="31" style="139" customWidth="1"/>
    <col min="2" max="2" width="9.25" style="27" customWidth="1"/>
    <col min="3" max="3" width="6.3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3005</v>
      </c>
      <c r="C1" s="3363" t="s">
        <v>3006</v>
      </c>
      <c r="D1" s="3364"/>
      <c r="E1" s="3364"/>
      <c r="F1" s="3364"/>
      <c r="G1" s="3364"/>
      <c r="H1" s="3364"/>
      <c r="I1" s="3364"/>
      <c r="J1" s="3364"/>
      <c r="K1" s="3364"/>
      <c r="L1" s="3364"/>
      <c r="M1" s="3364"/>
      <c r="N1" s="3364"/>
      <c r="O1" s="3364"/>
      <c r="P1" s="3364"/>
      <c r="Q1" s="3364"/>
      <c r="R1" s="3364"/>
      <c r="S1" s="3365"/>
      <c r="T1" s="1206" t="s">
        <v>3007</v>
      </c>
    </row>
    <row r="2" spans="1:45" s="706" customFormat="1" ht="38.25">
      <c r="A2" s="1207"/>
      <c r="B2" s="702" t="s">
        <v>3008</v>
      </c>
      <c r="C2" s="703" t="str">
        <f t="shared" ref="C2:L2" si="0">C3&amp;"(含)"&amp;"-"&amp;D3</f>
        <v>0(含)-100</v>
      </c>
      <c r="D2" s="704" t="str">
        <f t="shared" si="0"/>
        <v>100(含)-200</v>
      </c>
      <c r="E2" s="704" t="str">
        <f t="shared" si="0"/>
        <v>200(含)-300</v>
      </c>
      <c r="F2" s="704" t="str">
        <f t="shared" si="0"/>
        <v>300(含)-400</v>
      </c>
      <c r="G2" s="704" t="str">
        <f t="shared" si="0"/>
        <v>400(含)-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v>
      </c>
      <c r="E3" s="709">
        <v>200</v>
      </c>
      <c r="F3" s="1706">
        <v>300</v>
      </c>
      <c r="G3" s="1706">
        <v>400</v>
      </c>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99</v>
      </c>
      <c r="E4" s="1213">
        <v>98</v>
      </c>
      <c r="F4" s="1710">
        <v>97</v>
      </c>
      <c r="G4" s="1710">
        <v>96</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3009</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3010</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3011</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3015</v>
      </c>
      <c r="B17" s="2917" t="s">
        <v>3016</v>
      </c>
      <c r="C17" s="1233" t="s">
        <v>3124</v>
      </c>
      <c r="D17" s="1234" t="s">
        <v>3185</v>
      </c>
      <c r="E17" s="1234" t="s">
        <v>3125</v>
      </c>
      <c r="F17" s="1234" t="s">
        <v>3126</v>
      </c>
      <c r="G17" s="1234" t="s">
        <v>3186</v>
      </c>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3004">
        <v>85</v>
      </c>
      <c r="E18" s="1246">
        <v>70</v>
      </c>
      <c r="F18" s="1246">
        <v>60</v>
      </c>
      <c r="G18" s="1246">
        <v>50</v>
      </c>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8" t="s">
        <v>3017</v>
      </c>
      <c r="E19" s="1794"/>
      <c r="F19" s="1794"/>
      <c r="G19" s="1794"/>
      <c r="H19" s="1282"/>
      <c r="I19" s="168"/>
      <c r="J19" s="168"/>
      <c r="K19" s="168"/>
      <c r="L19" s="168"/>
      <c r="M19" s="168"/>
      <c r="N19" s="168"/>
      <c r="O19" s="168"/>
      <c r="P19" s="168"/>
      <c r="Q19" s="168"/>
      <c r="R19" s="787"/>
      <c r="S19" s="138"/>
    </row>
    <row r="20" spans="1:45" ht="16.5" thickBot="1">
      <c r="A20" s="714" t="s">
        <v>3018</v>
      </c>
      <c r="B20" s="338">
        <f ca="1">IF(D20="——",S22,S22-F20)</f>
        <v>33963</v>
      </c>
      <c r="C20" s="168"/>
      <c r="D20" s="2919" t="s">
        <v>70</v>
      </c>
      <c r="E20" s="1795"/>
      <c r="F20" s="1206">
        <f ca="1">SUMIF(INDIRECT("'"&amp;H20&amp;"'"&amp;"!A:A"),"承租人权益价值",INDIRECT("'"&amp;H20&amp;"'"&amp;"!c:c"))</f>
        <v>0</v>
      </c>
      <c r="G20" s="1206" t="s">
        <v>3019</v>
      </c>
      <c r="H20" s="2920" t="s">
        <v>3129</v>
      </c>
      <c r="I20" s="168"/>
      <c r="J20" s="168"/>
      <c r="K20" s="168"/>
      <c r="L20" s="168"/>
      <c r="M20" s="168"/>
      <c r="N20" s="168"/>
      <c r="O20" s="168"/>
      <c r="P20" s="168"/>
      <c r="Q20" s="168"/>
      <c r="R20" s="787"/>
      <c r="S20" s="138"/>
    </row>
    <row r="21" spans="1:45" ht="15.75">
      <c r="A21" s="714" t="s">
        <v>3020</v>
      </c>
      <c r="B21" s="338">
        <f ca="1">R22</f>
        <v>25523</v>
      </c>
      <c r="C21" s="168"/>
      <c r="D21" s="168"/>
      <c r="E21" s="168"/>
      <c r="F21" s="168"/>
      <c r="G21" s="168"/>
      <c r="H21" s="168"/>
      <c r="I21" s="168"/>
      <c r="J21" s="168"/>
      <c r="K21" s="168"/>
      <c r="L21" s="168"/>
      <c r="M21" s="168"/>
      <c r="N21" s="168"/>
      <c r="O21" s="168"/>
      <c r="P21" s="168"/>
      <c r="Q21" s="168"/>
      <c r="R21" s="787"/>
      <c r="S21" s="138"/>
    </row>
    <row r="22" spans="1:45">
      <c r="A22" s="361" t="s">
        <v>3021</v>
      </c>
      <c r="B22" s="24">
        <f>SUM(B24:B10000)</f>
        <v>13306.869999999999</v>
      </c>
      <c r="C22" s="3142" t="s">
        <v>33</v>
      </c>
      <c r="D22" s="3143"/>
      <c r="E22" s="3143"/>
      <c r="F22" s="3143"/>
      <c r="G22" s="3143"/>
      <c r="H22" s="3143"/>
      <c r="I22" s="3143"/>
      <c r="J22" s="3143"/>
      <c r="K22" s="3143"/>
      <c r="L22" s="3143"/>
      <c r="M22" s="3143"/>
      <c r="N22" s="3143"/>
      <c r="O22" s="3143"/>
      <c r="P22" s="3143"/>
      <c r="Q22" s="3362"/>
      <c r="R22" s="715">
        <f ca="1">ROUND(S22*10000/B22,0)</f>
        <v>25523</v>
      </c>
      <c r="S22" s="24">
        <f ca="1">SUM(S24:S10000)</f>
        <v>33963</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f ca="1">S22-S24</f>
        <v>33539</v>
      </c>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99" t="str">
        <f>Sheet1!C3</f>
        <v>东湖新技术开发区光谷一路38号天成美景S1、S2栋S2单元1层01商号</v>
      </c>
      <c r="B24" s="717">
        <f>Sheet1!E3</f>
        <v>139.15</v>
      </c>
      <c r="C24" s="718">
        <v>1</v>
      </c>
      <c r="D24" s="719"/>
      <c r="E24" s="718">
        <v>1</v>
      </c>
      <c r="F24" s="719"/>
      <c r="G24" s="718">
        <v>1</v>
      </c>
      <c r="H24" s="719"/>
      <c r="I24" s="718">
        <v>1</v>
      </c>
      <c r="J24" s="719"/>
      <c r="K24" s="718">
        <v>1</v>
      </c>
      <c r="L24" s="719"/>
      <c r="M24" s="718">
        <v>1</v>
      </c>
      <c r="N24" s="719"/>
      <c r="O24" s="718">
        <v>1</v>
      </c>
      <c r="P24" s="719" t="s">
        <v>3122</v>
      </c>
      <c r="Q24" s="718">
        <v>1</v>
      </c>
      <c r="R24" s="720">
        <f ca="1">结果表!G20</f>
        <v>30458</v>
      </c>
      <c r="S24" s="718">
        <f t="shared" ref="S24:S54" ca="1" si="11">ROUND(R24*B24/10000,0)</f>
        <v>424</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99" t="str">
        <f>Sheet1!C4</f>
        <v>东湖新技术开发区光谷一路38号天成美景S1、S2栋S1单元1-2层01商号</v>
      </c>
      <c r="B25" s="717">
        <f>Sheet1!E4</f>
        <v>3161.6</v>
      </c>
      <c r="C25" s="24">
        <f>IF(B25="",1,(LOOKUP(B25,$3:$3,$4:$4)-LOOKUP($B$24,$3:$3,$4:$4)+100)/100)</f>
        <v>0.97</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3122</v>
      </c>
      <c r="Q25" s="24">
        <f>(SUMIF($17:$17,P25,$18:$18)-SUMIF($17:$17,$P$24,$18:$18)+100)/100</f>
        <v>1</v>
      </c>
      <c r="R25" s="715">
        <f ca="1">IF(B25="",0,ROUND($R$24*C25*E25*G25*I25*K25*M25*O25*Q25,0))</f>
        <v>29544</v>
      </c>
      <c r="S25" s="361">
        <f t="shared" ca="1" si="11"/>
        <v>9341</v>
      </c>
      <c r="V25" s="799"/>
    </row>
    <row r="26" spans="1:45">
      <c r="A26" s="2999" t="str">
        <f>Sheet1!C5</f>
        <v>东湖新技术开发区光谷一路38号天成美景S1、S2栋S2单元1层02商号</v>
      </c>
      <c r="B26" s="717">
        <f>Sheet1!E5</f>
        <v>177.71</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3122</v>
      </c>
      <c r="Q26" s="24">
        <f t="shared" ref="Q26:Q89" si="19">(SUMIF($17:$17,P26,$18:$18)-SUMIF($17:$17,$P$24,$18:$18)+100)/100</f>
        <v>1</v>
      </c>
      <c r="R26" s="715">
        <f t="shared" ref="R26:R89" ca="1" si="20">IF(B26="",0,ROUND($R$24*C26*E26*G26*I26*K26*M26*O26*Q26,0))</f>
        <v>30458</v>
      </c>
      <c r="S26" s="361">
        <f t="shared" ca="1" si="11"/>
        <v>541</v>
      </c>
      <c r="V26" s="799"/>
    </row>
    <row r="27" spans="1:45">
      <c r="A27" s="2999" t="str">
        <f>Sheet1!C6</f>
        <v>东湖新技术开发区光谷一路38号天成美景S1、S2栋S2单元1-2层03商号</v>
      </c>
      <c r="B27" s="717">
        <f>Sheet1!E6</f>
        <v>169.6</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3122</v>
      </c>
      <c r="Q27" s="24">
        <f t="shared" si="19"/>
        <v>1</v>
      </c>
      <c r="R27" s="715">
        <f t="shared" ca="1" si="20"/>
        <v>30458</v>
      </c>
      <c r="S27" s="361">
        <f t="shared" ca="1" si="11"/>
        <v>517</v>
      </c>
      <c r="V27" s="799"/>
    </row>
    <row r="28" spans="1:45">
      <c r="A28" s="2999" t="str">
        <f>Sheet1!C7</f>
        <v>东湖新技术开发区光谷一路38号天成美景S1、S2栋S2单元1-2层04商号</v>
      </c>
      <c r="B28" s="717">
        <f>Sheet1!E7</f>
        <v>180.67</v>
      </c>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t="s">
        <v>3122</v>
      </c>
      <c r="Q28" s="24">
        <f t="shared" si="19"/>
        <v>1</v>
      </c>
      <c r="R28" s="715">
        <f t="shared" ca="1" si="20"/>
        <v>30458</v>
      </c>
      <c r="S28" s="361">
        <f t="shared" ca="1" si="11"/>
        <v>550</v>
      </c>
      <c r="V28" s="799"/>
    </row>
    <row r="29" spans="1:45">
      <c r="A29" s="2999" t="str">
        <f>Sheet1!C8</f>
        <v>东湖新技术开发区光谷一路38号天成美景S1、S2栋S2单元1-2层05商号</v>
      </c>
      <c r="B29" s="717">
        <f>Sheet1!E8</f>
        <v>279.05</v>
      </c>
      <c r="C29" s="24">
        <f t="shared" si="12"/>
        <v>0.99</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t="s">
        <v>3122</v>
      </c>
      <c r="Q29" s="24">
        <f t="shared" si="19"/>
        <v>1</v>
      </c>
      <c r="R29" s="715">
        <f t="shared" ca="1" si="20"/>
        <v>30153</v>
      </c>
      <c r="S29" s="361">
        <f t="shared" ca="1" si="11"/>
        <v>841</v>
      </c>
      <c r="V29" s="799"/>
    </row>
    <row r="30" spans="1:45">
      <c r="A30" s="2999" t="str">
        <f>Sheet1!C9</f>
        <v>东湖新技术开发区光谷一路38号天成美景S1、S2栋S2单元1层06商号</v>
      </c>
      <c r="B30" s="717">
        <f>Sheet1!E9</f>
        <v>44.57</v>
      </c>
      <c r="C30" s="24">
        <f t="shared" si="12"/>
        <v>1.01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t="s">
        <v>3122</v>
      </c>
      <c r="Q30" s="24">
        <f t="shared" si="19"/>
        <v>1</v>
      </c>
      <c r="R30" s="715">
        <f t="shared" ca="1" si="20"/>
        <v>30763</v>
      </c>
      <c r="S30" s="361">
        <f t="shared" ca="1" si="11"/>
        <v>137</v>
      </c>
      <c r="V30" s="799"/>
    </row>
    <row r="31" spans="1:45">
      <c r="A31" s="2999" t="str">
        <f>Sheet1!C10</f>
        <v>东湖新技术开发区光谷一路38号天成美景S1、S2栋S2单元1层07商号</v>
      </c>
      <c r="B31" s="717">
        <f>Sheet1!E10</f>
        <v>62.19</v>
      </c>
      <c r="C31" s="24">
        <f t="shared" si="12"/>
        <v>1.01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t="s">
        <v>3122</v>
      </c>
      <c r="Q31" s="24">
        <f t="shared" si="19"/>
        <v>1</v>
      </c>
      <c r="R31" s="715">
        <f t="shared" ca="1" si="20"/>
        <v>30763</v>
      </c>
      <c r="S31" s="361">
        <f t="shared" ca="1" si="11"/>
        <v>191</v>
      </c>
      <c r="V31" s="799"/>
    </row>
    <row r="32" spans="1:45">
      <c r="A32" s="2999" t="str">
        <f>Sheet1!C11</f>
        <v>东湖新技术开发区光谷一路38号天成美景S1、S2栋S2单元1层08商号</v>
      </c>
      <c r="B32" s="717">
        <f>Sheet1!E11</f>
        <v>50.02</v>
      </c>
      <c r="C32" s="24">
        <f t="shared" si="12"/>
        <v>1.01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t="s">
        <v>3122</v>
      </c>
      <c r="Q32" s="24">
        <f t="shared" si="19"/>
        <v>1</v>
      </c>
      <c r="R32" s="715">
        <f t="shared" ca="1" si="20"/>
        <v>30763</v>
      </c>
      <c r="S32" s="361">
        <f t="shared" ca="1" si="11"/>
        <v>154</v>
      </c>
      <c r="V32" s="799"/>
    </row>
    <row r="33" spans="1:22">
      <c r="A33" s="2999" t="str">
        <f>Sheet1!C12</f>
        <v>东湖新技术开发区光谷一路38号天成美景S1、S2栋S2单元1层09商号</v>
      </c>
      <c r="B33" s="717">
        <f>Sheet1!E12</f>
        <v>50.02</v>
      </c>
      <c r="C33" s="24">
        <f t="shared" si="12"/>
        <v>1.01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t="s">
        <v>3122</v>
      </c>
      <c r="Q33" s="24">
        <f t="shared" si="19"/>
        <v>1</v>
      </c>
      <c r="R33" s="715">
        <f t="shared" ca="1" si="20"/>
        <v>30763</v>
      </c>
      <c r="S33" s="361">
        <f t="shared" ca="1" si="11"/>
        <v>154</v>
      </c>
      <c r="V33" s="799"/>
    </row>
    <row r="34" spans="1:22">
      <c r="A34" s="2999" t="str">
        <f>Sheet1!C13</f>
        <v>东湖新技术开发区光谷一路38号天成美景S1、S2栋S2单元1层10商号</v>
      </c>
      <c r="B34" s="717">
        <f>Sheet1!E13</f>
        <v>50.02</v>
      </c>
      <c r="C34" s="24">
        <f t="shared" si="12"/>
        <v>1.01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t="s">
        <v>3122</v>
      </c>
      <c r="Q34" s="24">
        <f t="shared" si="19"/>
        <v>1</v>
      </c>
      <c r="R34" s="715">
        <f t="shared" ca="1" si="20"/>
        <v>30763</v>
      </c>
      <c r="S34" s="361">
        <f t="shared" ca="1" si="11"/>
        <v>154</v>
      </c>
      <c r="V34" s="799"/>
    </row>
    <row r="35" spans="1:22">
      <c r="A35" s="2999" t="str">
        <f>Sheet1!C14</f>
        <v>东湖新技术开发区光谷一路38号天成美景S1、S2栋S2单元1层11商号</v>
      </c>
      <c r="B35" s="717">
        <f>Sheet1!E14</f>
        <v>50.02</v>
      </c>
      <c r="C35" s="24">
        <f t="shared" si="12"/>
        <v>1.01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t="s">
        <v>3122</v>
      </c>
      <c r="Q35" s="24">
        <f t="shared" si="19"/>
        <v>1</v>
      </c>
      <c r="R35" s="715">
        <f t="shared" ca="1" si="20"/>
        <v>30763</v>
      </c>
      <c r="S35" s="361">
        <f t="shared" ca="1" si="11"/>
        <v>154</v>
      </c>
      <c r="V35" s="799"/>
    </row>
    <row r="36" spans="1:22">
      <c r="A36" s="2999" t="str">
        <f>Sheet1!C15</f>
        <v>东湖新技术开发区光谷一路38号天成美景S1、S2栋S2单元1层12商号</v>
      </c>
      <c r="B36" s="717">
        <f>Sheet1!E15</f>
        <v>50.02</v>
      </c>
      <c r="C36" s="24">
        <f t="shared" si="12"/>
        <v>1.01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t="s">
        <v>3122</v>
      </c>
      <c r="Q36" s="24">
        <f t="shared" si="19"/>
        <v>1</v>
      </c>
      <c r="R36" s="715">
        <f t="shared" ca="1" si="20"/>
        <v>30763</v>
      </c>
      <c r="S36" s="361">
        <f t="shared" ca="1" si="11"/>
        <v>154</v>
      </c>
      <c r="V36" s="799"/>
    </row>
    <row r="37" spans="1:22">
      <c r="A37" s="2999" t="str">
        <f>Sheet1!C16</f>
        <v>东湖新技术开发区光谷一路38号天成美景S1、S2栋S2单元1层13商号</v>
      </c>
      <c r="B37" s="717">
        <f>Sheet1!E16</f>
        <v>50.02</v>
      </c>
      <c r="C37" s="24">
        <f t="shared" si="12"/>
        <v>1.01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t="s">
        <v>3122</v>
      </c>
      <c r="Q37" s="24">
        <f t="shared" si="19"/>
        <v>1</v>
      </c>
      <c r="R37" s="715">
        <f t="shared" ca="1" si="20"/>
        <v>30763</v>
      </c>
      <c r="S37" s="361">
        <f t="shared" ca="1" si="11"/>
        <v>154</v>
      </c>
      <c r="V37" s="799"/>
    </row>
    <row r="38" spans="1:22">
      <c r="A38" s="2999" t="str">
        <f>Sheet1!C17</f>
        <v>东湖新技术开发区光谷一路38号天成美景S1、S2栋S2单元1层14商号</v>
      </c>
      <c r="B38" s="717">
        <f>Sheet1!E17</f>
        <v>31.36</v>
      </c>
      <c r="C38" s="24">
        <f t="shared" si="12"/>
        <v>1.01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t="s">
        <v>3122</v>
      </c>
      <c r="Q38" s="24">
        <f t="shared" si="19"/>
        <v>1</v>
      </c>
      <c r="R38" s="715">
        <f t="shared" ca="1" si="20"/>
        <v>30763</v>
      </c>
      <c r="S38" s="361">
        <f t="shared" ca="1" si="11"/>
        <v>96</v>
      </c>
      <c r="V38" s="799"/>
    </row>
    <row r="39" spans="1:22">
      <c r="A39" s="2999" t="str">
        <f>Sheet1!C18</f>
        <v>东湖新技术开发区光谷一路38号天成美景S1、S2栋S2单元1层15商号</v>
      </c>
      <c r="B39" s="717">
        <f>Sheet1!E18</f>
        <v>35.159999999999997</v>
      </c>
      <c r="C39" s="24">
        <f t="shared" si="12"/>
        <v>1.01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t="s">
        <v>3122</v>
      </c>
      <c r="Q39" s="24">
        <f t="shared" si="19"/>
        <v>1</v>
      </c>
      <c r="R39" s="715">
        <f t="shared" ca="1" si="20"/>
        <v>30763</v>
      </c>
      <c r="S39" s="361">
        <f t="shared" ca="1" si="11"/>
        <v>108</v>
      </c>
      <c r="V39" s="799"/>
    </row>
    <row r="40" spans="1:22">
      <c r="A40" s="2999" t="str">
        <f>Sheet1!C19</f>
        <v>东湖新技术开发区光谷一路38号天成美景S1、S2栋S2单元1层16商号</v>
      </c>
      <c r="B40" s="717">
        <f>Sheet1!E19</f>
        <v>35.159999999999997</v>
      </c>
      <c r="C40" s="24">
        <f t="shared" si="12"/>
        <v>1.01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t="s">
        <v>3122</v>
      </c>
      <c r="Q40" s="24">
        <f t="shared" si="19"/>
        <v>1</v>
      </c>
      <c r="R40" s="715">
        <f t="shared" ca="1" si="20"/>
        <v>30763</v>
      </c>
      <c r="S40" s="361">
        <f t="shared" ca="1" si="11"/>
        <v>108</v>
      </c>
      <c r="V40" s="799"/>
    </row>
    <row r="41" spans="1:22">
      <c r="A41" s="2999" t="str">
        <f>Sheet1!C20</f>
        <v>东湖新技术开发区光谷一路38号天成美景S1、S2栋S2单元1层17商号</v>
      </c>
      <c r="B41" s="717">
        <f>Sheet1!E20</f>
        <v>35.159999999999997</v>
      </c>
      <c r="C41" s="24">
        <f t="shared" si="12"/>
        <v>1.01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t="s">
        <v>3122</v>
      </c>
      <c r="Q41" s="24">
        <f t="shared" si="19"/>
        <v>1</v>
      </c>
      <c r="R41" s="715">
        <f t="shared" ca="1" si="20"/>
        <v>30763</v>
      </c>
      <c r="S41" s="361">
        <f t="shared" ca="1" si="11"/>
        <v>108</v>
      </c>
      <c r="V41" s="799"/>
    </row>
    <row r="42" spans="1:22">
      <c r="A42" s="2999" t="str">
        <f>Sheet1!C21</f>
        <v>东湖新技术开发区光谷一路38号天成美景S1、S2栋S2单元1层18商号</v>
      </c>
      <c r="B42" s="717">
        <f>Sheet1!E21</f>
        <v>35.159999999999997</v>
      </c>
      <c r="C42" s="24">
        <f t="shared" si="12"/>
        <v>1.01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t="s">
        <v>3122</v>
      </c>
      <c r="Q42" s="24">
        <f t="shared" si="19"/>
        <v>1</v>
      </c>
      <c r="R42" s="715">
        <f t="shared" ca="1" si="20"/>
        <v>30763</v>
      </c>
      <c r="S42" s="361">
        <f t="shared" ca="1" si="11"/>
        <v>108</v>
      </c>
      <c r="V42" s="799"/>
    </row>
    <row r="43" spans="1:22">
      <c r="A43" s="2999" t="str">
        <f>Sheet1!C22</f>
        <v>东湖新技术开发区光谷一路38号天成美景S1、S2栋S2单元1层19商号</v>
      </c>
      <c r="B43" s="717">
        <f>Sheet1!E22</f>
        <v>51.02</v>
      </c>
      <c r="C43" s="24">
        <f t="shared" si="12"/>
        <v>1.01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t="s">
        <v>3122</v>
      </c>
      <c r="Q43" s="24">
        <f t="shared" si="19"/>
        <v>1</v>
      </c>
      <c r="R43" s="715">
        <f t="shared" ca="1" si="20"/>
        <v>30763</v>
      </c>
      <c r="S43" s="361">
        <f t="shared" ca="1" si="11"/>
        <v>157</v>
      </c>
      <c r="V43" s="799"/>
    </row>
    <row r="44" spans="1:22">
      <c r="A44" s="2999" t="str">
        <f>Sheet1!C23</f>
        <v>东湖新技术开发区光谷一路38号天成美景S1、S2栋S2单元1层20商号</v>
      </c>
      <c r="B44" s="717">
        <f>Sheet1!E23</f>
        <v>58.3</v>
      </c>
      <c r="C44" s="24">
        <f t="shared" si="12"/>
        <v>1.01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t="s">
        <v>3187</v>
      </c>
      <c r="Q44" s="24">
        <f t="shared" si="19"/>
        <v>0.85</v>
      </c>
      <c r="R44" s="715">
        <f t="shared" ca="1" si="20"/>
        <v>26148</v>
      </c>
      <c r="S44" s="361">
        <f t="shared" ca="1" si="11"/>
        <v>152</v>
      </c>
      <c r="V44" s="799"/>
    </row>
    <row r="45" spans="1:22">
      <c r="A45" s="2999" t="str">
        <f>Sheet1!C24</f>
        <v>东湖新技术开发区光谷一路38号天成美景S1、S2栋S2单元1层21商号</v>
      </c>
      <c r="B45" s="717">
        <f>Sheet1!E24</f>
        <v>58.3</v>
      </c>
      <c r="C45" s="24">
        <f t="shared" si="12"/>
        <v>1.01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t="s">
        <v>3122</v>
      </c>
      <c r="Q45" s="24">
        <f t="shared" si="19"/>
        <v>1</v>
      </c>
      <c r="R45" s="715">
        <f t="shared" ca="1" si="20"/>
        <v>30763</v>
      </c>
      <c r="S45" s="361">
        <f t="shared" ca="1" si="11"/>
        <v>179</v>
      </c>
      <c r="V45" s="799"/>
    </row>
    <row r="46" spans="1:22">
      <c r="A46" s="2999" t="str">
        <f>Sheet1!C25</f>
        <v>东湖新技术开发区光谷一路38号天成美景S1、S2栋S2单元1层22商号</v>
      </c>
      <c r="B46" s="717">
        <f>Sheet1!E25</f>
        <v>81.72</v>
      </c>
      <c r="C46" s="24">
        <f t="shared" si="12"/>
        <v>1.01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t="s">
        <v>3122</v>
      </c>
      <c r="Q46" s="24">
        <f t="shared" si="19"/>
        <v>1</v>
      </c>
      <c r="R46" s="715">
        <f t="shared" ca="1" si="20"/>
        <v>30763</v>
      </c>
      <c r="S46" s="361">
        <f t="shared" ca="1" si="11"/>
        <v>251</v>
      </c>
      <c r="V46" s="799"/>
    </row>
    <row r="47" spans="1:22">
      <c r="A47" s="2999" t="str">
        <f>Sheet1!C26</f>
        <v>东湖新技术开发区光谷一路38号天成美景S1、S2栋S2单元1层23商号</v>
      </c>
      <c r="B47" s="717">
        <f>Sheet1!E26</f>
        <v>505.92</v>
      </c>
      <c r="C47" s="24">
        <f t="shared" si="12"/>
        <v>0.97</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t="s">
        <v>3187</v>
      </c>
      <c r="Q47" s="2960">
        <f t="shared" si="19"/>
        <v>0.85</v>
      </c>
      <c r="R47" s="3005">
        <f t="shared" ca="1" si="20"/>
        <v>25113</v>
      </c>
      <c r="S47" s="2960">
        <f t="shared" ca="1" si="11"/>
        <v>1271</v>
      </c>
      <c r="V47" s="799"/>
    </row>
    <row r="48" spans="1:22">
      <c r="A48" s="2999" t="str">
        <f>Sheet1!C27</f>
        <v>东湖新技术开发区光谷一路38号天成美景S1、S2栋S2单元1层24商号</v>
      </c>
      <c r="B48" s="717">
        <f>Sheet1!E27</f>
        <v>59.43</v>
      </c>
      <c r="C48" s="24">
        <f t="shared" si="12"/>
        <v>1.01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t="s">
        <v>3187</v>
      </c>
      <c r="Q48" s="2960">
        <f t="shared" si="19"/>
        <v>0.85</v>
      </c>
      <c r="R48" s="3005">
        <f t="shared" ca="1" si="20"/>
        <v>26148</v>
      </c>
      <c r="S48" s="2960">
        <f t="shared" ca="1" si="11"/>
        <v>155</v>
      </c>
      <c r="V48" s="799"/>
    </row>
    <row r="49" spans="1:22">
      <c r="A49" s="2999" t="str">
        <f>Sheet1!C28</f>
        <v>东湖新技术开发区光谷一路38号天成美景S1、S2栋S2单元1层25商号</v>
      </c>
      <c r="B49" s="717">
        <f>Sheet1!E28</f>
        <v>71.22</v>
      </c>
      <c r="C49" s="24">
        <f t="shared" si="12"/>
        <v>1.01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t="s">
        <v>3187</v>
      </c>
      <c r="Q49" s="2960">
        <f t="shared" si="19"/>
        <v>0.85</v>
      </c>
      <c r="R49" s="3005">
        <f t="shared" ca="1" si="20"/>
        <v>26148</v>
      </c>
      <c r="S49" s="2960">
        <f t="shared" ca="1" si="11"/>
        <v>186</v>
      </c>
      <c r="V49" s="799"/>
    </row>
    <row r="50" spans="1:22">
      <c r="A50" s="2999" t="str">
        <f>Sheet1!C29</f>
        <v>东湖新技术开发区光谷一路38号天成美景S1、S2栋S2单元1层26商号</v>
      </c>
      <c r="B50" s="717">
        <f>Sheet1!E29</f>
        <v>75.760000000000005</v>
      </c>
      <c r="C50" s="24">
        <f t="shared" si="12"/>
        <v>1.01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t="s">
        <v>3122</v>
      </c>
      <c r="Q50" s="24">
        <f t="shared" si="19"/>
        <v>1</v>
      </c>
      <c r="R50" s="715">
        <f t="shared" ca="1" si="20"/>
        <v>30763</v>
      </c>
      <c r="S50" s="361">
        <f t="shared" ca="1" si="11"/>
        <v>233</v>
      </c>
      <c r="V50" s="799"/>
    </row>
    <row r="51" spans="1:22">
      <c r="A51" s="2999" t="str">
        <f>Sheet1!C30</f>
        <v>东湖新技术开发区光谷一路38号天成美景S1、S2栋S2单元1层27商号</v>
      </c>
      <c r="B51" s="717">
        <f>Sheet1!E30</f>
        <v>89.15</v>
      </c>
      <c r="C51" s="24">
        <f t="shared" si="12"/>
        <v>1.01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t="s">
        <v>3122</v>
      </c>
      <c r="Q51" s="24">
        <f t="shared" si="19"/>
        <v>1</v>
      </c>
      <c r="R51" s="715">
        <f t="shared" ca="1" si="20"/>
        <v>30763</v>
      </c>
      <c r="S51" s="361">
        <f t="shared" ca="1" si="11"/>
        <v>274</v>
      </c>
      <c r="V51" s="799"/>
    </row>
    <row r="52" spans="1:22">
      <c r="A52" s="2999" t="str">
        <f>Sheet1!C31</f>
        <v>东湖新技术开发区光谷一路38号天成美景S1、S2栋S2单元1层28商号</v>
      </c>
      <c r="B52" s="717">
        <f>Sheet1!E31</f>
        <v>89.15</v>
      </c>
      <c r="C52" s="24">
        <f t="shared" si="12"/>
        <v>1.01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t="s">
        <v>3122</v>
      </c>
      <c r="Q52" s="24">
        <f t="shared" si="19"/>
        <v>1</v>
      </c>
      <c r="R52" s="715">
        <f t="shared" ca="1" si="20"/>
        <v>30763</v>
      </c>
      <c r="S52" s="361">
        <f t="shared" ca="1" si="11"/>
        <v>274</v>
      </c>
      <c r="V52" s="799"/>
    </row>
    <row r="53" spans="1:22">
      <c r="A53" s="2999" t="str">
        <f>Sheet1!C32</f>
        <v>东湖新技术开发区光谷一路38号天成美景S1、S2栋S2单元1层29商号</v>
      </c>
      <c r="B53" s="717">
        <f>Sheet1!E32</f>
        <v>59.43</v>
      </c>
      <c r="C53" s="24">
        <f t="shared" si="12"/>
        <v>1.01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t="s">
        <v>3122</v>
      </c>
      <c r="Q53" s="24">
        <f t="shared" si="19"/>
        <v>1</v>
      </c>
      <c r="R53" s="715">
        <f t="shared" ca="1" si="20"/>
        <v>30763</v>
      </c>
      <c r="S53" s="361">
        <f t="shared" ca="1" si="11"/>
        <v>183</v>
      </c>
      <c r="V53" s="799"/>
    </row>
    <row r="54" spans="1:22">
      <c r="A54" s="2999" t="str">
        <f>Sheet1!C33</f>
        <v>东湖新技术开发区光谷一路38号天成美景S1、S2栋S2单元1层30商号</v>
      </c>
      <c r="B54" s="717">
        <f>Sheet1!E33</f>
        <v>59.43</v>
      </c>
      <c r="C54" s="24">
        <f t="shared" si="12"/>
        <v>1.01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t="s">
        <v>3122</v>
      </c>
      <c r="Q54" s="24">
        <f t="shared" si="19"/>
        <v>1</v>
      </c>
      <c r="R54" s="715">
        <f t="shared" ca="1" si="20"/>
        <v>30763</v>
      </c>
      <c r="S54" s="361">
        <f t="shared" ca="1" si="11"/>
        <v>183</v>
      </c>
      <c r="V54" s="799"/>
    </row>
    <row r="55" spans="1:22">
      <c r="A55" s="2999" t="str">
        <f>Sheet1!C34</f>
        <v>东湖新技术开发区光谷一路38号天成美景S1、S2栋S2单元1层31商号</v>
      </c>
      <c r="B55" s="717">
        <f>Sheet1!E34</f>
        <v>59.43</v>
      </c>
      <c r="C55" s="24">
        <f t="shared" si="12"/>
        <v>1.01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t="s">
        <v>3122</v>
      </c>
      <c r="Q55" s="24">
        <f t="shared" si="19"/>
        <v>1</v>
      </c>
      <c r="R55" s="715">
        <f t="shared" ca="1" si="20"/>
        <v>30763</v>
      </c>
      <c r="S55" s="361">
        <f t="shared" ref="S55:S77" ca="1" si="21">ROUND(R55*B55/10000,0)</f>
        <v>183</v>
      </c>
      <c r="V55" s="799"/>
    </row>
    <row r="56" spans="1:22">
      <c r="A56" s="2999" t="str">
        <f>Sheet1!C35</f>
        <v>东湖新技术开发区光谷一路38号天成美景S1、S2栋S2单元1层32商号</v>
      </c>
      <c r="B56" s="717">
        <f>Sheet1!E35</f>
        <v>59.43</v>
      </c>
      <c r="C56" s="24">
        <f t="shared" si="12"/>
        <v>1.01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t="s">
        <v>3122</v>
      </c>
      <c r="Q56" s="24">
        <f t="shared" si="19"/>
        <v>1</v>
      </c>
      <c r="R56" s="715">
        <f t="shared" ca="1" si="20"/>
        <v>30763</v>
      </c>
      <c r="S56" s="361">
        <f t="shared" ca="1" si="21"/>
        <v>183</v>
      </c>
      <c r="V56" s="799"/>
    </row>
    <row r="57" spans="1:22">
      <c r="A57" s="2999" t="str">
        <f>Sheet1!C36</f>
        <v>东湖新技术开发区光谷一路38号天成美景S1、S2栋S2单元1层33商号</v>
      </c>
      <c r="B57" s="717">
        <f>Sheet1!E36</f>
        <v>59.43</v>
      </c>
      <c r="C57" s="24">
        <f t="shared" si="12"/>
        <v>1.01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t="s">
        <v>3122</v>
      </c>
      <c r="Q57" s="24">
        <f t="shared" si="19"/>
        <v>1</v>
      </c>
      <c r="R57" s="715">
        <f t="shared" ca="1" si="20"/>
        <v>30763</v>
      </c>
      <c r="S57" s="361">
        <f t="shared" ca="1" si="21"/>
        <v>183</v>
      </c>
      <c r="V57" s="799"/>
    </row>
    <row r="58" spans="1:22">
      <c r="A58" s="2999" t="str">
        <f>Sheet1!C37</f>
        <v>东湖新技术开发区光谷一路38号天成美景S1、S2栋S2单元1层34商号</v>
      </c>
      <c r="B58" s="717">
        <f>Sheet1!E37</f>
        <v>59.43</v>
      </c>
      <c r="C58" s="24">
        <f t="shared" si="12"/>
        <v>1.01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t="s">
        <v>3122</v>
      </c>
      <c r="Q58" s="24">
        <f t="shared" si="19"/>
        <v>1</v>
      </c>
      <c r="R58" s="715">
        <f t="shared" ca="1" si="20"/>
        <v>30763</v>
      </c>
      <c r="S58" s="361">
        <f t="shared" ca="1" si="21"/>
        <v>183</v>
      </c>
      <c r="V58" s="799"/>
    </row>
    <row r="59" spans="1:22">
      <c r="A59" s="2999" t="str">
        <f>Sheet1!C38</f>
        <v>东湖新技术开发区光谷一路38号天成美景S1、S2栋S2单元1层35商号</v>
      </c>
      <c r="B59" s="717">
        <f>Sheet1!E38</f>
        <v>59.43</v>
      </c>
      <c r="C59" s="24">
        <f t="shared" si="12"/>
        <v>1.01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t="s">
        <v>3122</v>
      </c>
      <c r="Q59" s="24">
        <f t="shared" si="19"/>
        <v>1</v>
      </c>
      <c r="R59" s="715">
        <f t="shared" ca="1" si="20"/>
        <v>30763</v>
      </c>
      <c r="S59" s="361">
        <f t="shared" ca="1" si="21"/>
        <v>183</v>
      </c>
      <c r="V59" s="799"/>
    </row>
    <row r="60" spans="1:22">
      <c r="A60" s="2999" t="str">
        <f>Sheet1!C39</f>
        <v>东湖新技术开发区光谷一路38号天成美景S1、S2栋S2单元1层36商号</v>
      </c>
      <c r="B60" s="717">
        <f>Sheet1!E39</f>
        <v>59.43</v>
      </c>
      <c r="C60" s="24">
        <f t="shared" si="12"/>
        <v>1.01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t="s">
        <v>3122</v>
      </c>
      <c r="Q60" s="24">
        <f t="shared" si="19"/>
        <v>1</v>
      </c>
      <c r="R60" s="715">
        <f t="shared" ca="1" si="20"/>
        <v>30763</v>
      </c>
      <c r="S60" s="361">
        <f t="shared" ca="1" si="21"/>
        <v>183</v>
      </c>
      <c r="V60" s="799"/>
    </row>
    <row r="61" spans="1:22">
      <c r="A61" s="2999" t="str">
        <f>Sheet1!C40</f>
        <v>东湖新技术开发区光谷一路38号天成美景S1、S2栋S2单元1层37商号</v>
      </c>
      <c r="B61" s="717">
        <f>Sheet1!E40</f>
        <v>145.19999999999999</v>
      </c>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t="s">
        <v>3122</v>
      </c>
      <c r="Q61" s="24">
        <f t="shared" si="19"/>
        <v>1</v>
      </c>
      <c r="R61" s="715">
        <f t="shared" ca="1" si="20"/>
        <v>30458</v>
      </c>
      <c r="S61" s="361">
        <f t="shared" ca="1" si="21"/>
        <v>442</v>
      </c>
      <c r="V61" s="799"/>
    </row>
    <row r="62" spans="1:22">
      <c r="A62" s="2999" t="str">
        <f>Sheet1!C41</f>
        <v>东湖新技术开发区光谷一路38号天成美景S1、S2栋S2单元2层01商号</v>
      </c>
      <c r="B62" s="717">
        <f>Sheet1!E41</f>
        <v>50.91</v>
      </c>
      <c r="C62" s="24">
        <f t="shared" si="12"/>
        <v>1.01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t="s">
        <v>3122</v>
      </c>
      <c r="Q62" s="24">
        <f t="shared" si="19"/>
        <v>1</v>
      </c>
      <c r="R62" s="715">
        <f t="shared" ca="1" si="20"/>
        <v>30763</v>
      </c>
      <c r="S62" s="361">
        <f t="shared" ca="1" si="21"/>
        <v>157</v>
      </c>
      <c r="V62" s="799"/>
    </row>
    <row r="63" spans="1:22">
      <c r="A63" s="2999" t="str">
        <f>Sheet1!C42</f>
        <v>东湖新技术开发区光谷一路38号天成美景S1、S2栋S2单元2层02商号</v>
      </c>
      <c r="B63" s="717">
        <f>Sheet1!E42</f>
        <v>53.7</v>
      </c>
      <c r="C63" s="24">
        <f t="shared" si="12"/>
        <v>1.01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t="s">
        <v>3122</v>
      </c>
      <c r="Q63" s="24">
        <f t="shared" si="19"/>
        <v>1</v>
      </c>
      <c r="R63" s="715">
        <f t="shared" ca="1" si="20"/>
        <v>30763</v>
      </c>
      <c r="S63" s="361">
        <f t="shared" ca="1" si="21"/>
        <v>165</v>
      </c>
      <c r="V63" s="799"/>
    </row>
    <row r="64" spans="1:22">
      <c r="A64" s="2999" t="str">
        <f>Sheet1!C43</f>
        <v>东湖新技术开发区光谷一路38号天成美景S1、S2栋S2单元2层03商号</v>
      </c>
      <c r="B64" s="717">
        <f>Sheet1!E43</f>
        <v>56.48</v>
      </c>
      <c r="C64" s="24">
        <f t="shared" si="12"/>
        <v>1.01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t="s">
        <v>3122</v>
      </c>
      <c r="Q64" s="24">
        <f t="shared" si="19"/>
        <v>1</v>
      </c>
      <c r="R64" s="715">
        <f t="shared" ca="1" si="20"/>
        <v>30763</v>
      </c>
      <c r="S64" s="361">
        <f t="shared" ca="1" si="21"/>
        <v>174</v>
      </c>
      <c r="V64" s="799"/>
    </row>
    <row r="65" spans="1:22">
      <c r="A65" s="2999" t="str">
        <f>Sheet1!C44</f>
        <v>东湖新技术开发区光谷一路38号天成美景S1、S2栋S2单元2层04商号</v>
      </c>
      <c r="B65" s="717">
        <f>Sheet1!E44</f>
        <v>59.27</v>
      </c>
      <c r="C65" s="24">
        <f t="shared" si="12"/>
        <v>1.01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t="s">
        <v>3122</v>
      </c>
      <c r="Q65" s="24">
        <f t="shared" si="19"/>
        <v>1</v>
      </c>
      <c r="R65" s="715">
        <f t="shared" ca="1" si="20"/>
        <v>30763</v>
      </c>
      <c r="S65" s="361">
        <f t="shared" ca="1" si="21"/>
        <v>182</v>
      </c>
      <c r="V65" s="799"/>
    </row>
    <row r="66" spans="1:22">
      <c r="A66" s="2999" t="str">
        <f>Sheet1!C45</f>
        <v>东湖新技术开发区光谷一路38号天成美景S1、S2栋S2单元2层05商号</v>
      </c>
      <c r="B66" s="717">
        <f>Sheet1!E45</f>
        <v>62.06</v>
      </c>
      <c r="C66" s="24">
        <f t="shared" si="12"/>
        <v>1.01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t="s">
        <v>3122</v>
      </c>
      <c r="Q66" s="24">
        <f t="shared" si="19"/>
        <v>1</v>
      </c>
      <c r="R66" s="715">
        <f t="shared" ca="1" si="20"/>
        <v>30763</v>
      </c>
      <c r="S66" s="361">
        <f t="shared" ca="1" si="21"/>
        <v>191</v>
      </c>
      <c r="V66" s="799"/>
    </row>
    <row r="67" spans="1:22">
      <c r="A67" s="2999" t="str">
        <f>Sheet1!C46</f>
        <v>东湖新技术开发区光谷一路38号天成美景S1、S2栋S2单元2层06商号</v>
      </c>
      <c r="B67" s="717">
        <f>Sheet1!E46</f>
        <v>64.84</v>
      </c>
      <c r="C67" s="24">
        <f t="shared" si="12"/>
        <v>1.01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t="s">
        <v>3122</v>
      </c>
      <c r="Q67" s="24">
        <f t="shared" si="19"/>
        <v>1</v>
      </c>
      <c r="R67" s="715">
        <f t="shared" ca="1" si="20"/>
        <v>30763</v>
      </c>
      <c r="S67" s="361">
        <f t="shared" ca="1" si="21"/>
        <v>199</v>
      </c>
      <c r="V67" s="799"/>
    </row>
    <row r="68" spans="1:22">
      <c r="A68" s="2999" t="str">
        <f>Sheet1!C47</f>
        <v>东湖新技术开发区光谷一路38号天成美景S1、S2栋S2单元2层07商号</v>
      </c>
      <c r="B68" s="717">
        <f>Sheet1!E47</f>
        <v>138.03</v>
      </c>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t="s">
        <v>3122</v>
      </c>
      <c r="Q68" s="24">
        <f t="shared" si="19"/>
        <v>1</v>
      </c>
      <c r="R68" s="715">
        <f t="shared" ca="1" si="20"/>
        <v>30458</v>
      </c>
      <c r="S68" s="361">
        <f t="shared" ca="1" si="21"/>
        <v>420</v>
      </c>
      <c r="V68" s="799"/>
    </row>
    <row r="69" spans="1:22">
      <c r="A69" s="2999" t="str">
        <f>Sheet1!C48</f>
        <v>东湖新技术开发区光谷一路38号天成美景S1、S2栋S2单元2层08商号</v>
      </c>
      <c r="B69" s="717">
        <f>Sheet1!E48</f>
        <v>35.159999999999997</v>
      </c>
      <c r="C69" s="24">
        <f t="shared" si="12"/>
        <v>1.01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t="s">
        <v>3122</v>
      </c>
      <c r="Q69" s="24">
        <f t="shared" si="19"/>
        <v>1</v>
      </c>
      <c r="R69" s="715">
        <f t="shared" ca="1" si="20"/>
        <v>30763</v>
      </c>
      <c r="S69" s="361">
        <f t="shared" ca="1" si="21"/>
        <v>108</v>
      </c>
      <c r="V69" s="799"/>
    </row>
    <row r="70" spans="1:22">
      <c r="A70" s="2999" t="str">
        <f>Sheet1!C49</f>
        <v>东湖新技术开发区光谷一路38号天成美景S1、S2栋S2单元2层09商号</v>
      </c>
      <c r="B70" s="717">
        <f>Sheet1!E49</f>
        <v>35.159999999999997</v>
      </c>
      <c r="C70" s="24">
        <f t="shared" si="12"/>
        <v>1.01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t="s">
        <v>3122</v>
      </c>
      <c r="Q70" s="24">
        <f t="shared" si="19"/>
        <v>1</v>
      </c>
      <c r="R70" s="715">
        <f t="shared" ca="1" si="20"/>
        <v>30763</v>
      </c>
      <c r="S70" s="361">
        <f t="shared" ca="1" si="21"/>
        <v>108</v>
      </c>
      <c r="V70" s="799"/>
    </row>
    <row r="71" spans="1:22">
      <c r="A71" s="2999" t="str">
        <f>Sheet1!C50</f>
        <v>东湖新技术开发区光谷一路38号天成美景S1、S2栋S2单元2层10商号</v>
      </c>
      <c r="B71" s="717">
        <f>Sheet1!E50</f>
        <v>35.159999999999997</v>
      </c>
      <c r="C71" s="24">
        <f t="shared" si="12"/>
        <v>1.01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t="s">
        <v>3122</v>
      </c>
      <c r="Q71" s="24">
        <f t="shared" si="19"/>
        <v>1</v>
      </c>
      <c r="R71" s="715">
        <f t="shared" ca="1" si="20"/>
        <v>30763</v>
      </c>
      <c r="S71" s="361">
        <f t="shared" ca="1" si="21"/>
        <v>108</v>
      </c>
      <c r="V71" s="799"/>
    </row>
    <row r="72" spans="1:22">
      <c r="A72" s="2999" t="str">
        <f>Sheet1!C51</f>
        <v>东湖新技术开发区光谷一路38号天成美景S1、S2栋S2单元2层11商号</v>
      </c>
      <c r="B72" s="717">
        <f>Sheet1!E51</f>
        <v>35.159999999999997</v>
      </c>
      <c r="C72" s="24">
        <f t="shared" si="12"/>
        <v>1.01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t="s">
        <v>3122</v>
      </c>
      <c r="Q72" s="24">
        <f t="shared" si="19"/>
        <v>1</v>
      </c>
      <c r="R72" s="715">
        <f t="shared" ca="1" si="20"/>
        <v>30763</v>
      </c>
      <c r="S72" s="361">
        <f t="shared" ca="1" si="21"/>
        <v>108</v>
      </c>
      <c r="V72" s="799"/>
    </row>
    <row r="73" spans="1:22">
      <c r="A73" s="2999" t="str">
        <f>Sheet1!C52</f>
        <v>东湖新技术开发区光谷一路38号天成美景S1、S2栋S2单元2层12商号</v>
      </c>
      <c r="B73" s="717">
        <f>Sheet1!E52</f>
        <v>35.159999999999997</v>
      </c>
      <c r="C73" s="24">
        <f t="shared" si="12"/>
        <v>1.01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t="s">
        <v>3122</v>
      </c>
      <c r="Q73" s="24">
        <f t="shared" si="19"/>
        <v>1</v>
      </c>
      <c r="R73" s="715">
        <f t="shared" ca="1" si="20"/>
        <v>30763</v>
      </c>
      <c r="S73" s="361">
        <f t="shared" ca="1" si="21"/>
        <v>108</v>
      </c>
      <c r="V73" s="799"/>
    </row>
    <row r="74" spans="1:22">
      <c r="A74" s="2999" t="str">
        <f>Sheet1!C53</f>
        <v>东湖新技术开发区光谷一路38号天成美景S1、S2栋S2单元2层13商号</v>
      </c>
      <c r="B74" s="717">
        <f>Sheet1!E53</f>
        <v>35.159999999999997</v>
      </c>
      <c r="C74" s="24">
        <f t="shared" si="12"/>
        <v>1.01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t="s">
        <v>3122</v>
      </c>
      <c r="Q74" s="24">
        <f t="shared" si="19"/>
        <v>1</v>
      </c>
      <c r="R74" s="715">
        <f t="shared" ca="1" si="20"/>
        <v>30763</v>
      </c>
      <c r="S74" s="361">
        <f t="shared" ca="1" si="21"/>
        <v>108</v>
      </c>
      <c r="V74" s="799"/>
    </row>
    <row r="75" spans="1:22">
      <c r="A75" s="2999" t="str">
        <f>Sheet1!C54</f>
        <v>东湖新技术开发区光谷一路38号天成美景S1、S2栋S2单元2层14商号</v>
      </c>
      <c r="B75" s="717">
        <f>Sheet1!E54</f>
        <v>102.52</v>
      </c>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t="s">
        <v>3122</v>
      </c>
      <c r="Q75" s="24">
        <f t="shared" si="19"/>
        <v>1</v>
      </c>
      <c r="R75" s="715">
        <f t="shared" ca="1" si="20"/>
        <v>30458</v>
      </c>
      <c r="S75" s="361">
        <f t="shared" ca="1" si="21"/>
        <v>312</v>
      </c>
      <c r="V75" s="799"/>
    </row>
    <row r="76" spans="1:22">
      <c r="A76" s="2999" t="str">
        <f>Sheet1!C55</f>
        <v>东湖新技术开发区光谷一路38号天成美景S1、S2栋S2单元2层15商号</v>
      </c>
      <c r="B76" s="717">
        <f>Sheet1!E55</f>
        <v>33.43</v>
      </c>
      <c r="C76" s="24">
        <f t="shared" si="12"/>
        <v>1.01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t="s">
        <v>3122</v>
      </c>
      <c r="Q76" s="24">
        <f t="shared" si="19"/>
        <v>1</v>
      </c>
      <c r="R76" s="715">
        <f t="shared" ca="1" si="20"/>
        <v>30763</v>
      </c>
      <c r="S76" s="361">
        <f t="shared" ca="1" si="21"/>
        <v>103</v>
      </c>
      <c r="V76" s="799"/>
    </row>
    <row r="77" spans="1:22">
      <c r="A77" s="2999" t="str">
        <f>Sheet1!C56</f>
        <v>东湖新技术开发区光谷一路38号天成美景S1、S2栋S2单元2层16商号</v>
      </c>
      <c r="B77" s="717">
        <f>Sheet1!E56</f>
        <v>29.72</v>
      </c>
      <c r="C77" s="24">
        <f t="shared" si="12"/>
        <v>1.01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t="s">
        <v>3122</v>
      </c>
      <c r="Q77" s="24">
        <f t="shared" si="19"/>
        <v>1</v>
      </c>
      <c r="R77" s="715">
        <f t="shared" ca="1" si="20"/>
        <v>30763</v>
      </c>
      <c r="S77" s="361">
        <f t="shared" ca="1" si="21"/>
        <v>91</v>
      </c>
      <c r="V77" s="799"/>
    </row>
    <row r="78" spans="1:22">
      <c r="A78" s="2999" t="str">
        <f>Sheet1!C57</f>
        <v>东湖新技术开发区光谷一路38号天成美景S1、S2栋S2单元2层17商号</v>
      </c>
      <c r="B78" s="717">
        <f>Sheet1!E57</f>
        <v>29.72</v>
      </c>
      <c r="C78" s="24">
        <f t="shared" si="12"/>
        <v>1.01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t="s">
        <v>3122</v>
      </c>
      <c r="Q78" s="24">
        <f t="shared" si="19"/>
        <v>1</v>
      </c>
      <c r="R78" s="715">
        <f t="shared" ca="1" si="20"/>
        <v>30763</v>
      </c>
      <c r="S78" s="361">
        <f t="shared" ref="S78:S122" ca="1" si="22">ROUND(R78*B78/10000,0)</f>
        <v>91</v>
      </c>
      <c r="V78" s="799"/>
    </row>
    <row r="79" spans="1:22">
      <c r="A79" s="2999" t="str">
        <f>Sheet1!C58</f>
        <v>东湖新技术开发区光谷一路38号天成美景S1、S2栋S2单元2层18商号</v>
      </c>
      <c r="B79" s="717">
        <f>Sheet1!E58</f>
        <v>29.72</v>
      </c>
      <c r="C79" s="24">
        <f t="shared" si="12"/>
        <v>1.01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t="s">
        <v>3122</v>
      </c>
      <c r="Q79" s="24">
        <f t="shared" si="19"/>
        <v>1</v>
      </c>
      <c r="R79" s="715">
        <f t="shared" ca="1" si="20"/>
        <v>30763</v>
      </c>
      <c r="S79" s="361">
        <f t="shared" ca="1" si="22"/>
        <v>91</v>
      </c>
      <c r="V79" s="799"/>
    </row>
    <row r="80" spans="1:22">
      <c r="A80" s="2999" t="str">
        <f>Sheet1!C59</f>
        <v>东湖新技术开发区光谷一路38号天成美景S1、S2栋S2单元2层19商号</v>
      </c>
      <c r="B80" s="717">
        <f>Sheet1!E59</f>
        <v>44.57</v>
      </c>
      <c r="C80" s="24">
        <f t="shared" si="12"/>
        <v>1.01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t="s">
        <v>3122</v>
      </c>
      <c r="Q80" s="24">
        <f t="shared" si="19"/>
        <v>1</v>
      </c>
      <c r="R80" s="715">
        <f t="shared" ca="1" si="20"/>
        <v>30763</v>
      </c>
      <c r="S80" s="361">
        <f t="shared" ca="1" si="22"/>
        <v>137</v>
      </c>
      <c r="V80" s="799"/>
    </row>
    <row r="81" spans="1:22">
      <c r="A81" s="2999" t="str">
        <f>Sheet1!C60</f>
        <v>东湖新技术开发区光谷一路38号天成美景S1、S2栋S2单元2层20商号</v>
      </c>
      <c r="B81" s="717">
        <f>Sheet1!E60</f>
        <v>44.57</v>
      </c>
      <c r="C81" s="24">
        <f t="shared" si="12"/>
        <v>1.01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t="s">
        <v>3122</v>
      </c>
      <c r="Q81" s="24">
        <f t="shared" si="19"/>
        <v>1</v>
      </c>
      <c r="R81" s="715">
        <f t="shared" ca="1" si="20"/>
        <v>30763</v>
      </c>
      <c r="S81" s="361">
        <f t="shared" ca="1" si="22"/>
        <v>137</v>
      </c>
      <c r="V81" s="799"/>
    </row>
    <row r="82" spans="1:22">
      <c r="A82" s="2999" t="str">
        <f>Sheet1!C61</f>
        <v>东湖新技术开发区光谷一路38号天成美景S1、S2栋S2单元2层21商号</v>
      </c>
      <c r="B82" s="717">
        <f>Sheet1!E61</f>
        <v>44.57</v>
      </c>
      <c r="C82" s="24">
        <f t="shared" si="12"/>
        <v>1.01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t="s">
        <v>3127</v>
      </c>
      <c r="Q82" s="24">
        <f t="shared" si="19"/>
        <v>0.7</v>
      </c>
      <c r="R82" s="715">
        <f t="shared" ca="1" si="20"/>
        <v>21534</v>
      </c>
      <c r="S82" s="361">
        <f t="shared" ca="1" si="22"/>
        <v>96</v>
      </c>
      <c r="V82" s="799"/>
    </row>
    <row r="83" spans="1:22">
      <c r="A83" s="2999" t="str">
        <f>Sheet1!C62</f>
        <v>东湖新技术开发区光谷一路38号天成美景S1、S2栋S2单元2层22商号</v>
      </c>
      <c r="B83" s="717">
        <f>Sheet1!E62</f>
        <v>44.57</v>
      </c>
      <c r="C83" s="24">
        <f t="shared" si="12"/>
        <v>1.01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t="s">
        <v>3127</v>
      </c>
      <c r="Q83" s="24">
        <f t="shared" si="19"/>
        <v>0.7</v>
      </c>
      <c r="R83" s="715">
        <f t="shared" ca="1" si="20"/>
        <v>21534</v>
      </c>
      <c r="S83" s="361">
        <f t="shared" ca="1" si="22"/>
        <v>96</v>
      </c>
      <c r="V83" s="799"/>
    </row>
    <row r="84" spans="1:22">
      <c r="A84" s="2999" t="str">
        <f>Sheet1!C63</f>
        <v>东湖新技术开发区光谷一路38号天成美景S1、S2栋S2单元2层23商号</v>
      </c>
      <c r="B84" s="717">
        <f>Sheet1!E63</f>
        <v>44.57</v>
      </c>
      <c r="C84" s="24">
        <f t="shared" si="12"/>
        <v>1.01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t="s">
        <v>3127</v>
      </c>
      <c r="Q84" s="24">
        <f t="shared" si="19"/>
        <v>0.7</v>
      </c>
      <c r="R84" s="715">
        <f t="shared" ca="1" si="20"/>
        <v>21534</v>
      </c>
      <c r="S84" s="361">
        <f t="shared" ca="1" si="22"/>
        <v>96</v>
      </c>
      <c r="V84" s="799"/>
    </row>
    <row r="85" spans="1:22">
      <c r="A85" s="2999" t="str">
        <f>Sheet1!C64</f>
        <v>东湖新技术开发区光谷一路38号天成美景S1、S2栋S2单元2层24商号</v>
      </c>
      <c r="B85" s="717">
        <f>Sheet1!E64</f>
        <v>44.57</v>
      </c>
      <c r="C85" s="24">
        <f t="shared" si="12"/>
        <v>1.01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t="s">
        <v>3127</v>
      </c>
      <c r="Q85" s="24">
        <f t="shared" si="19"/>
        <v>0.7</v>
      </c>
      <c r="R85" s="715">
        <f t="shared" ca="1" si="20"/>
        <v>21534</v>
      </c>
      <c r="S85" s="361">
        <f t="shared" ca="1" si="22"/>
        <v>96</v>
      </c>
      <c r="V85" s="799"/>
    </row>
    <row r="86" spans="1:22">
      <c r="A86" s="2999" t="str">
        <f>Sheet1!C65</f>
        <v>东湖新技术开发区光谷一路38号天成美景S1、S2栋S2单元2层25商号</v>
      </c>
      <c r="B86" s="717">
        <f>Sheet1!E65</f>
        <v>29.72</v>
      </c>
      <c r="C86" s="24">
        <f t="shared" si="12"/>
        <v>1.01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t="s">
        <v>3127</v>
      </c>
      <c r="Q86" s="24">
        <f t="shared" si="19"/>
        <v>0.7</v>
      </c>
      <c r="R86" s="715">
        <f t="shared" ca="1" si="20"/>
        <v>21534</v>
      </c>
      <c r="S86" s="361">
        <f t="shared" ca="1" si="22"/>
        <v>64</v>
      </c>
      <c r="V86" s="799"/>
    </row>
    <row r="87" spans="1:22">
      <c r="A87" s="2999" t="str">
        <f>Sheet1!C66</f>
        <v>东湖新技术开发区光谷一路38号天成美景S1、S2栋S2单元2层26商号</v>
      </c>
      <c r="B87" s="717">
        <f>Sheet1!E66</f>
        <v>29.72</v>
      </c>
      <c r="C87" s="24">
        <f t="shared" si="12"/>
        <v>1.01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t="s">
        <v>3127</v>
      </c>
      <c r="Q87" s="24">
        <f t="shared" si="19"/>
        <v>0.7</v>
      </c>
      <c r="R87" s="715">
        <f t="shared" ca="1" si="20"/>
        <v>21534</v>
      </c>
      <c r="S87" s="361">
        <f t="shared" ca="1" si="22"/>
        <v>64</v>
      </c>
      <c r="V87" s="799"/>
    </row>
    <row r="88" spans="1:22">
      <c r="A88" s="2999" t="str">
        <f>Sheet1!C67</f>
        <v>东湖新技术开发区光谷一路38号天成美景S1、S2栋S2单元2层27商号</v>
      </c>
      <c r="B88" s="717">
        <f>Sheet1!E67</f>
        <v>66.86</v>
      </c>
      <c r="C88" s="24">
        <f t="shared" si="12"/>
        <v>1.01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t="s">
        <v>3127</v>
      </c>
      <c r="Q88" s="24">
        <f t="shared" si="19"/>
        <v>0.7</v>
      </c>
      <c r="R88" s="715">
        <f t="shared" ca="1" si="20"/>
        <v>21534</v>
      </c>
      <c r="S88" s="361">
        <f t="shared" ca="1" si="22"/>
        <v>144</v>
      </c>
      <c r="V88" s="799"/>
    </row>
    <row r="89" spans="1:22">
      <c r="A89" s="2999" t="str">
        <f>Sheet1!C68</f>
        <v>东湖新技术开发区光谷一路38号天成美景S1、S2栋S2单元2层28商号</v>
      </c>
      <c r="B89" s="717">
        <f>Sheet1!E68</f>
        <v>66.86</v>
      </c>
      <c r="C89" s="24">
        <f t="shared" si="12"/>
        <v>1.01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t="s">
        <v>3127</v>
      </c>
      <c r="Q89" s="24">
        <f t="shared" si="19"/>
        <v>0.7</v>
      </c>
      <c r="R89" s="715">
        <f t="shared" ca="1" si="20"/>
        <v>21534</v>
      </c>
      <c r="S89" s="361">
        <f t="shared" ca="1" si="22"/>
        <v>144</v>
      </c>
      <c r="V89" s="799"/>
    </row>
    <row r="90" spans="1:22">
      <c r="A90" s="2999" t="str">
        <f>Sheet1!C69</f>
        <v>东湖新技术开发区光谷一路38号天成美景S1、S2栋S2单元2层29商号</v>
      </c>
      <c r="B90" s="717">
        <f>Sheet1!E69</f>
        <v>54.78</v>
      </c>
      <c r="C90" s="24">
        <f t="shared" ref="C90:C153" si="23">IF(B90="",1,(LOOKUP(B90,$3:$3,$4:$4)-LOOKUP($B$24,$3:$3,$4:$4)+100)/100)</f>
        <v>1.01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t="s">
        <v>3127</v>
      </c>
      <c r="Q90" s="24">
        <f t="shared" ref="Q90:Q153" si="30">(SUMIF($17:$17,P90,$18:$18)-SUMIF($17:$17,$P$24,$18:$18)+100)/100</f>
        <v>0.7</v>
      </c>
      <c r="R90" s="715">
        <f t="shared" ref="R90:R153" ca="1" si="31">IF(B90="",0,ROUND($R$24*C90*E90*G90*I90*K90*M90*O90*Q90,0))</f>
        <v>21534</v>
      </c>
      <c r="S90" s="361">
        <f t="shared" ca="1" si="22"/>
        <v>118</v>
      </c>
      <c r="V90" s="799"/>
    </row>
    <row r="91" spans="1:22">
      <c r="A91" s="2999" t="str">
        <f>Sheet1!C70</f>
        <v>东湖新技术开发区光谷一路38号天成美景S1、S2栋S2单元2层30商号</v>
      </c>
      <c r="B91" s="717">
        <f>Sheet1!E70</f>
        <v>51.36</v>
      </c>
      <c r="C91" s="24">
        <f t="shared" si="23"/>
        <v>1.01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t="s">
        <v>3127</v>
      </c>
      <c r="Q91" s="24">
        <f t="shared" si="30"/>
        <v>0.7</v>
      </c>
      <c r="R91" s="715">
        <f t="shared" ca="1" si="31"/>
        <v>21534</v>
      </c>
      <c r="S91" s="361">
        <f t="shared" ca="1" si="22"/>
        <v>111</v>
      </c>
      <c r="V91" s="799"/>
    </row>
    <row r="92" spans="1:22">
      <c r="A92" s="2999" t="str">
        <f>Sheet1!C71</f>
        <v>东湖新技术开发区光谷一路38号天成美景S1、S2栋S2单元2层31商号</v>
      </c>
      <c r="B92" s="717">
        <f>Sheet1!E71</f>
        <v>44.57</v>
      </c>
      <c r="C92" s="24">
        <f t="shared" si="23"/>
        <v>1.01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t="s">
        <v>3127</v>
      </c>
      <c r="Q92" s="24">
        <f t="shared" si="30"/>
        <v>0.7</v>
      </c>
      <c r="R92" s="715">
        <f t="shared" ca="1" si="31"/>
        <v>21534</v>
      </c>
      <c r="S92" s="361">
        <f t="shared" ca="1" si="22"/>
        <v>96</v>
      </c>
      <c r="V92" s="799"/>
    </row>
    <row r="93" spans="1:22">
      <c r="A93" s="2999" t="str">
        <f>Sheet1!C72</f>
        <v>东湖新技术开发区光谷一路38号天成美景S1、S2栋S2单元2层32商号</v>
      </c>
      <c r="B93" s="717">
        <f>Sheet1!E72</f>
        <v>452.91</v>
      </c>
      <c r="C93" s="24">
        <f t="shared" si="23"/>
        <v>0.97</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t="s">
        <v>3127</v>
      </c>
      <c r="Q93" s="24">
        <f t="shared" si="30"/>
        <v>0.7</v>
      </c>
      <c r="R93" s="715">
        <f t="shared" ca="1" si="31"/>
        <v>20681</v>
      </c>
      <c r="S93" s="361">
        <f t="shared" ca="1" si="22"/>
        <v>937</v>
      </c>
      <c r="V93" s="799"/>
    </row>
    <row r="94" spans="1:22">
      <c r="A94" s="2999" t="str">
        <f>Sheet1!C73</f>
        <v>东湖新技术开发区光谷一路38号天成美景S1、S2栋S1单元3层01商号</v>
      </c>
      <c r="B94" s="717">
        <f>Sheet1!E73</f>
        <v>166.29</v>
      </c>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t="s">
        <v>3127</v>
      </c>
      <c r="Q94" s="24">
        <f t="shared" si="30"/>
        <v>0.7</v>
      </c>
      <c r="R94" s="715">
        <f t="shared" ca="1" si="31"/>
        <v>21321</v>
      </c>
      <c r="S94" s="361">
        <f t="shared" ca="1" si="22"/>
        <v>355</v>
      </c>
      <c r="V94" s="799"/>
    </row>
    <row r="95" spans="1:22">
      <c r="A95" s="2999" t="str">
        <f>Sheet1!C74</f>
        <v>东湖新技术开发区光谷一路38号天成美景S1、S2栋S1单元3层02商号</v>
      </c>
      <c r="B95" s="717">
        <f>Sheet1!E74</f>
        <v>175.09</v>
      </c>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t="s">
        <v>3127</v>
      </c>
      <c r="Q95" s="24">
        <f t="shared" si="30"/>
        <v>0.7</v>
      </c>
      <c r="R95" s="715">
        <f t="shared" ca="1" si="31"/>
        <v>21321</v>
      </c>
      <c r="S95" s="361">
        <f t="shared" ca="1" si="22"/>
        <v>373</v>
      </c>
      <c r="V95" s="799"/>
    </row>
    <row r="96" spans="1:22">
      <c r="A96" s="2999" t="str">
        <f>Sheet1!C75</f>
        <v>东湖新技术开发区光谷一路38号天成美景S1、S2栋S1单元3层03商号</v>
      </c>
      <c r="B96" s="717">
        <f>Sheet1!E75</f>
        <v>176.31</v>
      </c>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t="s">
        <v>3127</v>
      </c>
      <c r="Q96" s="24">
        <f t="shared" si="30"/>
        <v>0.7</v>
      </c>
      <c r="R96" s="715">
        <f t="shared" ca="1" si="31"/>
        <v>21321</v>
      </c>
      <c r="S96" s="361">
        <f t="shared" ca="1" si="22"/>
        <v>376</v>
      </c>
      <c r="V96" s="799"/>
    </row>
    <row r="97" spans="1:22">
      <c r="A97" s="2999" t="str">
        <f>Sheet1!C76</f>
        <v>东湖新技术开发区光谷一路38号天成美景S1、S2栋S1单元3层04商号</v>
      </c>
      <c r="B97" s="717">
        <f>Sheet1!E76</f>
        <v>175.09</v>
      </c>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t="s">
        <v>3127</v>
      </c>
      <c r="Q97" s="24">
        <f t="shared" si="30"/>
        <v>0.7</v>
      </c>
      <c r="R97" s="715">
        <f t="shared" ca="1" si="31"/>
        <v>21321</v>
      </c>
      <c r="S97" s="361">
        <f t="shared" ca="1" si="22"/>
        <v>373</v>
      </c>
      <c r="V97" s="799"/>
    </row>
    <row r="98" spans="1:22">
      <c r="A98" s="2999" t="str">
        <f>Sheet1!C77</f>
        <v>东湖新技术开发区光谷一路38号天成美景S1、S2栋S1单元3层05商号</v>
      </c>
      <c r="B98" s="717">
        <f>Sheet1!E77</f>
        <v>142.41999999999999</v>
      </c>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t="s">
        <v>3127</v>
      </c>
      <c r="Q98" s="24">
        <f t="shared" si="30"/>
        <v>0.7</v>
      </c>
      <c r="R98" s="715">
        <f t="shared" ca="1" si="31"/>
        <v>21321</v>
      </c>
      <c r="S98" s="361">
        <f t="shared" ca="1" si="22"/>
        <v>304</v>
      </c>
      <c r="V98" s="799"/>
    </row>
    <row r="99" spans="1:22">
      <c r="A99" s="2999" t="str">
        <f>Sheet1!C78</f>
        <v>东湖新技术开发区光谷一路38号天成美景S1、S2栋S1单元3层06商号</v>
      </c>
      <c r="B99" s="717">
        <f>Sheet1!E78</f>
        <v>70.569999999999993</v>
      </c>
      <c r="C99" s="24">
        <f t="shared" si="23"/>
        <v>1.01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t="s">
        <v>3127</v>
      </c>
      <c r="Q99" s="24">
        <f t="shared" si="30"/>
        <v>0.7</v>
      </c>
      <c r="R99" s="715">
        <f t="shared" ca="1" si="31"/>
        <v>21534</v>
      </c>
      <c r="S99" s="361">
        <f t="shared" ca="1" si="22"/>
        <v>152</v>
      </c>
      <c r="V99" s="799"/>
    </row>
    <row r="100" spans="1:22">
      <c r="A100" s="2999" t="str">
        <f>Sheet1!C79</f>
        <v>东湖新技术开发区光谷一路38号天成美景S1、S2栋S1单元3层07商号</v>
      </c>
      <c r="B100" s="717">
        <f>Sheet1!E79</f>
        <v>114.9</v>
      </c>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t="s">
        <v>3127</v>
      </c>
      <c r="Q100" s="24">
        <f t="shared" si="30"/>
        <v>0.7</v>
      </c>
      <c r="R100" s="715">
        <f t="shared" ca="1" si="31"/>
        <v>21321</v>
      </c>
      <c r="S100" s="361">
        <f t="shared" ca="1" si="22"/>
        <v>245</v>
      </c>
      <c r="V100" s="799"/>
    </row>
    <row r="101" spans="1:22">
      <c r="A101" s="2999" t="str">
        <f>Sheet1!C80</f>
        <v>东湖新技术开发区光谷一路38号天成美景S1、S2栋S1单元3层08商号</v>
      </c>
      <c r="B101" s="717">
        <f>Sheet1!E80</f>
        <v>114.9</v>
      </c>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t="s">
        <v>3127</v>
      </c>
      <c r="Q101" s="24">
        <f t="shared" si="30"/>
        <v>0.7</v>
      </c>
      <c r="R101" s="715">
        <f t="shared" ca="1" si="31"/>
        <v>21321</v>
      </c>
      <c r="S101" s="361">
        <f t="shared" ca="1" si="22"/>
        <v>245</v>
      </c>
      <c r="V101" s="799"/>
    </row>
    <row r="102" spans="1:22">
      <c r="A102" s="2999" t="str">
        <f>Sheet1!C81</f>
        <v>东湖新技术开发区光谷一路38号天成美景S1、S2栋S1单元3层09商号</v>
      </c>
      <c r="B102" s="717">
        <f>Sheet1!E81</f>
        <v>114.9</v>
      </c>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t="s">
        <v>3127</v>
      </c>
      <c r="Q102" s="24">
        <f t="shared" si="30"/>
        <v>0.7</v>
      </c>
      <c r="R102" s="715">
        <f t="shared" ca="1" si="31"/>
        <v>21321</v>
      </c>
      <c r="S102" s="361">
        <f t="shared" ca="1" si="22"/>
        <v>245</v>
      </c>
      <c r="V102" s="799"/>
    </row>
    <row r="103" spans="1:22">
      <c r="A103" s="2999" t="str">
        <f>Sheet1!C82</f>
        <v>东湖新技术开发区光谷一路38号天成美景S1、S2栋S2单元3层01商号</v>
      </c>
      <c r="B103" s="717">
        <f>Sheet1!E82</f>
        <v>300.63</v>
      </c>
      <c r="C103" s="24">
        <f t="shared" si="23"/>
        <v>0.98</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t="s">
        <v>3127</v>
      </c>
      <c r="Q103" s="24">
        <f t="shared" si="30"/>
        <v>0.7</v>
      </c>
      <c r="R103" s="715">
        <f t="shared" ca="1" si="31"/>
        <v>20894</v>
      </c>
      <c r="S103" s="361">
        <f t="shared" ca="1" si="22"/>
        <v>628</v>
      </c>
      <c r="V103" s="799"/>
    </row>
    <row r="104" spans="1:22">
      <c r="A104" s="2999" t="str">
        <f>Sheet1!C83</f>
        <v>东湖新技术开发区光谷一路38号天成美景8栋1-2层01商号</v>
      </c>
      <c r="B104" s="717">
        <f>Sheet1!E83</f>
        <v>121.13</v>
      </c>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t="s">
        <v>3127</v>
      </c>
      <c r="Q104" s="24">
        <f t="shared" si="30"/>
        <v>0.7</v>
      </c>
      <c r="R104" s="715">
        <f t="shared" ca="1" si="31"/>
        <v>21321</v>
      </c>
      <c r="S104" s="361">
        <f t="shared" ca="1" si="22"/>
        <v>258</v>
      </c>
      <c r="V104" s="799"/>
    </row>
    <row r="105" spans="1:22">
      <c r="A105" s="2999" t="str">
        <f>Sheet1!C84</f>
        <v>东湖新技术开发区光谷一路38号天成美景8栋1-2层02商号</v>
      </c>
      <c r="B105" s="717">
        <f>Sheet1!E84</f>
        <v>75.989999999999995</v>
      </c>
      <c r="C105" s="24">
        <f t="shared" si="23"/>
        <v>1.01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t="s">
        <v>3127</v>
      </c>
      <c r="Q105" s="24">
        <f t="shared" si="30"/>
        <v>0.7</v>
      </c>
      <c r="R105" s="715">
        <f t="shared" ca="1" si="31"/>
        <v>21534</v>
      </c>
      <c r="S105" s="361">
        <f t="shared" ca="1" si="22"/>
        <v>164</v>
      </c>
      <c r="V105" s="799"/>
    </row>
    <row r="106" spans="1:22">
      <c r="A106" s="2999" t="str">
        <f>Sheet1!C85</f>
        <v>东湖新技术开发区光谷一路38号天成美景8栋1-2层03商号</v>
      </c>
      <c r="B106" s="717">
        <f>Sheet1!E85</f>
        <v>100.74</v>
      </c>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t="s">
        <v>3127</v>
      </c>
      <c r="Q106" s="24">
        <f t="shared" si="30"/>
        <v>0.7</v>
      </c>
      <c r="R106" s="715">
        <f t="shared" ca="1" si="31"/>
        <v>21321</v>
      </c>
      <c r="S106" s="361">
        <f t="shared" ca="1" si="22"/>
        <v>215</v>
      </c>
      <c r="V106" s="799"/>
    </row>
    <row r="107" spans="1:22">
      <c r="A107" s="2999" t="str">
        <f>Sheet1!C86</f>
        <v>东湖新技术开发区光谷一路38号天成美景8栋1-2层04商号</v>
      </c>
      <c r="B107" s="717">
        <f>Sheet1!E86</f>
        <v>167.19</v>
      </c>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t="s">
        <v>3127</v>
      </c>
      <c r="Q107" s="24">
        <f t="shared" si="30"/>
        <v>0.7</v>
      </c>
      <c r="R107" s="715">
        <f t="shared" ca="1" si="31"/>
        <v>21321</v>
      </c>
      <c r="S107" s="361">
        <f t="shared" ca="1" si="22"/>
        <v>356</v>
      </c>
      <c r="V107" s="799"/>
    </row>
    <row r="108" spans="1:22">
      <c r="A108" s="2999" t="str">
        <f>Sheet1!C87</f>
        <v>东湖新技术开发区光谷一路38号天成美景8栋1-2层05商号</v>
      </c>
      <c r="B108" s="717">
        <f>Sheet1!E87</f>
        <v>125.68</v>
      </c>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t="s">
        <v>3127</v>
      </c>
      <c r="Q108" s="24">
        <f t="shared" si="30"/>
        <v>0.7</v>
      </c>
      <c r="R108" s="715">
        <f t="shared" ca="1" si="31"/>
        <v>21321</v>
      </c>
      <c r="S108" s="361">
        <f t="shared" ca="1" si="22"/>
        <v>268</v>
      </c>
      <c r="V108" s="799"/>
    </row>
    <row r="109" spans="1:22">
      <c r="A109" s="2999" t="str">
        <f>Sheet1!C88</f>
        <v>东湖新技术开发区光谷一路38号天成美景8栋1-2层06商号</v>
      </c>
      <c r="B109" s="717">
        <f>Sheet1!E88</f>
        <v>100.74</v>
      </c>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t="s">
        <v>3127</v>
      </c>
      <c r="Q109" s="24">
        <f t="shared" si="30"/>
        <v>0.7</v>
      </c>
      <c r="R109" s="715">
        <f t="shared" ca="1" si="31"/>
        <v>21321</v>
      </c>
      <c r="S109" s="361">
        <f t="shared" ca="1" si="22"/>
        <v>215</v>
      </c>
      <c r="V109" s="799"/>
    </row>
    <row r="110" spans="1:22">
      <c r="A110" s="2999" t="str">
        <f>Sheet1!C89</f>
        <v>东湖新技术开发区光谷一路38号天成美景8栋1-2层07商号</v>
      </c>
      <c r="B110" s="717">
        <f>Sheet1!E89</f>
        <v>75.989999999999995</v>
      </c>
      <c r="C110" s="24">
        <f t="shared" si="23"/>
        <v>1.01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t="s">
        <v>3127</v>
      </c>
      <c r="Q110" s="24">
        <f t="shared" si="30"/>
        <v>0.7</v>
      </c>
      <c r="R110" s="715">
        <f t="shared" ca="1" si="31"/>
        <v>21534</v>
      </c>
      <c r="S110" s="361">
        <f t="shared" ca="1" si="22"/>
        <v>164</v>
      </c>
      <c r="V110" s="799"/>
    </row>
    <row r="111" spans="1:22">
      <c r="A111" s="2999" t="str">
        <f>Sheet1!C90</f>
        <v>东湖新技术开发区光谷一路38号天成美景8栋1-2层08商号</v>
      </c>
      <c r="B111" s="717">
        <f>Sheet1!E90</f>
        <v>119.84</v>
      </c>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t="s">
        <v>3127</v>
      </c>
      <c r="Q111" s="24">
        <f t="shared" si="30"/>
        <v>0.7</v>
      </c>
      <c r="R111" s="715">
        <f t="shared" ca="1" si="31"/>
        <v>21321</v>
      </c>
      <c r="S111" s="361">
        <f t="shared" ca="1" si="22"/>
        <v>256</v>
      </c>
      <c r="V111" s="799"/>
    </row>
    <row r="112" spans="1:22">
      <c r="A112" s="2999" t="str">
        <f>Sheet1!C91</f>
        <v>东湖新技术开发区光谷一路38号天成美景1栋1-2层01商号</v>
      </c>
      <c r="B112" s="717">
        <f>Sheet1!E91</f>
        <v>286.79000000000002</v>
      </c>
      <c r="C112" s="24">
        <f t="shared" si="23"/>
        <v>0.99</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t="s">
        <v>3127</v>
      </c>
      <c r="Q112" s="24">
        <f t="shared" si="30"/>
        <v>0.7</v>
      </c>
      <c r="R112" s="715">
        <f t="shared" ca="1" si="31"/>
        <v>21107</v>
      </c>
      <c r="S112" s="361">
        <f t="shared" ca="1" si="22"/>
        <v>605</v>
      </c>
      <c r="V112" s="799"/>
    </row>
    <row r="113" spans="1:22">
      <c r="A113" s="2999" t="str">
        <f>Sheet1!C92</f>
        <v>东湖新技术开发区光谷一路38号天成美景1栋1-2层02商号</v>
      </c>
      <c r="B113" s="717">
        <f>Sheet1!E92</f>
        <v>225.24</v>
      </c>
      <c r="C113" s="24">
        <f t="shared" si="23"/>
        <v>0.99</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t="s">
        <v>3127</v>
      </c>
      <c r="Q113" s="24">
        <f t="shared" si="30"/>
        <v>0.7</v>
      </c>
      <c r="R113" s="715">
        <f t="shared" ca="1" si="31"/>
        <v>21107</v>
      </c>
      <c r="S113" s="361">
        <f t="shared" ca="1" si="22"/>
        <v>475</v>
      </c>
      <c r="V113" s="799"/>
    </row>
    <row r="114" spans="1:22">
      <c r="A114" s="2999" t="str">
        <f>Sheet1!C93</f>
        <v>东湖新技术开发区光谷一路38号天成美景1栋1-2层03商号</v>
      </c>
      <c r="B114" s="717">
        <f>Sheet1!E93</f>
        <v>265.33999999999997</v>
      </c>
      <c r="C114" s="24">
        <f t="shared" si="23"/>
        <v>0.99</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t="s">
        <v>3128</v>
      </c>
      <c r="Q114" s="24">
        <f t="shared" si="30"/>
        <v>0.6</v>
      </c>
      <c r="R114" s="715">
        <f t="shared" ca="1" si="31"/>
        <v>18092</v>
      </c>
      <c r="S114" s="361">
        <f t="shared" ca="1" si="22"/>
        <v>480</v>
      </c>
      <c r="V114" s="799"/>
    </row>
    <row r="115" spans="1:22">
      <c r="A115" s="2999" t="str">
        <f>Sheet1!C94</f>
        <v>东湖新技术开发区光谷一路38号天成美景1栋1-2层06商号</v>
      </c>
      <c r="B115" s="717">
        <f>Sheet1!E94</f>
        <v>270.51</v>
      </c>
      <c r="C115" s="24">
        <f t="shared" si="23"/>
        <v>0.99</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t="s">
        <v>3128</v>
      </c>
      <c r="Q115" s="24">
        <f t="shared" si="30"/>
        <v>0.6</v>
      </c>
      <c r="R115" s="715">
        <f t="shared" ca="1" si="31"/>
        <v>18092</v>
      </c>
      <c r="S115" s="361">
        <f t="shared" ca="1" si="22"/>
        <v>489</v>
      </c>
      <c r="V115" s="799"/>
    </row>
    <row r="116" spans="1:22">
      <c r="A116" s="2999" t="str">
        <f>Sheet1!C95</f>
        <v>东湖新技术开发区光谷一路38号天成美景1栋1-2层07商号</v>
      </c>
      <c r="B116" s="717">
        <f>Sheet1!E95</f>
        <v>288.14999999999998</v>
      </c>
      <c r="C116" s="24">
        <f t="shared" si="23"/>
        <v>0.99</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t="s">
        <v>3128</v>
      </c>
      <c r="Q116" s="24">
        <f t="shared" si="30"/>
        <v>0.6</v>
      </c>
      <c r="R116" s="715">
        <f t="shared" ca="1" si="31"/>
        <v>18092</v>
      </c>
      <c r="S116" s="361">
        <f t="shared" ca="1" si="22"/>
        <v>521</v>
      </c>
      <c r="V116" s="799"/>
    </row>
    <row r="117" spans="1:22">
      <c r="A117" s="2999" t="str">
        <f>Sheet1!C96</f>
        <v>东湖新技术开发区光谷一路38号天成美景1栋1-2层08商号</v>
      </c>
      <c r="B117" s="717">
        <f>Sheet1!E96</f>
        <v>153.97999999999999</v>
      </c>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t="s">
        <v>3128</v>
      </c>
      <c r="Q117" s="24">
        <f t="shared" si="30"/>
        <v>0.6</v>
      </c>
      <c r="R117" s="715">
        <f t="shared" ca="1" si="31"/>
        <v>18275</v>
      </c>
      <c r="S117" s="361">
        <f t="shared" ca="1" si="22"/>
        <v>281</v>
      </c>
      <c r="V117" s="799"/>
    </row>
    <row r="118" spans="1:22">
      <c r="A118" s="2999" t="str">
        <f>Sheet1!C97</f>
        <v>东湖新技术开发区光谷一路38号天成美景1栋1-2层09商号</v>
      </c>
      <c r="B118" s="717">
        <f>Sheet1!E97</f>
        <v>124.19</v>
      </c>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t="s">
        <v>3128</v>
      </c>
      <c r="Q118" s="24">
        <f t="shared" si="30"/>
        <v>0.6</v>
      </c>
      <c r="R118" s="715">
        <f t="shared" ca="1" si="31"/>
        <v>18275</v>
      </c>
      <c r="S118" s="361">
        <f t="shared" ca="1" si="22"/>
        <v>227</v>
      </c>
      <c r="V118" s="799"/>
    </row>
    <row r="119" spans="1:22">
      <c r="A119" s="2999" t="str">
        <f>Sheet1!C98</f>
        <v>东湖新技术开发区光谷一路38号天成美景1栋1-2层10商号</v>
      </c>
      <c r="B119" s="717">
        <f>Sheet1!E98</f>
        <v>181.08</v>
      </c>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t="s">
        <v>3128</v>
      </c>
      <c r="Q119" s="24">
        <f t="shared" si="30"/>
        <v>0.6</v>
      </c>
      <c r="R119" s="715">
        <f t="shared" ca="1" si="31"/>
        <v>18275</v>
      </c>
      <c r="S119" s="361">
        <f t="shared" ca="1" si="22"/>
        <v>331</v>
      </c>
      <c r="V119" s="799"/>
    </row>
    <row r="120" spans="1:22">
      <c r="A120" s="2999" t="str">
        <f>Sheet1!C99</f>
        <v>东湖新技术开发区光谷一路38号天成美景1栋1-2层11商号</v>
      </c>
      <c r="B120" s="717">
        <f>Sheet1!E99</f>
        <v>181.08</v>
      </c>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t="s">
        <v>3128</v>
      </c>
      <c r="Q120" s="24">
        <f t="shared" si="30"/>
        <v>0.6</v>
      </c>
      <c r="R120" s="715">
        <f t="shared" ca="1" si="31"/>
        <v>18275</v>
      </c>
      <c r="S120" s="361">
        <f t="shared" ca="1" si="22"/>
        <v>331</v>
      </c>
      <c r="V120" s="799"/>
    </row>
    <row r="121" spans="1:22">
      <c r="A121" s="2999" t="str">
        <f>Sheet1!C100</f>
        <v>东湖新技术开发区光谷一路38号天成美景1栋1-2层12商号</v>
      </c>
      <c r="B121" s="717">
        <f>Sheet1!E100</f>
        <v>124.22</v>
      </c>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t="s">
        <v>3128</v>
      </c>
      <c r="Q121" s="24">
        <f t="shared" si="30"/>
        <v>0.6</v>
      </c>
      <c r="R121" s="715">
        <f t="shared" ca="1" si="31"/>
        <v>18275</v>
      </c>
      <c r="S121" s="361">
        <f t="shared" ca="1" si="22"/>
        <v>227</v>
      </c>
      <c r="V121" s="799"/>
    </row>
    <row r="122" spans="1:22">
      <c r="A122" s="2999" t="str">
        <f>Sheet1!C101</f>
        <v>东湖新技术开发区光谷一路38号天成美景1栋1-2层13商号</v>
      </c>
      <c r="B122" s="717">
        <f>Sheet1!E101</f>
        <v>153.97999999999999</v>
      </c>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t="s">
        <v>3128</v>
      </c>
      <c r="Q122" s="24">
        <f t="shared" si="30"/>
        <v>0.6</v>
      </c>
      <c r="R122" s="715">
        <f t="shared" ca="1" si="31"/>
        <v>18275</v>
      </c>
      <c r="S122" s="361">
        <f t="shared" ca="1" si="22"/>
        <v>281</v>
      </c>
      <c r="V122" s="799"/>
    </row>
    <row r="123" spans="1:22">
      <c r="A123" s="2999" t="str">
        <f>Sheet1!C102</f>
        <v>东湖新技术开发区光谷一路38号天成美景1栋1-2层14商号</v>
      </c>
      <c r="B123" s="717">
        <f>Sheet1!E102</f>
        <v>181.08</v>
      </c>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t="s">
        <v>3128</v>
      </c>
      <c r="Q123" s="24">
        <f t="shared" si="30"/>
        <v>0.6</v>
      </c>
      <c r="R123" s="715">
        <f t="shared" ca="1" si="31"/>
        <v>18275</v>
      </c>
      <c r="S123" s="361">
        <f t="shared" ref="S123:S186" ca="1" si="32">ROUND(R123*B123/10000,0)</f>
        <v>331</v>
      </c>
      <c r="V123" s="799"/>
    </row>
    <row r="124" spans="1:22">
      <c r="A124" s="2999"/>
      <c r="B124" s="717"/>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t="s">
        <v>3128</v>
      </c>
      <c r="Q124" s="24">
        <f t="shared" si="30"/>
        <v>0.6</v>
      </c>
      <c r="R124" s="715">
        <f t="shared" si="31"/>
        <v>0</v>
      </c>
      <c r="S124" s="361">
        <f t="shared" si="32"/>
        <v>0</v>
      </c>
      <c r="V124" s="799"/>
    </row>
    <row r="125" spans="1:22">
      <c r="A125" s="2999"/>
      <c r="B125" s="717"/>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t="s">
        <v>3128</v>
      </c>
      <c r="Q125" s="24">
        <f t="shared" si="30"/>
        <v>0.6</v>
      </c>
      <c r="R125" s="715">
        <f t="shared" si="31"/>
        <v>0</v>
      </c>
      <c r="S125" s="361">
        <f t="shared" si="32"/>
        <v>0</v>
      </c>
      <c r="V125" s="799"/>
    </row>
    <row r="126" spans="1:22">
      <c r="A126" s="2999"/>
      <c r="B126" s="717"/>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t="s">
        <v>3127</v>
      </c>
      <c r="Q126" s="24">
        <f t="shared" si="30"/>
        <v>0.7</v>
      </c>
      <c r="R126" s="715">
        <f t="shared" si="31"/>
        <v>0</v>
      </c>
      <c r="S126" s="361">
        <f t="shared" si="32"/>
        <v>0</v>
      </c>
      <c r="V126" s="799"/>
    </row>
    <row r="127" spans="1:22">
      <c r="A127" s="2999"/>
      <c r="B127" s="717"/>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t="s">
        <v>3127</v>
      </c>
      <c r="Q127" s="24">
        <f t="shared" si="30"/>
        <v>0.7</v>
      </c>
      <c r="R127" s="715">
        <f t="shared" si="31"/>
        <v>0</v>
      </c>
      <c r="S127" s="361">
        <f t="shared" si="32"/>
        <v>0</v>
      </c>
      <c r="V127" s="799"/>
    </row>
    <row r="128" spans="1:22">
      <c r="A128" s="2999"/>
      <c r="B128" s="717"/>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t="s">
        <v>3127</v>
      </c>
      <c r="Q128" s="24">
        <f t="shared" si="30"/>
        <v>0.7</v>
      </c>
      <c r="R128" s="715">
        <f t="shared" si="31"/>
        <v>0</v>
      </c>
      <c r="S128" s="361">
        <f t="shared" si="32"/>
        <v>0</v>
      </c>
      <c r="V128" s="799"/>
    </row>
    <row r="129" spans="1:22">
      <c r="A129" s="2999"/>
      <c r="B129" s="717"/>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t="s">
        <v>3127</v>
      </c>
      <c r="Q129" s="24">
        <f t="shared" si="30"/>
        <v>0.7</v>
      </c>
      <c r="R129" s="715">
        <f t="shared" si="31"/>
        <v>0</v>
      </c>
      <c r="S129" s="361">
        <f t="shared" si="32"/>
        <v>0</v>
      </c>
      <c r="V129" s="799"/>
    </row>
    <row r="130" spans="1:22">
      <c r="A130" s="2999"/>
      <c r="B130" s="717"/>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t="s">
        <v>3127</v>
      </c>
      <c r="Q130" s="24">
        <f t="shared" si="30"/>
        <v>0.7</v>
      </c>
      <c r="R130" s="715">
        <f t="shared" si="31"/>
        <v>0</v>
      </c>
      <c r="S130" s="361">
        <f t="shared" si="32"/>
        <v>0</v>
      </c>
      <c r="V130" s="799"/>
    </row>
    <row r="131" spans="1:22">
      <c r="A131" s="2999"/>
      <c r="B131" s="717"/>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t="s">
        <v>3127</v>
      </c>
      <c r="Q131" s="24">
        <f t="shared" si="30"/>
        <v>0.7</v>
      </c>
      <c r="R131" s="715">
        <f t="shared" si="31"/>
        <v>0</v>
      </c>
      <c r="S131" s="361">
        <f t="shared" si="32"/>
        <v>0</v>
      </c>
      <c r="V131" s="799"/>
    </row>
    <row r="132" spans="1:22">
      <c r="A132" s="2999"/>
      <c r="B132" s="717"/>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t="s">
        <v>3127</v>
      </c>
      <c r="Q132" s="24">
        <f t="shared" si="30"/>
        <v>0.7</v>
      </c>
      <c r="R132" s="715">
        <f t="shared" si="31"/>
        <v>0</v>
      </c>
      <c r="S132" s="361">
        <f t="shared" si="32"/>
        <v>0</v>
      </c>
      <c r="V132" s="799"/>
    </row>
    <row r="133" spans="1:22">
      <c r="A133" s="2999"/>
      <c r="B133" s="717"/>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t="s">
        <v>3127</v>
      </c>
      <c r="Q133" s="24">
        <f t="shared" si="30"/>
        <v>0.7</v>
      </c>
      <c r="R133" s="715">
        <f t="shared" si="31"/>
        <v>0</v>
      </c>
      <c r="S133" s="361">
        <f t="shared" si="32"/>
        <v>0</v>
      </c>
      <c r="V133" s="799"/>
    </row>
    <row r="134" spans="1:22">
      <c r="A134" s="2999"/>
      <c r="B134" s="717"/>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t="s">
        <v>3127</v>
      </c>
      <c r="Q134" s="24">
        <f t="shared" si="30"/>
        <v>0.7</v>
      </c>
      <c r="R134" s="715">
        <f t="shared" si="31"/>
        <v>0</v>
      </c>
      <c r="S134" s="361">
        <f t="shared" si="32"/>
        <v>0</v>
      </c>
      <c r="V134" s="799"/>
    </row>
    <row r="135" spans="1:22">
      <c r="A135" s="2999"/>
      <c r="B135" s="717"/>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t="s">
        <v>3127</v>
      </c>
      <c r="Q135" s="24">
        <f t="shared" si="30"/>
        <v>0.7</v>
      </c>
      <c r="R135" s="715">
        <f t="shared" si="31"/>
        <v>0</v>
      </c>
      <c r="S135" s="361">
        <f t="shared" si="32"/>
        <v>0</v>
      </c>
      <c r="V135" s="799"/>
    </row>
    <row r="136" spans="1:22">
      <c r="A136" s="2999"/>
      <c r="B136" s="717"/>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t="s">
        <v>3127</v>
      </c>
      <c r="Q136" s="24">
        <f t="shared" si="30"/>
        <v>0.7</v>
      </c>
      <c r="R136" s="715">
        <f t="shared" si="31"/>
        <v>0</v>
      </c>
      <c r="S136" s="361">
        <f t="shared" si="32"/>
        <v>0</v>
      </c>
      <c r="V136" s="799"/>
    </row>
    <row r="137" spans="1:22">
      <c r="A137" s="2999"/>
      <c r="B137" s="717"/>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t="s">
        <v>3127</v>
      </c>
      <c r="Q137" s="24">
        <f t="shared" si="30"/>
        <v>0.7</v>
      </c>
      <c r="R137" s="715">
        <f t="shared" si="31"/>
        <v>0</v>
      </c>
      <c r="S137" s="361">
        <f t="shared" si="32"/>
        <v>0</v>
      </c>
      <c r="V137" s="799"/>
    </row>
    <row r="138" spans="1:22">
      <c r="A138" s="2999"/>
      <c r="B138" s="717"/>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t="s">
        <v>3127</v>
      </c>
      <c r="Q138" s="24">
        <f t="shared" si="30"/>
        <v>0.7</v>
      </c>
      <c r="R138" s="715">
        <f t="shared" si="31"/>
        <v>0</v>
      </c>
      <c r="S138" s="361">
        <f t="shared" si="32"/>
        <v>0</v>
      </c>
      <c r="V138" s="799"/>
    </row>
    <row r="139" spans="1:22">
      <c r="A139" s="2999"/>
      <c r="B139" s="717"/>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t="s">
        <v>3127</v>
      </c>
      <c r="Q139" s="24">
        <f t="shared" si="30"/>
        <v>0.7</v>
      </c>
      <c r="R139" s="715">
        <f t="shared" si="31"/>
        <v>0</v>
      </c>
      <c r="S139" s="361">
        <f t="shared" si="32"/>
        <v>0</v>
      </c>
      <c r="V139" s="799"/>
    </row>
    <row r="140" spans="1:22">
      <c r="A140" s="2999"/>
      <c r="B140" s="717"/>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t="s">
        <v>3127</v>
      </c>
      <c r="Q140" s="24">
        <f t="shared" si="30"/>
        <v>0.7</v>
      </c>
      <c r="R140" s="715">
        <f t="shared" si="31"/>
        <v>0</v>
      </c>
      <c r="S140" s="361">
        <f t="shared" si="32"/>
        <v>0</v>
      </c>
      <c r="V140" s="799"/>
    </row>
    <row r="141" spans="1:22">
      <c r="A141" s="2999"/>
      <c r="B141" s="717"/>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t="s">
        <v>3127</v>
      </c>
      <c r="Q141" s="24">
        <f t="shared" si="30"/>
        <v>0.7</v>
      </c>
      <c r="R141" s="715">
        <f t="shared" si="31"/>
        <v>0</v>
      </c>
      <c r="S141" s="361">
        <f t="shared" si="32"/>
        <v>0</v>
      </c>
      <c r="V141" s="799"/>
    </row>
    <row r="142" spans="1:22">
      <c r="A142" s="2999"/>
      <c r="B142" s="717"/>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t="s">
        <v>3127</v>
      </c>
      <c r="Q142" s="24">
        <f t="shared" si="30"/>
        <v>0.7</v>
      </c>
      <c r="R142" s="715">
        <f t="shared" si="31"/>
        <v>0</v>
      </c>
      <c r="S142" s="361">
        <f t="shared" si="32"/>
        <v>0</v>
      </c>
      <c r="V142" s="799"/>
    </row>
    <row r="143" spans="1:22">
      <c r="A143" s="2999"/>
      <c r="B143" s="717"/>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t="s">
        <v>3127</v>
      </c>
      <c r="Q143" s="24">
        <f t="shared" si="30"/>
        <v>0.7</v>
      </c>
      <c r="R143" s="715">
        <f t="shared" si="31"/>
        <v>0</v>
      </c>
      <c r="S143" s="361">
        <f t="shared" si="32"/>
        <v>0</v>
      </c>
      <c r="V143" s="799"/>
    </row>
    <row r="144" spans="1:22">
      <c r="A144" s="2999"/>
      <c r="B144" s="717"/>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t="s">
        <v>3127</v>
      </c>
      <c r="Q144" s="24">
        <f t="shared" si="30"/>
        <v>0.7</v>
      </c>
      <c r="R144" s="715">
        <f t="shared" si="31"/>
        <v>0</v>
      </c>
      <c r="S144" s="361">
        <f t="shared" si="32"/>
        <v>0</v>
      </c>
    </row>
    <row r="145" spans="1:19">
      <c r="A145" s="2999"/>
      <c r="B145" s="717"/>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t="s">
        <v>3127</v>
      </c>
      <c r="Q145" s="24">
        <f t="shared" si="30"/>
        <v>0.7</v>
      </c>
      <c r="R145" s="715">
        <f t="shared" si="31"/>
        <v>0</v>
      </c>
      <c r="S145" s="361">
        <f t="shared" si="32"/>
        <v>0</v>
      </c>
    </row>
    <row r="146" spans="1:19">
      <c r="A146" s="2999"/>
      <c r="B146" s="717"/>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t="s">
        <v>3127</v>
      </c>
      <c r="Q146" s="24">
        <f t="shared" si="30"/>
        <v>0.7</v>
      </c>
      <c r="R146" s="715">
        <f t="shared" si="31"/>
        <v>0</v>
      </c>
      <c r="S146" s="361">
        <f t="shared" si="32"/>
        <v>0</v>
      </c>
    </row>
    <row r="147" spans="1:19">
      <c r="A147" s="2999"/>
      <c r="B147" s="717"/>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t="s">
        <v>3127</v>
      </c>
      <c r="Q147" s="24">
        <f t="shared" si="30"/>
        <v>0.7</v>
      </c>
      <c r="R147" s="715">
        <f t="shared" si="31"/>
        <v>0</v>
      </c>
      <c r="S147" s="361">
        <f t="shared" si="32"/>
        <v>0</v>
      </c>
    </row>
    <row r="148" spans="1:19">
      <c r="A148" s="2999"/>
      <c r="B148" s="717"/>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t="s">
        <v>3127</v>
      </c>
      <c r="Q148" s="24">
        <f t="shared" si="30"/>
        <v>0.7</v>
      </c>
      <c r="R148" s="715">
        <f t="shared" si="31"/>
        <v>0</v>
      </c>
      <c r="S148" s="361">
        <f t="shared" si="32"/>
        <v>0</v>
      </c>
    </row>
    <row r="149" spans="1:19">
      <c r="A149" s="2999"/>
      <c r="B149" s="717"/>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t="s">
        <v>3127</v>
      </c>
      <c r="Q149" s="24">
        <f t="shared" si="30"/>
        <v>0.7</v>
      </c>
      <c r="R149" s="715">
        <f t="shared" si="31"/>
        <v>0</v>
      </c>
      <c r="S149" s="361">
        <f t="shared" si="32"/>
        <v>0</v>
      </c>
    </row>
    <row r="150" spans="1:19">
      <c r="A150" s="2999"/>
      <c r="B150" s="717"/>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t="s">
        <v>3127</v>
      </c>
      <c r="Q150" s="24">
        <f t="shared" si="30"/>
        <v>0.7</v>
      </c>
      <c r="R150" s="715">
        <f t="shared" si="31"/>
        <v>0</v>
      </c>
      <c r="S150" s="361">
        <f t="shared" si="32"/>
        <v>0</v>
      </c>
    </row>
    <row r="151" spans="1:19">
      <c r="A151" s="2999"/>
      <c r="B151" s="717"/>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t="s">
        <v>3127</v>
      </c>
      <c r="Q151" s="24">
        <f t="shared" si="30"/>
        <v>0.7</v>
      </c>
      <c r="R151" s="715">
        <f t="shared" si="31"/>
        <v>0</v>
      </c>
      <c r="S151" s="361">
        <f t="shared" si="32"/>
        <v>0</v>
      </c>
    </row>
    <row r="152" spans="1:19">
      <c r="A152" s="2999"/>
      <c r="B152" s="717"/>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t="s">
        <v>3127</v>
      </c>
      <c r="Q152" s="24">
        <f t="shared" si="30"/>
        <v>0.7</v>
      </c>
      <c r="R152" s="715">
        <f t="shared" si="31"/>
        <v>0</v>
      </c>
      <c r="S152" s="361">
        <f t="shared" si="32"/>
        <v>0</v>
      </c>
    </row>
    <row r="153" spans="1:19">
      <c r="A153" s="2999"/>
      <c r="B153" s="717"/>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t="s">
        <v>3127</v>
      </c>
      <c r="Q153" s="24">
        <f t="shared" si="30"/>
        <v>0.7</v>
      </c>
      <c r="R153" s="715">
        <f t="shared" si="31"/>
        <v>0</v>
      </c>
      <c r="S153" s="361">
        <f t="shared" si="32"/>
        <v>0</v>
      </c>
    </row>
    <row r="154" spans="1:19">
      <c r="A154" s="2999"/>
      <c r="B154" s="717"/>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t="s">
        <v>3127</v>
      </c>
      <c r="Q154" s="24">
        <f t="shared" ref="Q154:Q217" si="40">(SUMIF($17:$17,P154,$18:$18)-SUMIF($17:$17,$P$24,$18:$18)+100)/100</f>
        <v>0.7</v>
      </c>
      <c r="R154" s="715">
        <f t="shared" ref="R154:R217" si="41">IF(B154="",0,ROUND($R$24*C154*E154*G154*I154*K154*M154*O154*Q154,0))</f>
        <v>0</v>
      </c>
      <c r="S154" s="361">
        <f t="shared" si="32"/>
        <v>0</v>
      </c>
    </row>
    <row r="155" spans="1:19">
      <c r="A155" s="2999"/>
      <c r="B155" s="717"/>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t="s">
        <v>3128</v>
      </c>
      <c r="Q155" s="24">
        <f t="shared" si="40"/>
        <v>0.6</v>
      </c>
      <c r="R155" s="715">
        <f t="shared" si="41"/>
        <v>0</v>
      </c>
      <c r="S155" s="361">
        <f t="shared" si="32"/>
        <v>0</v>
      </c>
    </row>
    <row r="156" spans="1:19">
      <c r="A156" s="2999"/>
      <c r="B156" s="717"/>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t="s">
        <v>3128</v>
      </c>
      <c r="Q156" s="24">
        <f t="shared" si="40"/>
        <v>0.6</v>
      </c>
      <c r="R156" s="715">
        <f t="shared" si="41"/>
        <v>0</v>
      </c>
      <c r="S156" s="361">
        <f t="shared" si="32"/>
        <v>0</v>
      </c>
    </row>
    <row r="157" spans="1:19">
      <c r="A157" s="2999"/>
      <c r="B157" s="717"/>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t="s">
        <v>3128</v>
      </c>
      <c r="Q157" s="24">
        <f t="shared" si="40"/>
        <v>0.6</v>
      </c>
      <c r="R157" s="715">
        <f t="shared" si="41"/>
        <v>0</v>
      </c>
      <c r="S157" s="361">
        <f t="shared" si="32"/>
        <v>0</v>
      </c>
    </row>
    <row r="158" spans="1:19">
      <c r="A158" s="2999"/>
      <c r="B158" s="717"/>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t="s">
        <v>3128</v>
      </c>
      <c r="Q158" s="24">
        <f t="shared" si="40"/>
        <v>0.6</v>
      </c>
      <c r="R158" s="715">
        <f t="shared" si="41"/>
        <v>0</v>
      </c>
      <c r="S158" s="361">
        <f t="shared" si="32"/>
        <v>0</v>
      </c>
    </row>
    <row r="159" spans="1:19">
      <c r="A159" s="2999"/>
      <c r="B159" s="717"/>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t="s">
        <v>3128</v>
      </c>
      <c r="Q159" s="24">
        <f t="shared" si="40"/>
        <v>0.6</v>
      </c>
      <c r="R159" s="715">
        <f t="shared" si="41"/>
        <v>0</v>
      </c>
      <c r="S159" s="361">
        <f t="shared" si="32"/>
        <v>0</v>
      </c>
    </row>
    <row r="160" spans="1:19">
      <c r="A160" s="2999"/>
      <c r="B160" s="717"/>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t="s">
        <v>3128</v>
      </c>
      <c r="Q160" s="24">
        <f t="shared" si="40"/>
        <v>0.6</v>
      </c>
      <c r="R160" s="715">
        <f t="shared" si="41"/>
        <v>0</v>
      </c>
      <c r="S160" s="361">
        <f t="shared" si="32"/>
        <v>0</v>
      </c>
    </row>
    <row r="161" spans="1:19">
      <c r="A161" s="2999"/>
      <c r="B161" s="717"/>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t="s">
        <v>3128</v>
      </c>
      <c r="Q161" s="24">
        <f t="shared" si="40"/>
        <v>0.6</v>
      </c>
      <c r="R161" s="715">
        <f t="shared" si="41"/>
        <v>0</v>
      </c>
      <c r="S161" s="361">
        <f t="shared" si="32"/>
        <v>0</v>
      </c>
    </row>
    <row r="162" spans="1:19">
      <c r="A162" s="2999"/>
      <c r="B162" s="717"/>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t="s">
        <v>3128</v>
      </c>
      <c r="Q162" s="24">
        <f t="shared" si="40"/>
        <v>0.6</v>
      </c>
      <c r="R162" s="715">
        <f t="shared" si="41"/>
        <v>0</v>
      </c>
      <c r="S162" s="361">
        <f t="shared" si="32"/>
        <v>0</v>
      </c>
    </row>
    <row r="163" spans="1:19">
      <c r="A163" s="2999"/>
      <c r="B163" s="717"/>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t="s">
        <v>3128</v>
      </c>
      <c r="Q163" s="24">
        <f t="shared" si="40"/>
        <v>0.6</v>
      </c>
      <c r="R163" s="715">
        <f t="shared" si="41"/>
        <v>0</v>
      </c>
      <c r="S163" s="361">
        <f t="shared" si="32"/>
        <v>0</v>
      </c>
    </row>
    <row r="164" spans="1:19">
      <c r="A164" s="2999"/>
      <c r="B164" s="717"/>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t="s">
        <v>3128</v>
      </c>
      <c r="Q164" s="24">
        <f t="shared" si="40"/>
        <v>0.6</v>
      </c>
      <c r="R164" s="715">
        <f t="shared" si="41"/>
        <v>0</v>
      </c>
      <c r="S164" s="361">
        <f t="shared" si="32"/>
        <v>0</v>
      </c>
    </row>
    <row r="165" spans="1:19">
      <c r="A165" s="2999"/>
      <c r="B165" s="717"/>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t="s">
        <v>3128</v>
      </c>
      <c r="Q165" s="24">
        <f t="shared" si="40"/>
        <v>0.6</v>
      </c>
      <c r="R165" s="715">
        <f t="shared" si="41"/>
        <v>0</v>
      </c>
      <c r="S165" s="361">
        <f t="shared" si="32"/>
        <v>0</v>
      </c>
    </row>
    <row r="166" spans="1:19">
      <c r="A166" s="2999"/>
      <c r="B166" s="717"/>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t="s">
        <v>3128</v>
      </c>
      <c r="Q166" s="24">
        <f t="shared" si="40"/>
        <v>0.6</v>
      </c>
      <c r="R166" s="715">
        <f t="shared" si="41"/>
        <v>0</v>
      </c>
      <c r="S166" s="361">
        <f t="shared" si="32"/>
        <v>0</v>
      </c>
    </row>
    <row r="167" spans="1:19">
      <c r="A167" s="2999"/>
      <c r="B167" s="717"/>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t="s">
        <v>3122</v>
      </c>
      <c r="Q167" s="24">
        <f t="shared" si="40"/>
        <v>1</v>
      </c>
      <c r="R167" s="715">
        <f t="shared" si="41"/>
        <v>0</v>
      </c>
      <c r="S167" s="361">
        <f t="shared" si="32"/>
        <v>0</v>
      </c>
    </row>
    <row r="168" spans="1:19">
      <c r="A168" s="2999"/>
      <c r="B168" s="717"/>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t="s">
        <v>3122</v>
      </c>
      <c r="Q168" s="24">
        <f t="shared" si="40"/>
        <v>1</v>
      </c>
      <c r="R168" s="715">
        <f t="shared" si="41"/>
        <v>0</v>
      </c>
      <c r="S168" s="361">
        <f t="shared" si="32"/>
        <v>0</v>
      </c>
    </row>
    <row r="169" spans="1:19">
      <c r="A169" s="2999"/>
      <c r="B169" s="717"/>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t="s">
        <v>3122</v>
      </c>
      <c r="Q169" s="24">
        <f t="shared" si="40"/>
        <v>1</v>
      </c>
      <c r="R169" s="715">
        <f t="shared" si="41"/>
        <v>0</v>
      </c>
      <c r="S169" s="361">
        <f t="shared" si="32"/>
        <v>0</v>
      </c>
    </row>
    <row r="170" spans="1:19">
      <c r="A170" s="2999"/>
      <c r="B170" s="717"/>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t="s">
        <v>3122</v>
      </c>
      <c r="Q170" s="24">
        <f t="shared" si="40"/>
        <v>1</v>
      </c>
      <c r="R170" s="715">
        <f t="shared" si="41"/>
        <v>0</v>
      </c>
      <c r="S170" s="361">
        <f t="shared" si="32"/>
        <v>0</v>
      </c>
    </row>
    <row r="171" spans="1:19">
      <c r="A171" s="2999"/>
      <c r="B171" s="717"/>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t="s">
        <v>3122</v>
      </c>
      <c r="Q171" s="24">
        <f t="shared" si="40"/>
        <v>1</v>
      </c>
      <c r="R171" s="715">
        <f t="shared" si="41"/>
        <v>0</v>
      </c>
      <c r="S171" s="361">
        <f t="shared" si="32"/>
        <v>0</v>
      </c>
    </row>
    <row r="172" spans="1:19">
      <c r="A172" s="2999"/>
      <c r="B172" s="717"/>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t="s">
        <v>3122</v>
      </c>
      <c r="Q172" s="24">
        <f t="shared" si="40"/>
        <v>1</v>
      </c>
      <c r="R172" s="715">
        <f t="shared" si="41"/>
        <v>0</v>
      </c>
      <c r="S172" s="361">
        <f t="shared" si="32"/>
        <v>0</v>
      </c>
    </row>
    <row r="173" spans="1:19">
      <c r="A173" s="2999"/>
      <c r="B173" s="717"/>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t="s">
        <v>3122</v>
      </c>
      <c r="Q173" s="24">
        <f t="shared" si="40"/>
        <v>1</v>
      </c>
      <c r="R173" s="715">
        <f t="shared" si="41"/>
        <v>0</v>
      </c>
      <c r="S173" s="361">
        <f t="shared" si="32"/>
        <v>0</v>
      </c>
    </row>
    <row r="174" spans="1:19">
      <c r="A174" s="2999"/>
      <c r="B174" s="717"/>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t="s">
        <v>3122</v>
      </c>
      <c r="Q174" s="24">
        <f t="shared" si="40"/>
        <v>1</v>
      </c>
      <c r="R174" s="715">
        <f t="shared" si="41"/>
        <v>0</v>
      </c>
      <c r="S174" s="361">
        <f t="shared" si="32"/>
        <v>0</v>
      </c>
    </row>
    <row r="175" spans="1:19">
      <c r="A175" s="2999"/>
      <c r="B175" s="717"/>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t="s">
        <v>3122</v>
      </c>
      <c r="Q175" s="24">
        <f t="shared" si="40"/>
        <v>1</v>
      </c>
      <c r="R175" s="715">
        <f t="shared" si="41"/>
        <v>0</v>
      </c>
      <c r="S175" s="361">
        <f t="shared" si="32"/>
        <v>0</v>
      </c>
    </row>
    <row r="176" spans="1:19">
      <c r="A176" s="2999"/>
      <c r="B176" s="717"/>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t="s">
        <v>3122</v>
      </c>
      <c r="Q176" s="24">
        <f t="shared" si="40"/>
        <v>1</v>
      </c>
      <c r="R176" s="715">
        <f t="shared" si="41"/>
        <v>0</v>
      </c>
      <c r="S176" s="361">
        <f t="shared" si="32"/>
        <v>0</v>
      </c>
    </row>
    <row r="177" spans="1:19">
      <c r="A177" s="2999"/>
      <c r="B177" s="717"/>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t="s">
        <v>3122</v>
      </c>
      <c r="Q177" s="24">
        <f t="shared" si="40"/>
        <v>1</v>
      </c>
      <c r="R177" s="715">
        <f t="shared" si="41"/>
        <v>0</v>
      </c>
      <c r="S177" s="361">
        <f t="shared" si="32"/>
        <v>0</v>
      </c>
    </row>
    <row r="178" spans="1:19">
      <c r="A178" s="2999"/>
      <c r="B178" s="717"/>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t="s">
        <v>3122</v>
      </c>
      <c r="Q178" s="24">
        <f t="shared" si="40"/>
        <v>1</v>
      </c>
      <c r="R178" s="715">
        <f t="shared" si="41"/>
        <v>0</v>
      </c>
      <c r="S178" s="361">
        <f t="shared" si="32"/>
        <v>0</v>
      </c>
    </row>
    <row r="179" spans="1:19">
      <c r="A179" s="2999"/>
      <c r="B179" s="717"/>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t="s">
        <v>3122</v>
      </c>
      <c r="Q179" s="24">
        <f t="shared" si="40"/>
        <v>1</v>
      </c>
      <c r="R179" s="715">
        <f t="shared" si="41"/>
        <v>0</v>
      </c>
      <c r="S179" s="361">
        <f t="shared" si="32"/>
        <v>0</v>
      </c>
    </row>
    <row r="180" spans="1:19">
      <c r="A180" s="2999"/>
      <c r="B180" s="717"/>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t="s">
        <v>3122</v>
      </c>
      <c r="Q180" s="24">
        <f t="shared" si="40"/>
        <v>1</v>
      </c>
      <c r="R180" s="715">
        <f t="shared" si="41"/>
        <v>0</v>
      </c>
      <c r="S180" s="361">
        <f t="shared" si="32"/>
        <v>0</v>
      </c>
    </row>
    <row r="181" spans="1:19">
      <c r="A181" s="2999"/>
      <c r="B181" s="717"/>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t="s">
        <v>3122</v>
      </c>
      <c r="Q181" s="24">
        <f t="shared" si="40"/>
        <v>1</v>
      </c>
      <c r="R181" s="715">
        <f t="shared" si="41"/>
        <v>0</v>
      </c>
      <c r="S181" s="361">
        <f t="shared" si="32"/>
        <v>0</v>
      </c>
    </row>
    <row r="182" spans="1:19">
      <c r="A182" s="2999"/>
      <c r="B182" s="717"/>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t="s">
        <v>3122</v>
      </c>
      <c r="Q182" s="24">
        <f t="shared" si="40"/>
        <v>1</v>
      </c>
      <c r="R182" s="715">
        <f t="shared" si="41"/>
        <v>0</v>
      </c>
      <c r="S182" s="361">
        <f t="shared" si="32"/>
        <v>0</v>
      </c>
    </row>
    <row r="183" spans="1:19">
      <c r="A183" s="2999"/>
      <c r="B183" s="717"/>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t="s">
        <v>3122</v>
      </c>
      <c r="Q183" s="24">
        <f t="shared" si="40"/>
        <v>1</v>
      </c>
      <c r="R183" s="715">
        <f t="shared" si="41"/>
        <v>0</v>
      </c>
      <c r="S183" s="361">
        <f t="shared" si="32"/>
        <v>0</v>
      </c>
    </row>
    <row r="184" spans="1:19">
      <c r="A184" s="2999"/>
      <c r="B184" s="717"/>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t="s">
        <v>3122</v>
      </c>
      <c r="Q184" s="24">
        <f t="shared" si="40"/>
        <v>1</v>
      </c>
      <c r="R184" s="715">
        <f t="shared" si="41"/>
        <v>0</v>
      </c>
      <c r="S184" s="361">
        <f t="shared" si="32"/>
        <v>0</v>
      </c>
    </row>
    <row r="185" spans="1:19">
      <c r="A185" s="2999"/>
      <c r="B185" s="717"/>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t="s">
        <v>3122</v>
      </c>
      <c r="Q185" s="24">
        <f t="shared" si="40"/>
        <v>1</v>
      </c>
      <c r="R185" s="715">
        <f t="shared" si="41"/>
        <v>0</v>
      </c>
      <c r="S185" s="361">
        <f t="shared" si="32"/>
        <v>0</v>
      </c>
    </row>
    <row r="186" spans="1:19">
      <c r="A186" s="2999"/>
      <c r="B186" s="717"/>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t="s">
        <v>3122</v>
      </c>
      <c r="Q186" s="24">
        <f t="shared" si="40"/>
        <v>1</v>
      </c>
      <c r="R186" s="715">
        <f t="shared" si="41"/>
        <v>0</v>
      </c>
      <c r="S186" s="361">
        <f t="shared" si="32"/>
        <v>0</v>
      </c>
    </row>
    <row r="187" spans="1:19">
      <c r="A187" s="2999"/>
      <c r="B187" s="717"/>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t="s">
        <v>3122</v>
      </c>
      <c r="Q187" s="24">
        <f t="shared" si="40"/>
        <v>1</v>
      </c>
      <c r="R187" s="715">
        <f t="shared" si="41"/>
        <v>0</v>
      </c>
      <c r="S187" s="361">
        <f t="shared" ref="S187:S222" si="42">ROUND(R187*B187/10000,0)</f>
        <v>0</v>
      </c>
    </row>
    <row r="188" spans="1:19">
      <c r="A188" s="2999"/>
      <c r="B188" s="717"/>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t="s">
        <v>3122</v>
      </c>
      <c r="Q188" s="24">
        <f t="shared" si="40"/>
        <v>1</v>
      </c>
      <c r="R188" s="715">
        <f t="shared" si="41"/>
        <v>0</v>
      </c>
      <c r="S188" s="361">
        <f t="shared" si="42"/>
        <v>0</v>
      </c>
    </row>
    <row r="189" spans="1:19">
      <c r="A189" s="2999"/>
      <c r="B189" s="717"/>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t="s">
        <v>3122</v>
      </c>
      <c r="Q189" s="24">
        <f t="shared" si="40"/>
        <v>1</v>
      </c>
      <c r="R189" s="715">
        <f t="shared" si="41"/>
        <v>0</v>
      </c>
      <c r="S189" s="361">
        <f t="shared" si="42"/>
        <v>0</v>
      </c>
    </row>
    <row r="190" spans="1:19">
      <c r="A190" s="2999"/>
      <c r="B190" s="717"/>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t="s">
        <v>3122</v>
      </c>
      <c r="Q190" s="24">
        <f t="shared" si="40"/>
        <v>1</v>
      </c>
      <c r="R190" s="715">
        <f t="shared" si="41"/>
        <v>0</v>
      </c>
      <c r="S190" s="361">
        <f t="shared" si="42"/>
        <v>0</v>
      </c>
    </row>
    <row r="191" spans="1:19">
      <c r="A191" s="2999"/>
      <c r="B191" s="717"/>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t="s">
        <v>3122</v>
      </c>
      <c r="Q191" s="24">
        <f t="shared" si="40"/>
        <v>1</v>
      </c>
      <c r="R191" s="715">
        <f t="shared" si="41"/>
        <v>0</v>
      </c>
      <c r="S191" s="361">
        <f t="shared" si="42"/>
        <v>0</v>
      </c>
    </row>
    <row r="192" spans="1:19">
      <c r="A192" s="2999"/>
      <c r="B192" s="717"/>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t="s">
        <v>3122</v>
      </c>
      <c r="Q192" s="24">
        <f t="shared" si="40"/>
        <v>1</v>
      </c>
      <c r="R192" s="715">
        <f t="shared" si="41"/>
        <v>0</v>
      </c>
      <c r="S192" s="361">
        <f t="shared" si="42"/>
        <v>0</v>
      </c>
    </row>
    <row r="193" spans="1:19">
      <c r="A193" s="2999"/>
      <c r="B193" s="717"/>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t="s">
        <v>3122</v>
      </c>
      <c r="Q193" s="24">
        <f t="shared" si="40"/>
        <v>1</v>
      </c>
      <c r="R193" s="715">
        <f t="shared" si="41"/>
        <v>0</v>
      </c>
      <c r="S193" s="361">
        <f t="shared" si="42"/>
        <v>0</v>
      </c>
    </row>
    <row r="194" spans="1:19">
      <c r="A194" s="2999"/>
      <c r="B194" s="717"/>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t="s">
        <v>3122</v>
      </c>
      <c r="Q194" s="24">
        <f t="shared" si="40"/>
        <v>1</v>
      </c>
      <c r="R194" s="715">
        <f t="shared" si="41"/>
        <v>0</v>
      </c>
      <c r="S194" s="361">
        <f t="shared" si="42"/>
        <v>0</v>
      </c>
    </row>
    <row r="195" spans="1:19">
      <c r="A195" s="2999"/>
      <c r="B195" s="717"/>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t="s">
        <v>3122</v>
      </c>
      <c r="Q195" s="24">
        <f t="shared" si="40"/>
        <v>1</v>
      </c>
      <c r="R195" s="715">
        <f t="shared" si="41"/>
        <v>0</v>
      </c>
      <c r="S195" s="361">
        <f t="shared" si="42"/>
        <v>0</v>
      </c>
    </row>
    <row r="196" spans="1:19">
      <c r="A196" s="2999"/>
      <c r="B196" s="717"/>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t="s">
        <v>3122</v>
      </c>
      <c r="Q196" s="24">
        <f t="shared" si="40"/>
        <v>1</v>
      </c>
      <c r="R196" s="715">
        <f t="shared" si="41"/>
        <v>0</v>
      </c>
      <c r="S196" s="361">
        <f t="shared" si="42"/>
        <v>0</v>
      </c>
    </row>
    <row r="197" spans="1:19">
      <c r="A197" s="2999"/>
      <c r="B197" s="717"/>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t="s">
        <v>3122</v>
      </c>
      <c r="Q197" s="24">
        <f t="shared" si="40"/>
        <v>1</v>
      </c>
      <c r="R197" s="715">
        <f t="shared" si="41"/>
        <v>0</v>
      </c>
      <c r="S197" s="361">
        <f t="shared" si="42"/>
        <v>0</v>
      </c>
    </row>
    <row r="198" spans="1:19">
      <c r="A198" s="2999"/>
      <c r="B198" s="717"/>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t="s">
        <v>3122</v>
      </c>
      <c r="Q198" s="24">
        <f t="shared" si="40"/>
        <v>1</v>
      </c>
      <c r="R198" s="715">
        <f t="shared" si="41"/>
        <v>0</v>
      </c>
      <c r="S198" s="361">
        <f t="shared" si="42"/>
        <v>0</v>
      </c>
    </row>
    <row r="199" spans="1:19">
      <c r="A199" s="2999"/>
      <c r="B199" s="717"/>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t="s">
        <v>3122</v>
      </c>
      <c r="Q199" s="24">
        <f t="shared" si="40"/>
        <v>1</v>
      </c>
      <c r="R199" s="715">
        <f t="shared" si="41"/>
        <v>0</v>
      </c>
      <c r="S199" s="361">
        <f t="shared" si="42"/>
        <v>0</v>
      </c>
    </row>
    <row r="200" spans="1:19">
      <c r="A200" s="2999"/>
      <c r="B200" s="717"/>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t="s">
        <v>3122</v>
      </c>
      <c r="Q200" s="24">
        <f t="shared" si="40"/>
        <v>1</v>
      </c>
      <c r="R200" s="715">
        <f t="shared" si="41"/>
        <v>0</v>
      </c>
      <c r="S200" s="361">
        <f t="shared" si="42"/>
        <v>0</v>
      </c>
    </row>
    <row r="201" spans="1:19">
      <c r="A201" s="2999"/>
      <c r="B201" s="717"/>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t="s">
        <v>3122</v>
      </c>
      <c r="Q201" s="24">
        <f t="shared" si="40"/>
        <v>1</v>
      </c>
      <c r="R201" s="715">
        <f t="shared" si="41"/>
        <v>0</v>
      </c>
      <c r="S201" s="361">
        <f t="shared" si="42"/>
        <v>0</v>
      </c>
    </row>
    <row r="202" spans="1:19">
      <c r="A202" s="2999"/>
      <c r="B202" s="717"/>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t="s">
        <v>3122</v>
      </c>
      <c r="Q202" s="24">
        <f t="shared" si="40"/>
        <v>1</v>
      </c>
      <c r="R202" s="715">
        <f t="shared" si="41"/>
        <v>0</v>
      </c>
      <c r="S202" s="361">
        <f t="shared" si="42"/>
        <v>0</v>
      </c>
    </row>
    <row r="203" spans="1:19">
      <c r="A203" s="2999"/>
      <c r="B203" s="717"/>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t="s">
        <v>3122</v>
      </c>
      <c r="Q203" s="24">
        <f t="shared" si="40"/>
        <v>1</v>
      </c>
      <c r="R203" s="715">
        <f t="shared" si="41"/>
        <v>0</v>
      </c>
      <c r="S203" s="361">
        <f t="shared" si="42"/>
        <v>0</v>
      </c>
    </row>
    <row r="204" spans="1:19">
      <c r="A204" s="2999"/>
      <c r="B204" s="717"/>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t="s">
        <v>3122</v>
      </c>
      <c r="Q204" s="24">
        <f t="shared" si="40"/>
        <v>1</v>
      </c>
      <c r="R204" s="715">
        <f t="shared" si="41"/>
        <v>0</v>
      </c>
      <c r="S204" s="361">
        <f t="shared" si="42"/>
        <v>0</v>
      </c>
    </row>
    <row r="205" spans="1:19">
      <c r="A205" s="2999"/>
      <c r="B205" s="717"/>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t="s">
        <v>3122</v>
      </c>
      <c r="Q205" s="24">
        <f t="shared" si="40"/>
        <v>1</v>
      </c>
      <c r="R205" s="715">
        <f t="shared" si="41"/>
        <v>0</v>
      </c>
      <c r="S205" s="361">
        <f t="shared" si="42"/>
        <v>0</v>
      </c>
    </row>
    <row r="206" spans="1:19">
      <c r="A206" s="2999"/>
      <c r="B206" s="717"/>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t="s">
        <v>3122</v>
      </c>
      <c r="Q206" s="24">
        <f t="shared" si="40"/>
        <v>1</v>
      </c>
      <c r="R206" s="715">
        <f t="shared" si="41"/>
        <v>0</v>
      </c>
      <c r="S206" s="361">
        <f t="shared" si="42"/>
        <v>0</v>
      </c>
    </row>
    <row r="207" spans="1:19">
      <c r="A207" s="2999"/>
      <c r="B207" s="717"/>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t="s">
        <v>3122</v>
      </c>
      <c r="Q207" s="24">
        <f t="shared" si="40"/>
        <v>1</v>
      </c>
      <c r="R207" s="715">
        <f t="shared" si="41"/>
        <v>0</v>
      </c>
      <c r="S207" s="361">
        <f t="shared" si="42"/>
        <v>0</v>
      </c>
    </row>
    <row r="208" spans="1:19">
      <c r="A208" s="2999"/>
      <c r="B208" s="717"/>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t="s">
        <v>3122</v>
      </c>
      <c r="Q208" s="24">
        <f t="shared" si="40"/>
        <v>1</v>
      </c>
      <c r="R208" s="715">
        <f t="shared" si="41"/>
        <v>0</v>
      </c>
      <c r="S208" s="361">
        <f t="shared" si="42"/>
        <v>0</v>
      </c>
    </row>
    <row r="209" spans="1:19">
      <c r="A209" s="2999"/>
      <c r="B209" s="717"/>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t="s">
        <v>3122</v>
      </c>
      <c r="Q209" s="24">
        <f t="shared" si="40"/>
        <v>1</v>
      </c>
      <c r="R209" s="715">
        <f t="shared" si="41"/>
        <v>0</v>
      </c>
      <c r="S209" s="361">
        <f t="shared" si="42"/>
        <v>0</v>
      </c>
    </row>
    <row r="210" spans="1:19">
      <c r="A210" s="2999"/>
      <c r="B210" s="717"/>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t="s">
        <v>3122</v>
      </c>
      <c r="Q210" s="24">
        <f t="shared" si="40"/>
        <v>1</v>
      </c>
      <c r="R210" s="715">
        <f t="shared" si="41"/>
        <v>0</v>
      </c>
      <c r="S210" s="361">
        <f t="shared" si="42"/>
        <v>0</v>
      </c>
    </row>
    <row r="211" spans="1:19">
      <c r="A211" s="2999"/>
      <c r="B211" s="717"/>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t="s">
        <v>3122</v>
      </c>
      <c r="Q211" s="24">
        <f t="shared" si="40"/>
        <v>1</v>
      </c>
      <c r="R211" s="715">
        <f t="shared" si="41"/>
        <v>0</v>
      </c>
      <c r="S211" s="361">
        <f t="shared" si="42"/>
        <v>0</v>
      </c>
    </row>
    <row r="212" spans="1:19">
      <c r="A212" s="2999"/>
      <c r="B212" s="717"/>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t="s">
        <v>3122</v>
      </c>
      <c r="Q212" s="24">
        <f t="shared" si="40"/>
        <v>1</v>
      </c>
      <c r="R212" s="715">
        <f t="shared" si="41"/>
        <v>0</v>
      </c>
      <c r="S212" s="361">
        <f t="shared" si="42"/>
        <v>0</v>
      </c>
    </row>
    <row r="213" spans="1:19">
      <c r="A213" s="2999"/>
      <c r="B213" s="717"/>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t="s">
        <v>3122</v>
      </c>
      <c r="Q213" s="24">
        <f t="shared" si="40"/>
        <v>1</v>
      </c>
      <c r="R213" s="715">
        <f t="shared" si="41"/>
        <v>0</v>
      </c>
      <c r="S213" s="361">
        <f t="shared" si="42"/>
        <v>0</v>
      </c>
    </row>
    <row r="214" spans="1:19">
      <c r="A214" s="2999"/>
      <c r="B214" s="717"/>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t="s">
        <v>3122</v>
      </c>
      <c r="Q214" s="24">
        <f t="shared" si="40"/>
        <v>1</v>
      </c>
      <c r="R214" s="715">
        <f t="shared" si="41"/>
        <v>0</v>
      </c>
      <c r="S214" s="361">
        <f t="shared" si="42"/>
        <v>0</v>
      </c>
    </row>
    <row r="215" spans="1:19">
      <c r="A215" s="2999"/>
      <c r="B215" s="717"/>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t="s">
        <v>3122</v>
      </c>
      <c r="Q215" s="24">
        <f t="shared" si="40"/>
        <v>1</v>
      </c>
      <c r="R215" s="715">
        <f t="shared" si="41"/>
        <v>0</v>
      </c>
      <c r="S215" s="361">
        <f t="shared" si="42"/>
        <v>0</v>
      </c>
    </row>
    <row r="216" spans="1:19">
      <c r="A216" s="2999"/>
      <c r="B216" s="717"/>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t="s">
        <v>3122</v>
      </c>
      <c r="Q216" s="24">
        <f t="shared" si="40"/>
        <v>1</v>
      </c>
      <c r="R216" s="715">
        <f t="shared" si="41"/>
        <v>0</v>
      </c>
      <c r="S216" s="361">
        <f t="shared" si="42"/>
        <v>0</v>
      </c>
    </row>
    <row r="217" spans="1:19">
      <c r="A217" s="2997"/>
      <c r="B217" s="717"/>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t="s">
        <v>3122</v>
      </c>
      <c r="Q217" s="24">
        <f t="shared" si="40"/>
        <v>1</v>
      </c>
      <c r="R217" s="715">
        <f t="shared" si="41"/>
        <v>0</v>
      </c>
      <c r="S217" s="361">
        <f t="shared" si="42"/>
        <v>0</v>
      </c>
    </row>
    <row r="218" spans="1:19">
      <c r="A218" s="2997"/>
      <c r="B218" s="717"/>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t="s">
        <v>3122</v>
      </c>
      <c r="Q218" s="24">
        <f t="shared" ref="Q218:Q281" si="50">(SUMIF($17:$17,P218,$18:$18)-SUMIF($17:$17,$P$24,$18:$18)+100)/100</f>
        <v>1</v>
      </c>
      <c r="R218" s="715">
        <f t="shared" ref="R218:R281" si="51">IF(B218="",0,ROUND($R$24*C218*E218*G218*I218*K218*M218*O218*Q218,0))</f>
        <v>0</v>
      </c>
      <c r="S218" s="361">
        <f t="shared" si="42"/>
        <v>0</v>
      </c>
    </row>
    <row r="219" spans="1:19">
      <c r="A219" s="2997"/>
      <c r="B219" s="717"/>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t="s">
        <v>3122</v>
      </c>
      <c r="Q219" s="24">
        <f t="shared" si="50"/>
        <v>1</v>
      </c>
      <c r="R219" s="715">
        <f t="shared" si="51"/>
        <v>0</v>
      </c>
      <c r="S219" s="361">
        <f t="shared" si="42"/>
        <v>0</v>
      </c>
    </row>
    <row r="220" spans="1:19">
      <c r="A220" s="2997"/>
      <c r="B220" s="717"/>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t="s">
        <v>3122</v>
      </c>
      <c r="Q220" s="24">
        <f t="shared" si="50"/>
        <v>1</v>
      </c>
      <c r="R220" s="715">
        <f t="shared" si="51"/>
        <v>0</v>
      </c>
      <c r="S220" s="361">
        <f t="shared" si="42"/>
        <v>0</v>
      </c>
    </row>
    <row r="221" spans="1:19">
      <c r="A221" s="2997"/>
      <c r="B221" s="717"/>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t="s">
        <v>3122</v>
      </c>
      <c r="Q221" s="24">
        <f t="shared" si="50"/>
        <v>1</v>
      </c>
      <c r="R221" s="715">
        <f t="shared" si="51"/>
        <v>0</v>
      </c>
      <c r="S221" s="361">
        <f t="shared" si="42"/>
        <v>0</v>
      </c>
    </row>
    <row r="222" spans="1:19">
      <c r="A222" s="2997"/>
      <c r="B222" s="717"/>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t="s">
        <v>3122</v>
      </c>
      <c r="Q222" s="24">
        <f t="shared" si="50"/>
        <v>1</v>
      </c>
      <c r="R222" s="715">
        <f t="shared" si="51"/>
        <v>0</v>
      </c>
      <c r="S222" s="361">
        <f t="shared" si="42"/>
        <v>0</v>
      </c>
    </row>
    <row r="223" spans="1:19">
      <c r="A223" s="2997"/>
      <c r="B223" s="717"/>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t="s">
        <v>3122</v>
      </c>
      <c r="Q223" s="24">
        <f t="shared" si="50"/>
        <v>1</v>
      </c>
      <c r="R223" s="715">
        <f t="shared" si="51"/>
        <v>0</v>
      </c>
      <c r="S223" s="361">
        <f t="shared" ref="S223:S286" si="52">ROUND(R223*B223/10000,0)</f>
        <v>0</v>
      </c>
    </row>
    <row r="224" spans="1:19">
      <c r="A224" s="2997"/>
      <c r="B224" s="717"/>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t="s">
        <v>3122</v>
      </c>
      <c r="Q224" s="24">
        <f t="shared" si="50"/>
        <v>1</v>
      </c>
      <c r="R224" s="715">
        <f t="shared" si="51"/>
        <v>0</v>
      </c>
      <c r="S224" s="361">
        <f t="shared" si="52"/>
        <v>0</v>
      </c>
    </row>
    <row r="225" spans="1:19">
      <c r="A225" s="2997"/>
      <c r="B225" s="717"/>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t="s">
        <v>3122</v>
      </c>
      <c r="Q225" s="24">
        <f t="shared" si="50"/>
        <v>1</v>
      </c>
      <c r="R225" s="715">
        <f t="shared" si="51"/>
        <v>0</v>
      </c>
      <c r="S225" s="361">
        <f t="shared" si="52"/>
        <v>0</v>
      </c>
    </row>
    <row r="226" spans="1:19">
      <c r="A226" s="2997"/>
      <c r="B226" s="717"/>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t="s">
        <v>3122</v>
      </c>
      <c r="Q226" s="24">
        <f t="shared" si="50"/>
        <v>1</v>
      </c>
      <c r="R226" s="715">
        <f t="shared" si="51"/>
        <v>0</v>
      </c>
      <c r="S226" s="361">
        <f t="shared" si="52"/>
        <v>0</v>
      </c>
    </row>
    <row r="227" spans="1:19">
      <c r="A227" s="2997"/>
      <c r="B227" s="717"/>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t="s">
        <v>3122</v>
      </c>
      <c r="Q227" s="24">
        <f t="shared" si="50"/>
        <v>1</v>
      </c>
      <c r="R227" s="715">
        <f t="shared" si="51"/>
        <v>0</v>
      </c>
      <c r="S227" s="361">
        <f t="shared" si="52"/>
        <v>0</v>
      </c>
    </row>
    <row r="228" spans="1:19">
      <c r="A228" s="2997"/>
      <c r="B228" s="717"/>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t="s">
        <v>3122</v>
      </c>
      <c r="Q228" s="24">
        <f t="shared" si="50"/>
        <v>1</v>
      </c>
      <c r="R228" s="715">
        <f t="shared" si="51"/>
        <v>0</v>
      </c>
      <c r="S228" s="361">
        <f t="shared" si="52"/>
        <v>0</v>
      </c>
    </row>
    <row r="229" spans="1:19">
      <c r="A229" s="2997"/>
      <c r="B229" s="717"/>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t="s">
        <v>3122</v>
      </c>
      <c r="Q229" s="24">
        <f t="shared" si="50"/>
        <v>1</v>
      </c>
      <c r="R229" s="715">
        <f t="shared" si="51"/>
        <v>0</v>
      </c>
      <c r="S229" s="361">
        <f t="shared" si="52"/>
        <v>0</v>
      </c>
    </row>
    <row r="230" spans="1:19">
      <c r="A230" s="2997"/>
      <c r="B230" s="717"/>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t="s">
        <v>3122</v>
      </c>
      <c r="Q230" s="24">
        <f t="shared" si="50"/>
        <v>1</v>
      </c>
      <c r="R230" s="715">
        <f t="shared" si="51"/>
        <v>0</v>
      </c>
      <c r="S230" s="361">
        <f t="shared" si="52"/>
        <v>0</v>
      </c>
    </row>
    <row r="231" spans="1:19">
      <c r="A231" s="2997"/>
      <c r="B231" s="717"/>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t="s">
        <v>3122</v>
      </c>
      <c r="Q231" s="24">
        <f t="shared" si="50"/>
        <v>1</v>
      </c>
      <c r="R231" s="715">
        <f t="shared" si="51"/>
        <v>0</v>
      </c>
      <c r="S231" s="361">
        <f t="shared" si="52"/>
        <v>0</v>
      </c>
    </row>
    <row r="232" spans="1:19">
      <c r="A232" s="2997"/>
      <c r="B232" s="717"/>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t="s">
        <v>3122</v>
      </c>
      <c r="Q232" s="24">
        <f t="shared" si="50"/>
        <v>1</v>
      </c>
      <c r="R232" s="715">
        <f t="shared" si="51"/>
        <v>0</v>
      </c>
      <c r="S232" s="361">
        <f t="shared" si="52"/>
        <v>0</v>
      </c>
    </row>
    <row r="233" spans="1:19">
      <c r="A233" s="2997"/>
      <c r="B233" s="717"/>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t="s">
        <v>3122</v>
      </c>
      <c r="Q233" s="24">
        <f t="shared" si="50"/>
        <v>1</v>
      </c>
      <c r="R233" s="715">
        <f t="shared" si="51"/>
        <v>0</v>
      </c>
      <c r="S233" s="361">
        <f t="shared" si="52"/>
        <v>0</v>
      </c>
    </row>
    <row r="234" spans="1:19">
      <c r="A234" s="2997"/>
      <c r="B234" s="717"/>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t="s">
        <v>3122</v>
      </c>
      <c r="Q234" s="24">
        <f t="shared" si="50"/>
        <v>1</v>
      </c>
      <c r="R234" s="715">
        <f t="shared" si="51"/>
        <v>0</v>
      </c>
      <c r="S234" s="361">
        <f t="shared" si="52"/>
        <v>0</v>
      </c>
    </row>
    <row r="235" spans="1:19">
      <c r="A235" s="2997"/>
      <c r="B235" s="717"/>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t="s">
        <v>3122</v>
      </c>
      <c r="Q235" s="24">
        <f t="shared" si="50"/>
        <v>1</v>
      </c>
      <c r="R235" s="715">
        <f t="shared" si="51"/>
        <v>0</v>
      </c>
      <c r="S235" s="361">
        <f t="shared" si="52"/>
        <v>0</v>
      </c>
    </row>
    <row r="236" spans="1:19">
      <c r="A236" s="2997"/>
      <c r="B236" s="717"/>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t="s">
        <v>3122</v>
      </c>
      <c r="Q236" s="24">
        <f t="shared" si="50"/>
        <v>1</v>
      </c>
      <c r="R236" s="715">
        <f t="shared" si="51"/>
        <v>0</v>
      </c>
      <c r="S236" s="361">
        <f t="shared" si="52"/>
        <v>0</v>
      </c>
    </row>
    <row r="237" spans="1:19">
      <c r="A237" s="2997"/>
      <c r="B237" s="717"/>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t="s">
        <v>3122</v>
      </c>
      <c r="Q237" s="24">
        <f t="shared" si="50"/>
        <v>1</v>
      </c>
      <c r="R237" s="715">
        <f t="shared" si="51"/>
        <v>0</v>
      </c>
      <c r="S237" s="361">
        <f t="shared" si="52"/>
        <v>0</v>
      </c>
    </row>
    <row r="238" spans="1:19">
      <c r="A238" s="2997"/>
      <c r="B238" s="717"/>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t="s">
        <v>3122</v>
      </c>
      <c r="Q238" s="24">
        <f t="shared" si="50"/>
        <v>1</v>
      </c>
      <c r="R238" s="715">
        <f t="shared" si="51"/>
        <v>0</v>
      </c>
      <c r="S238" s="361">
        <f t="shared" si="52"/>
        <v>0</v>
      </c>
    </row>
    <row r="239" spans="1:19">
      <c r="A239" s="2997"/>
      <c r="B239" s="717"/>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t="s">
        <v>3122</v>
      </c>
      <c r="Q239" s="24">
        <f t="shared" si="50"/>
        <v>1</v>
      </c>
      <c r="R239" s="715">
        <f t="shared" si="51"/>
        <v>0</v>
      </c>
      <c r="S239" s="361">
        <f t="shared" si="52"/>
        <v>0</v>
      </c>
    </row>
    <row r="240" spans="1:19">
      <c r="A240" s="2997"/>
      <c r="B240" s="717"/>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t="s">
        <v>3122</v>
      </c>
      <c r="Q240" s="24">
        <f t="shared" si="50"/>
        <v>1</v>
      </c>
      <c r="R240" s="715">
        <f t="shared" si="51"/>
        <v>0</v>
      </c>
      <c r="S240" s="361">
        <f t="shared" si="52"/>
        <v>0</v>
      </c>
    </row>
    <row r="241" spans="1:19">
      <c r="A241" s="2997"/>
      <c r="B241" s="717"/>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t="s">
        <v>3122</v>
      </c>
      <c r="Q241" s="24">
        <f t="shared" si="50"/>
        <v>1</v>
      </c>
      <c r="R241" s="715">
        <f t="shared" si="51"/>
        <v>0</v>
      </c>
      <c r="S241" s="361">
        <f t="shared" si="52"/>
        <v>0</v>
      </c>
    </row>
    <row r="242" spans="1:19">
      <c r="A242" s="2997"/>
      <c r="B242" s="717"/>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t="s">
        <v>3122</v>
      </c>
      <c r="Q242" s="24">
        <f t="shared" si="50"/>
        <v>1</v>
      </c>
      <c r="R242" s="715">
        <f t="shared" si="51"/>
        <v>0</v>
      </c>
      <c r="S242" s="361">
        <f t="shared" si="52"/>
        <v>0</v>
      </c>
    </row>
    <row r="243" spans="1:19">
      <c r="A243" s="2997"/>
      <c r="B243" s="717"/>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t="s">
        <v>3122</v>
      </c>
      <c r="Q243" s="24">
        <f t="shared" si="50"/>
        <v>1</v>
      </c>
      <c r="R243" s="715">
        <f t="shared" si="51"/>
        <v>0</v>
      </c>
      <c r="S243" s="361">
        <f t="shared" si="52"/>
        <v>0</v>
      </c>
    </row>
    <row r="244" spans="1:19">
      <c r="A244" s="2997">
        <f>Sheet1!C181</f>
        <v>0</v>
      </c>
      <c r="B244" s="717">
        <f>Sheet1!E181</f>
        <v>0</v>
      </c>
      <c r="C244" s="24">
        <f t="shared" si="43"/>
        <v>1.01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t="s">
        <v>3122</v>
      </c>
      <c r="Q244" s="24">
        <f t="shared" si="50"/>
        <v>1</v>
      </c>
      <c r="R244" s="715">
        <f t="shared" ca="1" si="51"/>
        <v>30763</v>
      </c>
      <c r="S244" s="361">
        <f t="shared" ca="1" si="52"/>
        <v>0</v>
      </c>
    </row>
    <row r="245" spans="1:19">
      <c r="A245" s="2997">
        <f>Sheet1!C182</f>
        <v>0</v>
      </c>
      <c r="B245" s="717">
        <f>Sheet1!E182</f>
        <v>0</v>
      </c>
      <c r="C245" s="24">
        <f t="shared" si="43"/>
        <v>1.01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t="s">
        <v>3122</v>
      </c>
      <c r="Q245" s="24">
        <f t="shared" si="50"/>
        <v>1</v>
      </c>
      <c r="R245" s="715">
        <f t="shared" ca="1" si="51"/>
        <v>30763</v>
      </c>
      <c r="S245" s="361">
        <f t="shared" ca="1" si="52"/>
        <v>0</v>
      </c>
    </row>
    <row r="246" spans="1:19">
      <c r="A246" s="2997">
        <f>Sheet1!C183</f>
        <v>0</v>
      </c>
      <c r="B246" s="717">
        <f>Sheet1!E183</f>
        <v>0</v>
      </c>
      <c r="C246" s="24">
        <f t="shared" si="43"/>
        <v>1.01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t="s">
        <v>3122</v>
      </c>
      <c r="Q246" s="24">
        <f t="shared" si="50"/>
        <v>1</v>
      </c>
      <c r="R246" s="715">
        <f t="shared" ca="1" si="51"/>
        <v>30763</v>
      </c>
      <c r="S246" s="361">
        <f t="shared" ca="1" si="52"/>
        <v>0</v>
      </c>
    </row>
    <row r="247" spans="1:19">
      <c r="A247" s="2997">
        <f>Sheet1!C184</f>
        <v>0</v>
      </c>
      <c r="B247" s="717">
        <f>Sheet1!E184</f>
        <v>0</v>
      </c>
      <c r="C247" s="24">
        <f t="shared" si="43"/>
        <v>1.01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t="s">
        <v>3122</v>
      </c>
      <c r="Q247" s="24">
        <f t="shared" si="50"/>
        <v>1</v>
      </c>
      <c r="R247" s="715">
        <f t="shared" ca="1" si="51"/>
        <v>30763</v>
      </c>
      <c r="S247" s="361">
        <f t="shared" ca="1" si="52"/>
        <v>0</v>
      </c>
    </row>
    <row r="248" spans="1:19">
      <c r="A248" s="2997">
        <f>Sheet1!C185</f>
        <v>0</v>
      </c>
      <c r="B248" s="717">
        <f>Sheet1!E185</f>
        <v>0</v>
      </c>
      <c r="C248" s="24">
        <f t="shared" si="43"/>
        <v>1.01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t="s">
        <v>3122</v>
      </c>
      <c r="Q248" s="24">
        <f t="shared" si="50"/>
        <v>1</v>
      </c>
      <c r="R248" s="715">
        <f t="shared" ca="1" si="51"/>
        <v>30763</v>
      </c>
      <c r="S248" s="361">
        <f t="shared" ca="1" si="52"/>
        <v>0</v>
      </c>
    </row>
    <row r="249" spans="1:19">
      <c r="A249" s="2997">
        <f>Sheet1!C186</f>
        <v>0</v>
      </c>
      <c r="B249" s="717">
        <f>Sheet1!E186</f>
        <v>0</v>
      </c>
      <c r="C249" s="24">
        <f t="shared" si="43"/>
        <v>1.01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t="s">
        <v>3122</v>
      </c>
      <c r="Q249" s="24">
        <f t="shared" si="50"/>
        <v>1</v>
      </c>
      <c r="R249" s="715">
        <f t="shared" ca="1" si="51"/>
        <v>30763</v>
      </c>
      <c r="S249" s="361">
        <f t="shared" ca="1" si="52"/>
        <v>0</v>
      </c>
    </row>
    <row r="250" spans="1:19">
      <c r="A250" s="2997">
        <f>Sheet1!C187</f>
        <v>0</v>
      </c>
      <c r="B250" s="717">
        <f>Sheet1!E187</f>
        <v>0</v>
      </c>
      <c r="C250" s="24">
        <f t="shared" si="43"/>
        <v>1.01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t="s">
        <v>3122</v>
      </c>
      <c r="Q250" s="24">
        <f t="shared" si="50"/>
        <v>1</v>
      </c>
      <c r="R250" s="715">
        <f t="shared" ca="1" si="51"/>
        <v>30763</v>
      </c>
      <c r="S250" s="361">
        <f t="shared" ca="1" si="52"/>
        <v>0</v>
      </c>
    </row>
    <row r="251" spans="1:19">
      <c r="A251" s="2997">
        <f>Sheet1!C188</f>
        <v>0</v>
      </c>
      <c r="B251" s="717">
        <f>Sheet1!E188</f>
        <v>0</v>
      </c>
      <c r="C251" s="24">
        <f t="shared" si="43"/>
        <v>1.01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t="s">
        <v>3122</v>
      </c>
      <c r="Q251" s="24">
        <f t="shared" si="50"/>
        <v>1</v>
      </c>
      <c r="R251" s="715">
        <f t="shared" ca="1" si="51"/>
        <v>30763</v>
      </c>
      <c r="S251" s="361">
        <f t="shared" ca="1" si="52"/>
        <v>0</v>
      </c>
    </row>
    <row r="252" spans="1:19">
      <c r="A252" s="2997">
        <f>Sheet1!C189</f>
        <v>0</v>
      </c>
      <c r="B252" s="717">
        <f>Sheet1!E189</f>
        <v>0</v>
      </c>
      <c r="C252" s="24">
        <f t="shared" si="43"/>
        <v>1.01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t="s">
        <v>3122</v>
      </c>
      <c r="Q252" s="24">
        <f t="shared" si="50"/>
        <v>1</v>
      </c>
      <c r="R252" s="715">
        <f t="shared" ca="1" si="51"/>
        <v>30763</v>
      </c>
      <c r="S252" s="361">
        <f t="shared" ca="1" si="52"/>
        <v>0</v>
      </c>
    </row>
    <row r="253" spans="1:19">
      <c r="A253" s="2997">
        <f>Sheet1!C190</f>
        <v>0</v>
      </c>
      <c r="B253" s="717">
        <f>Sheet1!E190</f>
        <v>0</v>
      </c>
      <c r="C253" s="24">
        <f t="shared" si="43"/>
        <v>1.01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t="s">
        <v>3122</v>
      </c>
      <c r="Q253" s="24">
        <f t="shared" si="50"/>
        <v>1</v>
      </c>
      <c r="R253" s="715">
        <f t="shared" ca="1" si="51"/>
        <v>30763</v>
      </c>
      <c r="S253" s="361">
        <f t="shared" ca="1" si="52"/>
        <v>0</v>
      </c>
    </row>
    <row r="254" spans="1:19">
      <c r="A254" s="2997">
        <f>Sheet1!C191</f>
        <v>0</v>
      </c>
      <c r="B254" s="717">
        <f>Sheet1!E191</f>
        <v>0</v>
      </c>
      <c r="C254" s="24">
        <f t="shared" si="43"/>
        <v>1.01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t="s">
        <v>3122</v>
      </c>
      <c r="Q254" s="24">
        <f t="shared" si="50"/>
        <v>1</v>
      </c>
      <c r="R254" s="715">
        <f t="shared" ca="1" si="51"/>
        <v>30763</v>
      </c>
      <c r="S254" s="361">
        <f t="shared" ca="1" si="52"/>
        <v>0</v>
      </c>
    </row>
    <row r="255" spans="1:19">
      <c r="A255" s="2997">
        <f>Sheet1!C192</f>
        <v>0</v>
      </c>
      <c r="B255" s="717">
        <f>Sheet1!E192</f>
        <v>0</v>
      </c>
      <c r="C255" s="24">
        <f t="shared" si="43"/>
        <v>1.01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t="s">
        <v>3122</v>
      </c>
      <c r="Q255" s="24">
        <f t="shared" si="50"/>
        <v>1</v>
      </c>
      <c r="R255" s="715">
        <f t="shared" ca="1" si="51"/>
        <v>30763</v>
      </c>
      <c r="S255" s="361">
        <f t="shared" ca="1" si="52"/>
        <v>0</v>
      </c>
    </row>
    <row r="256" spans="1:19">
      <c r="A256" s="2997">
        <f>Sheet1!C193</f>
        <v>0</v>
      </c>
      <c r="B256" s="717">
        <f>Sheet1!E193</f>
        <v>0</v>
      </c>
      <c r="C256" s="24">
        <f t="shared" si="43"/>
        <v>1.01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t="s">
        <v>3122</v>
      </c>
      <c r="Q256" s="24">
        <f t="shared" si="50"/>
        <v>1</v>
      </c>
      <c r="R256" s="715">
        <f t="shared" ca="1" si="51"/>
        <v>30763</v>
      </c>
      <c r="S256" s="361">
        <f t="shared" ca="1" si="52"/>
        <v>0</v>
      </c>
    </row>
    <row r="257" spans="1:19">
      <c r="A257" s="2997">
        <f>Sheet1!C194</f>
        <v>0</v>
      </c>
      <c r="B257" s="717">
        <f>Sheet1!E194</f>
        <v>0</v>
      </c>
      <c r="C257" s="24">
        <f t="shared" si="43"/>
        <v>1.01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t="s">
        <v>3122</v>
      </c>
      <c r="Q257" s="24">
        <f t="shared" si="50"/>
        <v>1</v>
      </c>
      <c r="R257" s="715">
        <f t="shared" ca="1" si="51"/>
        <v>30763</v>
      </c>
      <c r="S257" s="361">
        <f t="shared" ca="1" si="52"/>
        <v>0</v>
      </c>
    </row>
    <row r="258" spans="1:19">
      <c r="A258" s="2997">
        <f>Sheet1!C195</f>
        <v>0</v>
      </c>
      <c r="B258" s="717">
        <f>Sheet1!E195</f>
        <v>0</v>
      </c>
      <c r="C258" s="24">
        <f t="shared" si="43"/>
        <v>1.01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t="s">
        <v>3122</v>
      </c>
      <c r="Q258" s="24">
        <f t="shared" si="50"/>
        <v>1</v>
      </c>
      <c r="R258" s="715">
        <f t="shared" ca="1" si="51"/>
        <v>30763</v>
      </c>
      <c r="S258" s="361">
        <f t="shared" ca="1" si="52"/>
        <v>0</v>
      </c>
    </row>
    <row r="259" spans="1:19">
      <c r="A259" s="2997">
        <f>Sheet1!C196</f>
        <v>0</v>
      </c>
      <c r="B259" s="717">
        <f>Sheet1!E196</f>
        <v>0</v>
      </c>
      <c r="C259" s="24">
        <f t="shared" si="43"/>
        <v>1.01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t="s">
        <v>3122</v>
      </c>
      <c r="Q259" s="24">
        <f t="shared" si="50"/>
        <v>1</v>
      </c>
      <c r="R259" s="715">
        <f t="shared" ca="1" si="51"/>
        <v>30763</v>
      </c>
      <c r="S259" s="361">
        <f t="shared" ca="1" si="52"/>
        <v>0</v>
      </c>
    </row>
    <row r="260" spans="1:19">
      <c r="A260" s="2997">
        <f>Sheet1!C197</f>
        <v>0</v>
      </c>
      <c r="B260" s="717">
        <f>Sheet1!E197</f>
        <v>0</v>
      </c>
      <c r="C260" s="24">
        <f t="shared" si="43"/>
        <v>1.01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t="s">
        <v>3122</v>
      </c>
      <c r="Q260" s="24">
        <f t="shared" si="50"/>
        <v>1</v>
      </c>
      <c r="R260" s="715">
        <f t="shared" ca="1" si="51"/>
        <v>30763</v>
      </c>
      <c r="S260" s="361">
        <f t="shared" ca="1" si="52"/>
        <v>0</v>
      </c>
    </row>
    <row r="261" spans="1:19">
      <c r="A261" s="2997">
        <f>Sheet1!C198</f>
        <v>0</v>
      </c>
      <c r="B261" s="717">
        <f>Sheet1!E198</f>
        <v>0</v>
      </c>
      <c r="C261" s="24">
        <f t="shared" si="43"/>
        <v>1.01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t="s">
        <v>3122</v>
      </c>
      <c r="Q261" s="24">
        <f t="shared" si="50"/>
        <v>1</v>
      </c>
      <c r="R261" s="715">
        <f t="shared" ca="1" si="51"/>
        <v>30763</v>
      </c>
      <c r="S261" s="361">
        <f t="shared" ca="1" si="52"/>
        <v>0</v>
      </c>
    </row>
    <row r="262" spans="1:19">
      <c r="A262" s="2997">
        <f>Sheet1!C199</f>
        <v>0</v>
      </c>
      <c r="B262" s="717">
        <f>Sheet1!E199</f>
        <v>0</v>
      </c>
      <c r="C262" s="24">
        <f t="shared" si="43"/>
        <v>1.01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t="s">
        <v>3122</v>
      </c>
      <c r="Q262" s="24">
        <f t="shared" si="50"/>
        <v>1</v>
      </c>
      <c r="R262" s="715">
        <f t="shared" ca="1" si="51"/>
        <v>30763</v>
      </c>
      <c r="S262" s="361">
        <f t="shared" ca="1" si="52"/>
        <v>0</v>
      </c>
    </row>
    <row r="263" spans="1:19">
      <c r="A263" s="2997">
        <f>Sheet1!C200</f>
        <v>0</v>
      </c>
      <c r="B263" s="717">
        <f>Sheet1!E200</f>
        <v>0</v>
      </c>
      <c r="C263" s="24">
        <f t="shared" si="43"/>
        <v>1.01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t="s">
        <v>3122</v>
      </c>
      <c r="Q263" s="24">
        <f t="shared" si="50"/>
        <v>1</v>
      </c>
      <c r="R263" s="715">
        <f t="shared" ca="1" si="51"/>
        <v>30763</v>
      </c>
      <c r="S263" s="361">
        <f t="shared" ca="1" si="52"/>
        <v>0</v>
      </c>
    </row>
    <row r="264" spans="1:19">
      <c r="A264" s="2997">
        <f>Sheet1!C201</f>
        <v>0</v>
      </c>
      <c r="B264" s="717">
        <f>Sheet1!E201</f>
        <v>0</v>
      </c>
      <c r="C264" s="24">
        <f t="shared" si="43"/>
        <v>1.01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t="s">
        <v>3122</v>
      </c>
      <c r="Q264" s="24">
        <f t="shared" si="50"/>
        <v>1</v>
      </c>
      <c r="R264" s="715">
        <f t="shared" ca="1" si="51"/>
        <v>30763</v>
      </c>
      <c r="S264" s="361">
        <f t="shared" ca="1" si="52"/>
        <v>0</v>
      </c>
    </row>
    <row r="265" spans="1:19">
      <c r="A265" s="2997">
        <f>Sheet1!C202</f>
        <v>0</v>
      </c>
      <c r="B265" s="717">
        <f>Sheet1!E202</f>
        <v>0</v>
      </c>
      <c r="C265" s="24">
        <f t="shared" si="43"/>
        <v>1.01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t="s">
        <v>3122</v>
      </c>
      <c r="Q265" s="24">
        <f t="shared" si="50"/>
        <v>1</v>
      </c>
      <c r="R265" s="715">
        <f t="shared" ca="1" si="51"/>
        <v>30763</v>
      </c>
      <c r="S265" s="361">
        <f t="shared" ca="1" si="52"/>
        <v>0</v>
      </c>
    </row>
    <row r="266" spans="1:19">
      <c r="A266" s="2997">
        <f>Sheet1!C203</f>
        <v>0</v>
      </c>
      <c r="B266" s="717">
        <f>Sheet1!E203</f>
        <v>0</v>
      </c>
      <c r="C266" s="24">
        <f t="shared" si="43"/>
        <v>1.01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t="s">
        <v>3122</v>
      </c>
      <c r="Q266" s="24">
        <f t="shared" si="50"/>
        <v>1</v>
      </c>
      <c r="R266" s="715">
        <f t="shared" ca="1" si="51"/>
        <v>30763</v>
      </c>
      <c r="S266" s="361">
        <f t="shared" ca="1" si="52"/>
        <v>0</v>
      </c>
    </row>
    <row r="267" spans="1:19">
      <c r="A267" s="2997">
        <f>Sheet1!C204</f>
        <v>0</v>
      </c>
      <c r="B267" s="717">
        <f>Sheet1!E204</f>
        <v>0</v>
      </c>
      <c r="C267" s="24">
        <f t="shared" si="43"/>
        <v>1.01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t="s">
        <v>3122</v>
      </c>
      <c r="Q267" s="24">
        <f t="shared" si="50"/>
        <v>1</v>
      </c>
      <c r="R267" s="715">
        <f t="shared" ca="1" si="51"/>
        <v>30763</v>
      </c>
      <c r="S267" s="361">
        <f t="shared" ca="1" si="52"/>
        <v>0</v>
      </c>
    </row>
    <row r="268" spans="1:19">
      <c r="A268" s="2997">
        <f>Sheet1!C205</f>
        <v>0</v>
      </c>
      <c r="B268" s="717">
        <f>Sheet1!E205</f>
        <v>0</v>
      </c>
      <c r="C268" s="24">
        <f t="shared" si="43"/>
        <v>1.01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t="s">
        <v>3122</v>
      </c>
      <c r="Q268" s="24">
        <f t="shared" si="50"/>
        <v>1</v>
      </c>
      <c r="R268" s="715">
        <f t="shared" ca="1" si="51"/>
        <v>30763</v>
      </c>
      <c r="S268" s="361">
        <f t="shared" ca="1" si="52"/>
        <v>0</v>
      </c>
    </row>
    <row r="269" spans="1:19">
      <c r="A269" s="2997">
        <f>Sheet1!C206</f>
        <v>0</v>
      </c>
      <c r="B269" s="717">
        <f>Sheet1!E206</f>
        <v>0</v>
      </c>
      <c r="C269" s="24">
        <f t="shared" si="43"/>
        <v>1.01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t="s">
        <v>3122</v>
      </c>
      <c r="Q269" s="24">
        <f t="shared" si="50"/>
        <v>1</v>
      </c>
      <c r="R269" s="715">
        <f t="shared" ca="1" si="51"/>
        <v>30763</v>
      </c>
      <c r="S269" s="361">
        <f t="shared" ca="1" si="52"/>
        <v>0</v>
      </c>
    </row>
    <row r="270" spans="1:19">
      <c r="A270" s="2997">
        <f>Sheet1!C207</f>
        <v>0</v>
      </c>
      <c r="B270" s="717">
        <f>Sheet1!E207</f>
        <v>0</v>
      </c>
      <c r="C270" s="24">
        <f t="shared" si="43"/>
        <v>1.01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t="s">
        <v>3122</v>
      </c>
      <c r="Q270" s="24">
        <f t="shared" si="50"/>
        <v>1</v>
      </c>
      <c r="R270" s="715">
        <f t="shared" ca="1" si="51"/>
        <v>30763</v>
      </c>
      <c r="S270" s="361">
        <f t="shared" ca="1" si="52"/>
        <v>0</v>
      </c>
    </row>
    <row r="271" spans="1:19">
      <c r="A271" s="2997">
        <f>Sheet1!C208</f>
        <v>0</v>
      </c>
      <c r="B271" s="717">
        <f>Sheet1!E208</f>
        <v>0</v>
      </c>
      <c r="C271" s="24">
        <f t="shared" si="43"/>
        <v>1.01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t="s">
        <v>3122</v>
      </c>
      <c r="Q271" s="24">
        <f t="shared" si="50"/>
        <v>1</v>
      </c>
      <c r="R271" s="715">
        <f t="shared" ca="1" si="51"/>
        <v>30763</v>
      </c>
      <c r="S271" s="361">
        <f t="shared" ca="1" si="52"/>
        <v>0</v>
      </c>
    </row>
    <row r="272" spans="1:19">
      <c r="A272" s="2997">
        <f>Sheet1!C209</f>
        <v>0</v>
      </c>
      <c r="B272" s="717">
        <f>Sheet1!E209</f>
        <v>0</v>
      </c>
      <c r="C272" s="24">
        <f t="shared" si="43"/>
        <v>1.01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t="s">
        <v>3122</v>
      </c>
      <c r="Q272" s="24">
        <f t="shared" si="50"/>
        <v>1</v>
      </c>
      <c r="R272" s="715">
        <f t="shared" ca="1" si="51"/>
        <v>30763</v>
      </c>
      <c r="S272" s="361">
        <f t="shared" ca="1" si="52"/>
        <v>0</v>
      </c>
    </row>
    <row r="273" spans="1:19">
      <c r="A273" s="2997">
        <f>Sheet1!C210</f>
        <v>0</v>
      </c>
      <c r="B273" s="717">
        <f>Sheet1!E210</f>
        <v>0</v>
      </c>
      <c r="C273" s="24">
        <f t="shared" si="43"/>
        <v>1.01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t="s">
        <v>3122</v>
      </c>
      <c r="Q273" s="24">
        <f t="shared" si="50"/>
        <v>1</v>
      </c>
      <c r="R273" s="715">
        <f t="shared" ca="1" si="51"/>
        <v>30763</v>
      </c>
      <c r="S273" s="361">
        <f t="shared" ca="1" si="52"/>
        <v>0</v>
      </c>
    </row>
    <row r="274" spans="1:19">
      <c r="A274" s="2997">
        <f>Sheet1!C211</f>
        <v>0</v>
      </c>
      <c r="B274" s="717">
        <f>Sheet1!E211</f>
        <v>0</v>
      </c>
      <c r="C274" s="24">
        <f t="shared" si="43"/>
        <v>1.01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t="s">
        <v>3122</v>
      </c>
      <c r="Q274" s="24">
        <f t="shared" si="50"/>
        <v>1</v>
      </c>
      <c r="R274" s="715">
        <f t="shared" ca="1" si="51"/>
        <v>30763</v>
      </c>
      <c r="S274" s="361">
        <f t="shared" ca="1" si="52"/>
        <v>0</v>
      </c>
    </row>
    <row r="275" spans="1:19">
      <c r="A275" s="2997">
        <f>Sheet1!C212</f>
        <v>0</v>
      </c>
      <c r="B275" s="717">
        <f>Sheet1!E212</f>
        <v>0</v>
      </c>
      <c r="C275" s="24">
        <f t="shared" si="43"/>
        <v>1.01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t="s">
        <v>3122</v>
      </c>
      <c r="Q275" s="24">
        <f t="shared" si="50"/>
        <v>1</v>
      </c>
      <c r="R275" s="715">
        <f t="shared" ca="1" si="51"/>
        <v>30763</v>
      </c>
      <c r="S275" s="361">
        <f t="shared" ca="1" si="52"/>
        <v>0</v>
      </c>
    </row>
    <row r="276" spans="1:19">
      <c r="A276" s="2997">
        <f>Sheet1!C213</f>
        <v>0</v>
      </c>
      <c r="B276" s="717">
        <f>Sheet1!E213</f>
        <v>0</v>
      </c>
      <c r="C276" s="24">
        <f t="shared" si="43"/>
        <v>1.01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t="s">
        <v>3122</v>
      </c>
      <c r="Q276" s="24">
        <f t="shared" si="50"/>
        <v>1</v>
      </c>
      <c r="R276" s="715">
        <f t="shared" ca="1" si="51"/>
        <v>30763</v>
      </c>
      <c r="S276" s="361">
        <f t="shared" ca="1" si="52"/>
        <v>0</v>
      </c>
    </row>
    <row r="277" spans="1:19">
      <c r="A277" s="2997">
        <f>Sheet1!C214</f>
        <v>0</v>
      </c>
      <c r="B277" s="717">
        <f>Sheet1!E214</f>
        <v>0</v>
      </c>
      <c r="C277" s="24">
        <f t="shared" si="43"/>
        <v>1.01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t="s">
        <v>3122</v>
      </c>
      <c r="Q277" s="24">
        <f t="shared" si="50"/>
        <v>1</v>
      </c>
      <c r="R277" s="715">
        <f t="shared" ca="1" si="51"/>
        <v>30763</v>
      </c>
      <c r="S277" s="361">
        <f t="shared" ca="1" si="52"/>
        <v>0</v>
      </c>
    </row>
    <row r="278" spans="1:19">
      <c r="A278" s="2997">
        <f>Sheet1!C215</f>
        <v>0</v>
      </c>
      <c r="B278" s="717">
        <f>Sheet1!E215</f>
        <v>0</v>
      </c>
      <c r="C278" s="24">
        <f t="shared" si="43"/>
        <v>1.01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t="s">
        <v>3122</v>
      </c>
      <c r="Q278" s="24">
        <f t="shared" si="50"/>
        <v>1</v>
      </c>
      <c r="R278" s="715">
        <f t="shared" ca="1" si="51"/>
        <v>30763</v>
      </c>
      <c r="S278" s="361">
        <f t="shared" ca="1" si="52"/>
        <v>0</v>
      </c>
    </row>
    <row r="279" spans="1:19">
      <c r="A279" s="2997">
        <f>Sheet1!C216</f>
        <v>0</v>
      </c>
      <c r="B279" s="717">
        <f>Sheet1!E216</f>
        <v>0</v>
      </c>
      <c r="C279" s="24">
        <f t="shared" si="43"/>
        <v>1.01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t="s">
        <v>3122</v>
      </c>
      <c r="Q279" s="24">
        <f t="shared" si="50"/>
        <v>1</v>
      </c>
      <c r="R279" s="715">
        <f t="shared" ca="1" si="51"/>
        <v>30763</v>
      </c>
      <c r="S279" s="361">
        <f t="shared" ca="1" si="52"/>
        <v>0</v>
      </c>
    </row>
    <row r="280" spans="1:19">
      <c r="A280" s="2997">
        <f>Sheet1!C217</f>
        <v>0</v>
      </c>
      <c r="B280" s="717">
        <f>Sheet1!E217</f>
        <v>0</v>
      </c>
      <c r="C280" s="24">
        <f t="shared" si="43"/>
        <v>1.01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t="s">
        <v>3122</v>
      </c>
      <c r="Q280" s="24">
        <f t="shared" si="50"/>
        <v>1</v>
      </c>
      <c r="R280" s="715">
        <f t="shared" ca="1" si="51"/>
        <v>30763</v>
      </c>
      <c r="S280" s="361">
        <f t="shared" ca="1" si="52"/>
        <v>0</v>
      </c>
    </row>
    <row r="281" spans="1:19">
      <c r="A281" s="2997">
        <f>Sheet1!C218</f>
        <v>0</v>
      </c>
      <c r="B281" s="717">
        <f>Sheet1!E218</f>
        <v>0</v>
      </c>
      <c r="C281" s="24">
        <f t="shared" si="43"/>
        <v>1.01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t="s">
        <v>3122</v>
      </c>
      <c r="Q281" s="24">
        <f t="shared" si="50"/>
        <v>1</v>
      </c>
      <c r="R281" s="715">
        <f t="shared" ca="1" si="51"/>
        <v>30763</v>
      </c>
      <c r="S281" s="361">
        <f t="shared" ca="1" si="52"/>
        <v>0</v>
      </c>
    </row>
    <row r="282" spans="1:19">
      <c r="A282" s="2997">
        <f>Sheet1!C219</f>
        <v>0</v>
      </c>
      <c r="B282" s="717">
        <f>Sheet1!E219</f>
        <v>0</v>
      </c>
      <c r="C282" s="24">
        <f t="shared" ref="C282:C345" si="53">IF(B282="",1,(LOOKUP(B282,$3:$3,$4:$4)-LOOKUP($B$24,$3:$3,$4:$4)+100)/100)</f>
        <v>1.01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t="s">
        <v>3122</v>
      </c>
      <c r="Q282" s="24">
        <f t="shared" ref="Q282:Q345" si="60">(SUMIF($17:$17,P282,$18:$18)-SUMIF($17:$17,$P$24,$18:$18)+100)/100</f>
        <v>1</v>
      </c>
      <c r="R282" s="715">
        <f t="shared" ref="R282:R345" ca="1" si="61">IF(B282="",0,ROUND($R$24*C282*E282*G282*I282*K282*M282*O282*Q282,0))</f>
        <v>30763</v>
      </c>
      <c r="S282" s="361">
        <f t="shared" ca="1" si="52"/>
        <v>0</v>
      </c>
    </row>
    <row r="283" spans="1:19">
      <c r="A283" s="2997">
        <f>Sheet1!C220</f>
        <v>0</v>
      </c>
      <c r="B283" s="717">
        <f>Sheet1!E220</f>
        <v>0</v>
      </c>
      <c r="C283" s="24">
        <f t="shared" si="53"/>
        <v>1.01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t="s">
        <v>3122</v>
      </c>
      <c r="Q283" s="24">
        <f t="shared" si="60"/>
        <v>1</v>
      </c>
      <c r="R283" s="715">
        <f t="shared" ca="1" si="61"/>
        <v>30763</v>
      </c>
      <c r="S283" s="361">
        <f t="shared" ca="1" si="52"/>
        <v>0</v>
      </c>
    </row>
    <row r="284" spans="1:19">
      <c r="A284" s="2997">
        <f>Sheet1!C221</f>
        <v>0</v>
      </c>
      <c r="B284" s="717">
        <f>Sheet1!E221</f>
        <v>0</v>
      </c>
      <c r="C284" s="24">
        <f t="shared" si="53"/>
        <v>1.01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t="s">
        <v>3122</v>
      </c>
      <c r="Q284" s="24">
        <f t="shared" si="60"/>
        <v>1</v>
      </c>
      <c r="R284" s="715">
        <f t="shared" ca="1" si="61"/>
        <v>30763</v>
      </c>
      <c r="S284" s="361">
        <f t="shared" ca="1" si="52"/>
        <v>0</v>
      </c>
    </row>
    <row r="285" spans="1:19">
      <c r="A285" s="2997">
        <f>Sheet1!C222</f>
        <v>0</v>
      </c>
      <c r="B285" s="717">
        <f>Sheet1!E222</f>
        <v>0</v>
      </c>
      <c r="C285" s="24">
        <f t="shared" si="53"/>
        <v>1.01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t="s">
        <v>3122</v>
      </c>
      <c r="Q285" s="24">
        <f t="shared" si="60"/>
        <v>1</v>
      </c>
      <c r="R285" s="715">
        <f t="shared" ca="1" si="61"/>
        <v>30763</v>
      </c>
      <c r="S285" s="361">
        <f t="shared" ca="1" si="52"/>
        <v>0</v>
      </c>
    </row>
    <row r="286" spans="1:19">
      <c r="A286" s="2997">
        <f>Sheet1!C223</f>
        <v>0</v>
      </c>
      <c r="B286" s="717">
        <f>Sheet1!E223</f>
        <v>0</v>
      </c>
      <c r="C286" s="24">
        <f t="shared" si="53"/>
        <v>1.01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t="s">
        <v>3122</v>
      </c>
      <c r="Q286" s="24">
        <f t="shared" si="60"/>
        <v>1</v>
      </c>
      <c r="R286" s="715">
        <f t="shared" ca="1" si="61"/>
        <v>30763</v>
      </c>
      <c r="S286" s="361">
        <f t="shared" ca="1" si="52"/>
        <v>0</v>
      </c>
    </row>
    <row r="287" spans="1:19">
      <c r="A287" s="2997">
        <f>Sheet1!C224</f>
        <v>0</v>
      </c>
      <c r="B287" s="717">
        <f>Sheet1!E224</f>
        <v>0</v>
      </c>
      <c r="C287" s="24">
        <f t="shared" si="53"/>
        <v>1.01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t="s">
        <v>3122</v>
      </c>
      <c r="Q287" s="24">
        <f t="shared" si="60"/>
        <v>1</v>
      </c>
      <c r="R287" s="715">
        <f t="shared" ca="1" si="61"/>
        <v>30763</v>
      </c>
      <c r="S287" s="361">
        <f t="shared" ref="S287:S320" ca="1" si="62">ROUND(R287*B287/10000,0)</f>
        <v>0</v>
      </c>
    </row>
    <row r="288" spans="1:19">
      <c r="A288" s="2997">
        <f>Sheet1!C225</f>
        <v>0</v>
      </c>
      <c r="B288" s="717">
        <f>Sheet1!E225</f>
        <v>0</v>
      </c>
      <c r="C288" s="24">
        <f t="shared" si="53"/>
        <v>1.01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t="s">
        <v>3122</v>
      </c>
      <c r="Q288" s="24">
        <f t="shared" si="60"/>
        <v>1</v>
      </c>
      <c r="R288" s="715">
        <f t="shared" ca="1" si="61"/>
        <v>30763</v>
      </c>
      <c r="S288" s="361">
        <f t="shared" ca="1" si="62"/>
        <v>0</v>
      </c>
    </row>
    <row r="289" spans="1:19">
      <c r="A289" s="2997">
        <f>Sheet1!C226</f>
        <v>0</v>
      </c>
      <c r="B289" s="717">
        <f>Sheet1!E226</f>
        <v>0</v>
      </c>
      <c r="C289" s="24">
        <f t="shared" si="53"/>
        <v>1.01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t="s">
        <v>3122</v>
      </c>
      <c r="Q289" s="24">
        <f t="shared" si="60"/>
        <v>1</v>
      </c>
      <c r="R289" s="715">
        <f t="shared" ca="1" si="61"/>
        <v>30763</v>
      </c>
      <c r="S289" s="361">
        <f t="shared" ca="1" si="62"/>
        <v>0</v>
      </c>
    </row>
    <row r="290" spans="1:19">
      <c r="A290" s="2997">
        <f>Sheet1!C227</f>
        <v>0</v>
      </c>
      <c r="B290" s="717">
        <f>Sheet1!E227</f>
        <v>0</v>
      </c>
      <c r="C290" s="24">
        <f t="shared" si="53"/>
        <v>1.01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t="s">
        <v>3122</v>
      </c>
      <c r="Q290" s="24">
        <f t="shared" si="60"/>
        <v>1</v>
      </c>
      <c r="R290" s="715">
        <f t="shared" ca="1" si="61"/>
        <v>30763</v>
      </c>
      <c r="S290" s="361">
        <f t="shared" ca="1" si="62"/>
        <v>0</v>
      </c>
    </row>
    <row r="291" spans="1:19">
      <c r="A291" s="2997">
        <f>Sheet1!C228</f>
        <v>0</v>
      </c>
      <c r="B291" s="717">
        <f>Sheet1!E228</f>
        <v>0</v>
      </c>
      <c r="C291" s="24">
        <f t="shared" si="53"/>
        <v>1.01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t="s">
        <v>3122</v>
      </c>
      <c r="Q291" s="24">
        <f t="shared" si="60"/>
        <v>1</v>
      </c>
      <c r="R291" s="715">
        <f t="shared" ca="1" si="61"/>
        <v>30763</v>
      </c>
      <c r="S291" s="361">
        <f t="shared" ca="1" si="62"/>
        <v>0</v>
      </c>
    </row>
    <row r="292" spans="1:19">
      <c r="A292" s="2997">
        <f>Sheet1!C229</f>
        <v>0</v>
      </c>
      <c r="B292" s="717">
        <f>Sheet1!E229</f>
        <v>0</v>
      </c>
      <c r="C292" s="24">
        <f t="shared" si="53"/>
        <v>1.01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t="s">
        <v>3122</v>
      </c>
      <c r="Q292" s="24">
        <f t="shared" si="60"/>
        <v>1</v>
      </c>
      <c r="R292" s="715">
        <f t="shared" ca="1" si="61"/>
        <v>30763</v>
      </c>
      <c r="S292" s="361">
        <f t="shared" ca="1" si="62"/>
        <v>0</v>
      </c>
    </row>
    <row r="293" spans="1:19">
      <c r="A293" s="2997">
        <f>Sheet1!C230</f>
        <v>0</v>
      </c>
      <c r="B293" s="717">
        <f>Sheet1!E230</f>
        <v>0</v>
      </c>
      <c r="C293" s="24">
        <f t="shared" si="53"/>
        <v>1.01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t="s">
        <v>3122</v>
      </c>
      <c r="Q293" s="24">
        <f t="shared" si="60"/>
        <v>1</v>
      </c>
      <c r="R293" s="715">
        <f t="shared" ca="1" si="61"/>
        <v>30763</v>
      </c>
      <c r="S293" s="361">
        <f t="shared" ca="1" si="62"/>
        <v>0</v>
      </c>
    </row>
    <row r="294" spans="1:19">
      <c r="A294" s="2997">
        <f>Sheet1!C231</f>
        <v>0</v>
      </c>
      <c r="B294" s="717">
        <f>Sheet1!E231</f>
        <v>0</v>
      </c>
      <c r="C294" s="24">
        <f t="shared" si="53"/>
        <v>1.01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t="s">
        <v>3122</v>
      </c>
      <c r="Q294" s="24">
        <f t="shared" si="60"/>
        <v>1</v>
      </c>
      <c r="R294" s="715">
        <f t="shared" ca="1" si="61"/>
        <v>30763</v>
      </c>
      <c r="S294" s="361">
        <f t="shared" ca="1" si="62"/>
        <v>0</v>
      </c>
    </row>
    <row r="295" spans="1:19">
      <c r="A295" s="2997">
        <f>Sheet1!C232</f>
        <v>0</v>
      </c>
      <c r="B295" s="717">
        <f>Sheet1!E232</f>
        <v>0</v>
      </c>
      <c r="C295" s="24">
        <f t="shared" si="53"/>
        <v>1.01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t="s">
        <v>3122</v>
      </c>
      <c r="Q295" s="24">
        <f t="shared" si="60"/>
        <v>1</v>
      </c>
      <c r="R295" s="715">
        <f t="shared" ca="1" si="61"/>
        <v>30763</v>
      </c>
      <c r="S295" s="361">
        <f t="shared" ca="1" si="62"/>
        <v>0</v>
      </c>
    </row>
    <row r="296" spans="1:19">
      <c r="A296" s="2997">
        <f>Sheet1!C233</f>
        <v>0</v>
      </c>
      <c r="B296" s="717">
        <f>Sheet1!E233</f>
        <v>0</v>
      </c>
      <c r="C296" s="24">
        <f t="shared" si="53"/>
        <v>1.01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t="s">
        <v>3122</v>
      </c>
      <c r="Q296" s="24">
        <f t="shared" si="60"/>
        <v>1</v>
      </c>
      <c r="R296" s="715">
        <f t="shared" ca="1" si="61"/>
        <v>30763</v>
      </c>
      <c r="S296" s="361">
        <f t="shared" ca="1" si="62"/>
        <v>0</v>
      </c>
    </row>
    <row r="297" spans="1:19">
      <c r="A297" s="2997">
        <f>Sheet1!C234</f>
        <v>0</v>
      </c>
      <c r="B297" s="717">
        <f>Sheet1!E234</f>
        <v>0</v>
      </c>
      <c r="C297" s="24">
        <f t="shared" si="53"/>
        <v>1.01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t="s">
        <v>3122</v>
      </c>
      <c r="Q297" s="24">
        <f t="shared" si="60"/>
        <v>1</v>
      </c>
      <c r="R297" s="715">
        <f t="shared" ca="1" si="61"/>
        <v>30763</v>
      </c>
      <c r="S297" s="361">
        <f t="shared" ca="1" si="62"/>
        <v>0</v>
      </c>
    </row>
    <row r="298" spans="1:19">
      <c r="A298" s="2997">
        <f>Sheet1!C235</f>
        <v>0</v>
      </c>
      <c r="B298" s="717">
        <f>Sheet1!E235</f>
        <v>0</v>
      </c>
      <c r="C298" s="24">
        <f t="shared" si="53"/>
        <v>1.01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t="s">
        <v>3122</v>
      </c>
      <c r="Q298" s="24">
        <f t="shared" si="60"/>
        <v>1</v>
      </c>
      <c r="R298" s="715">
        <f t="shared" ca="1" si="61"/>
        <v>30763</v>
      </c>
      <c r="S298" s="361">
        <f t="shared" ca="1" si="62"/>
        <v>0</v>
      </c>
    </row>
    <row r="299" spans="1:19">
      <c r="A299" s="2997">
        <f>Sheet1!C236</f>
        <v>0</v>
      </c>
      <c r="B299" s="717">
        <f>Sheet1!E236</f>
        <v>0</v>
      </c>
      <c r="C299" s="24">
        <f t="shared" si="53"/>
        <v>1.01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t="s">
        <v>3122</v>
      </c>
      <c r="Q299" s="24">
        <f t="shared" si="60"/>
        <v>1</v>
      </c>
      <c r="R299" s="715">
        <f t="shared" ca="1" si="61"/>
        <v>30763</v>
      </c>
      <c r="S299" s="361">
        <f t="shared" ca="1" si="62"/>
        <v>0</v>
      </c>
    </row>
    <row r="300" spans="1:19">
      <c r="A300" s="2997">
        <f>Sheet1!C237</f>
        <v>0</v>
      </c>
      <c r="B300" s="717">
        <f>Sheet1!E237</f>
        <v>0</v>
      </c>
      <c r="C300" s="24">
        <f t="shared" si="53"/>
        <v>1.01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t="s">
        <v>3122</v>
      </c>
      <c r="Q300" s="24">
        <f t="shared" si="60"/>
        <v>1</v>
      </c>
      <c r="R300" s="715">
        <f t="shared" ca="1" si="61"/>
        <v>30763</v>
      </c>
      <c r="S300" s="361">
        <f t="shared" ca="1" si="62"/>
        <v>0</v>
      </c>
    </row>
    <row r="301" spans="1:19">
      <c r="A301" s="2997">
        <f>Sheet1!C238</f>
        <v>0</v>
      </c>
      <c r="B301" s="717">
        <f>Sheet1!E238</f>
        <v>0</v>
      </c>
      <c r="C301" s="24">
        <f t="shared" si="53"/>
        <v>1.01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t="s">
        <v>3122</v>
      </c>
      <c r="Q301" s="24">
        <f t="shared" si="60"/>
        <v>1</v>
      </c>
      <c r="R301" s="715">
        <f t="shared" ca="1" si="61"/>
        <v>30763</v>
      </c>
      <c r="S301" s="361">
        <f t="shared" ca="1" si="62"/>
        <v>0</v>
      </c>
    </row>
    <row r="302" spans="1:19">
      <c r="A302" s="2997">
        <f>Sheet1!C239</f>
        <v>0</v>
      </c>
      <c r="B302" s="717">
        <f>Sheet1!E239</f>
        <v>0</v>
      </c>
      <c r="C302" s="24">
        <f t="shared" si="53"/>
        <v>1.01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t="s">
        <v>3122</v>
      </c>
      <c r="Q302" s="24">
        <f t="shared" si="60"/>
        <v>1</v>
      </c>
      <c r="R302" s="715">
        <f t="shared" ca="1" si="61"/>
        <v>30763</v>
      </c>
      <c r="S302" s="361">
        <f t="shared" ca="1" si="62"/>
        <v>0</v>
      </c>
    </row>
    <row r="303" spans="1:19">
      <c r="A303" s="2997">
        <f>Sheet1!C240</f>
        <v>0</v>
      </c>
      <c r="B303" s="717">
        <f>Sheet1!E240</f>
        <v>0</v>
      </c>
      <c r="C303" s="24">
        <f t="shared" si="53"/>
        <v>1.01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t="s">
        <v>3122</v>
      </c>
      <c r="Q303" s="24">
        <f t="shared" si="60"/>
        <v>1</v>
      </c>
      <c r="R303" s="715">
        <f t="shared" ca="1" si="61"/>
        <v>30763</v>
      </c>
      <c r="S303" s="361">
        <f t="shared" ca="1" si="62"/>
        <v>0</v>
      </c>
    </row>
    <row r="304" spans="1:19">
      <c r="A304" s="2997">
        <f>Sheet1!C241</f>
        <v>0</v>
      </c>
      <c r="B304" s="717">
        <f>Sheet1!E241</f>
        <v>0</v>
      </c>
      <c r="C304" s="24">
        <f t="shared" si="53"/>
        <v>1.01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t="s">
        <v>3122</v>
      </c>
      <c r="Q304" s="24">
        <f t="shared" si="60"/>
        <v>1</v>
      </c>
      <c r="R304" s="715">
        <f t="shared" ca="1" si="61"/>
        <v>30763</v>
      </c>
      <c r="S304" s="361">
        <f t="shared" ca="1" si="62"/>
        <v>0</v>
      </c>
    </row>
    <row r="305" spans="1:19">
      <c r="A305" s="2997">
        <f>Sheet1!C242</f>
        <v>0</v>
      </c>
      <c r="B305" s="717">
        <f>Sheet1!E242</f>
        <v>0</v>
      </c>
      <c r="C305" s="24">
        <f t="shared" si="53"/>
        <v>1.01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t="s">
        <v>3122</v>
      </c>
      <c r="Q305" s="24">
        <f t="shared" si="60"/>
        <v>1</v>
      </c>
      <c r="R305" s="715">
        <f t="shared" ca="1" si="61"/>
        <v>30763</v>
      </c>
      <c r="S305" s="361">
        <f t="shared" ca="1" si="62"/>
        <v>0</v>
      </c>
    </row>
    <row r="306" spans="1:19">
      <c r="A306" s="2997">
        <f>Sheet1!C243</f>
        <v>0</v>
      </c>
      <c r="B306" s="717">
        <f>Sheet1!E243</f>
        <v>0</v>
      </c>
      <c r="C306" s="24">
        <f t="shared" si="53"/>
        <v>1.01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t="s">
        <v>3122</v>
      </c>
      <c r="Q306" s="24">
        <f t="shared" si="60"/>
        <v>1</v>
      </c>
      <c r="R306" s="715">
        <f t="shared" ca="1" si="61"/>
        <v>30763</v>
      </c>
      <c r="S306" s="361">
        <f t="shared" ca="1" si="62"/>
        <v>0</v>
      </c>
    </row>
    <row r="307" spans="1:19">
      <c r="A307" s="2997">
        <f>Sheet1!C244</f>
        <v>0</v>
      </c>
      <c r="B307" s="717">
        <f>Sheet1!E244</f>
        <v>0</v>
      </c>
      <c r="C307" s="24">
        <f t="shared" si="53"/>
        <v>1.01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t="s">
        <v>3122</v>
      </c>
      <c r="Q307" s="24">
        <f t="shared" si="60"/>
        <v>1</v>
      </c>
      <c r="R307" s="715">
        <f t="shared" ca="1" si="61"/>
        <v>30763</v>
      </c>
      <c r="S307" s="361">
        <f t="shared" ca="1" si="62"/>
        <v>0</v>
      </c>
    </row>
    <row r="308" spans="1:19">
      <c r="A308" s="2997">
        <f>Sheet1!C245</f>
        <v>0</v>
      </c>
      <c r="B308" s="717">
        <f>Sheet1!E245</f>
        <v>0</v>
      </c>
      <c r="C308" s="24">
        <f t="shared" si="53"/>
        <v>1.01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t="s">
        <v>3122</v>
      </c>
      <c r="Q308" s="24">
        <f t="shared" si="60"/>
        <v>1</v>
      </c>
      <c r="R308" s="715">
        <f t="shared" ca="1" si="61"/>
        <v>30763</v>
      </c>
      <c r="S308" s="361">
        <f t="shared" ca="1" si="62"/>
        <v>0</v>
      </c>
    </row>
    <row r="309" spans="1:19">
      <c r="A309" s="2997">
        <f>Sheet1!C246</f>
        <v>0</v>
      </c>
      <c r="B309" s="717">
        <f>Sheet1!E246</f>
        <v>0</v>
      </c>
      <c r="C309" s="24">
        <f t="shared" si="53"/>
        <v>1.01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t="s">
        <v>3122</v>
      </c>
      <c r="Q309" s="24">
        <f t="shared" si="60"/>
        <v>1</v>
      </c>
      <c r="R309" s="715">
        <f t="shared" ca="1" si="61"/>
        <v>30763</v>
      </c>
      <c r="S309" s="361">
        <f t="shared" ca="1" si="62"/>
        <v>0</v>
      </c>
    </row>
    <row r="310" spans="1:19">
      <c r="A310" s="2997">
        <f>Sheet1!C247</f>
        <v>0</v>
      </c>
      <c r="B310" s="717">
        <f>Sheet1!E247</f>
        <v>0</v>
      </c>
      <c r="C310" s="24">
        <f t="shared" si="53"/>
        <v>1.01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t="s">
        <v>3122</v>
      </c>
      <c r="Q310" s="24">
        <f t="shared" si="60"/>
        <v>1</v>
      </c>
      <c r="R310" s="715">
        <f t="shared" ca="1" si="61"/>
        <v>30763</v>
      </c>
      <c r="S310" s="361">
        <f t="shared" ca="1" si="62"/>
        <v>0</v>
      </c>
    </row>
    <row r="311" spans="1:19">
      <c r="A311" s="2997">
        <f>Sheet1!C248</f>
        <v>0</v>
      </c>
      <c r="B311" s="717">
        <f>Sheet1!E248</f>
        <v>0</v>
      </c>
      <c r="C311" s="24">
        <f t="shared" si="53"/>
        <v>1.01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t="s">
        <v>3122</v>
      </c>
      <c r="Q311" s="24">
        <f t="shared" si="60"/>
        <v>1</v>
      </c>
      <c r="R311" s="715">
        <f t="shared" ca="1" si="61"/>
        <v>30763</v>
      </c>
      <c r="S311" s="361">
        <f t="shared" ca="1" si="62"/>
        <v>0</v>
      </c>
    </row>
    <row r="312" spans="1:19">
      <c r="A312" s="2997">
        <f>Sheet1!C249</f>
        <v>0</v>
      </c>
      <c r="B312" s="717">
        <f>Sheet1!E249</f>
        <v>0</v>
      </c>
      <c r="C312" s="24">
        <f t="shared" si="53"/>
        <v>1.01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t="s">
        <v>3122</v>
      </c>
      <c r="Q312" s="24">
        <f t="shared" si="60"/>
        <v>1</v>
      </c>
      <c r="R312" s="715">
        <f t="shared" ca="1" si="61"/>
        <v>30763</v>
      </c>
      <c r="S312" s="361">
        <f t="shared" ca="1" si="62"/>
        <v>0</v>
      </c>
    </row>
    <row r="313" spans="1:19">
      <c r="A313" s="2997">
        <f>Sheet1!C250</f>
        <v>0</v>
      </c>
      <c r="B313" s="717">
        <f>Sheet1!E250</f>
        <v>0</v>
      </c>
      <c r="C313" s="24">
        <f t="shared" si="53"/>
        <v>1.01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t="s">
        <v>3122</v>
      </c>
      <c r="Q313" s="24">
        <f t="shared" si="60"/>
        <v>1</v>
      </c>
      <c r="R313" s="715">
        <f t="shared" ca="1" si="61"/>
        <v>30763</v>
      </c>
      <c r="S313" s="361">
        <f t="shared" ca="1" si="62"/>
        <v>0</v>
      </c>
    </row>
    <row r="314" spans="1:19">
      <c r="A314" s="2997">
        <f>Sheet1!C251</f>
        <v>0</v>
      </c>
      <c r="B314" s="717">
        <f>Sheet1!E251</f>
        <v>0</v>
      </c>
      <c r="C314" s="24">
        <f t="shared" si="53"/>
        <v>1.01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t="s">
        <v>3122</v>
      </c>
      <c r="Q314" s="24">
        <f t="shared" si="60"/>
        <v>1</v>
      </c>
      <c r="R314" s="715">
        <f t="shared" ca="1" si="61"/>
        <v>30763</v>
      </c>
      <c r="S314" s="361">
        <f t="shared" ca="1" si="62"/>
        <v>0</v>
      </c>
    </row>
    <row r="315" spans="1:19">
      <c r="A315" s="2997">
        <f>Sheet1!C252</f>
        <v>0</v>
      </c>
      <c r="B315" s="717">
        <f>Sheet1!E252</f>
        <v>0</v>
      </c>
      <c r="C315" s="24">
        <f t="shared" si="53"/>
        <v>1.01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t="s">
        <v>3187</v>
      </c>
      <c r="Q315" s="24">
        <f t="shared" si="60"/>
        <v>0.85</v>
      </c>
      <c r="R315" s="715">
        <f t="shared" ca="1" si="61"/>
        <v>26148</v>
      </c>
      <c r="S315" s="361">
        <f t="shared" ca="1" si="62"/>
        <v>0</v>
      </c>
    </row>
    <row r="316" spans="1:19">
      <c r="A316" s="2997">
        <f>Sheet1!C253</f>
        <v>0</v>
      </c>
      <c r="B316" s="717">
        <f>Sheet1!E253</f>
        <v>0</v>
      </c>
      <c r="C316" s="24">
        <f t="shared" si="53"/>
        <v>1.01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t="s">
        <v>3187</v>
      </c>
      <c r="Q316" s="24">
        <f t="shared" si="60"/>
        <v>0.85</v>
      </c>
      <c r="R316" s="715">
        <f t="shared" ca="1" si="61"/>
        <v>26148</v>
      </c>
      <c r="S316" s="361">
        <f t="shared" ca="1" si="62"/>
        <v>0</v>
      </c>
    </row>
    <row r="317" spans="1:19">
      <c r="A317" s="2997">
        <f>Sheet1!C254</f>
        <v>0</v>
      </c>
      <c r="B317" s="717">
        <f>Sheet1!E254</f>
        <v>0</v>
      </c>
      <c r="C317" s="24">
        <f t="shared" si="53"/>
        <v>1.01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t="s">
        <v>3187</v>
      </c>
      <c r="Q317" s="24">
        <f t="shared" si="60"/>
        <v>0.85</v>
      </c>
      <c r="R317" s="715">
        <f t="shared" ca="1" si="61"/>
        <v>26148</v>
      </c>
      <c r="S317" s="361">
        <f t="shared" ca="1" si="62"/>
        <v>0</v>
      </c>
    </row>
    <row r="318" spans="1:19">
      <c r="A318" s="2997">
        <f>Sheet1!C255</f>
        <v>0</v>
      </c>
      <c r="B318" s="717">
        <f>Sheet1!E255</f>
        <v>0</v>
      </c>
      <c r="C318" s="24">
        <f t="shared" si="53"/>
        <v>1.01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t="s">
        <v>3187</v>
      </c>
      <c r="Q318" s="24">
        <f t="shared" si="60"/>
        <v>0.85</v>
      </c>
      <c r="R318" s="715">
        <f t="shared" ca="1" si="61"/>
        <v>26148</v>
      </c>
      <c r="S318" s="361">
        <f t="shared" ca="1" si="62"/>
        <v>0</v>
      </c>
    </row>
    <row r="319" spans="1:19">
      <c r="A319" s="2997">
        <f>Sheet1!C256</f>
        <v>0</v>
      </c>
      <c r="B319" s="717">
        <f>Sheet1!E256</f>
        <v>0</v>
      </c>
      <c r="C319" s="24">
        <f t="shared" si="53"/>
        <v>1.01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t="s">
        <v>3187</v>
      </c>
      <c r="Q319" s="24">
        <f t="shared" si="60"/>
        <v>0.85</v>
      </c>
      <c r="R319" s="715">
        <f t="shared" ca="1" si="61"/>
        <v>26148</v>
      </c>
      <c r="S319" s="361">
        <f t="shared" ca="1" si="62"/>
        <v>0</v>
      </c>
    </row>
    <row r="320" spans="1:19">
      <c r="A320" s="2997">
        <f>Sheet1!C257</f>
        <v>0</v>
      </c>
      <c r="B320" s="717">
        <f>Sheet1!E257</f>
        <v>0</v>
      </c>
      <c r="C320" s="24">
        <f t="shared" si="53"/>
        <v>1.01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t="s">
        <v>3122</v>
      </c>
      <c r="Q320" s="24">
        <f t="shared" si="60"/>
        <v>1</v>
      </c>
      <c r="R320" s="715">
        <f t="shared" ca="1" si="61"/>
        <v>30763</v>
      </c>
      <c r="S320" s="361">
        <f t="shared" ca="1" si="62"/>
        <v>0</v>
      </c>
    </row>
    <row r="321" spans="1:19">
      <c r="A321" s="2997">
        <f>Sheet1!C258</f>
        <v>0</v>
      </c>
      <c r="B321" s="717">
        <f>Sheet1!E258</f>
        <v>0</v>
      </c>
      <c r="C321" s="24">
        <f t="shared" si="53"/>
        <v>1.01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t="s">
        <v>3122</v>
      </c>
      <c r="Q321" s="24">
        <f t="shared" si="60"/>
        <v>1</v>
      </c>
      <c r="R321" s="715">
        <f t="shared" ca="1" si="61"/>
        <v>30763</v>
      </c>
      <c r="S321" s="361">
        <f t="shared" ref="S321:S384" ca="1" si="63">ROUND(R321*B321/10000,0)</f>
        <v>0</v>
      </c>
    </row>
    <row r="322" spans="1:19">
      <c r="A322" s="2997">
        <f>Sheet1!C259</f>
        <v>0</v>
      </c>
      <c r="B322" s="717">
        <f>Sheet1!E259</f>
        <v>0</v>
      </c>
      <c r="C322" s="24">
        <f t="shared" si="53"/>
        <v>1.01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t="s">
        <v>3122</v>
      </c>
      <c r="Q322" s="24">
        <f t="shared" si="60"/>
        <v>1</v>
      </c>
      <c r="R322" s="715">
        <f t="shared" ca="1" si="61"/>
        <v>30763</v>
      </c>
      <c r="S322" s="361">
        <f t="shared" ca="1" si="63"/>
        <v>0</v>
      </c>
    </row>
    <row r="323" spans="1:19">
      <c r="A323" s="2997">
        <f>Sheet1!C260</f>
        <v>0</v>
      </c>
      <c r="B323" s="717">
        <f>Sheet1!E260</f>
        <v>0</v>
      </c>
      <c r="C323" s="24">
        <f t="shared" si="53"/>
        <v>1.01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t="s">
        <v>3122</v>
      </c>
      <c r="Q323" s="24">
        <f t="shared" si="60"/>
        <v>1</v>
      </c>
      <c r="R323" s="715">
        <f t="shared" ca="1" si="61"/>
        <v>30763</v>
      </c>
      <c r="S323" s="361">
        <f t="shared" ca="1" si="63"/>
        <v>0</v>
      </c>
    </row>
    <row r="324" spans="1:19">
      <c r="A324" s="2997">
        <f>Sheet1!C261</f>
        <v>0</v>
      </c>
      <c r="B324" s="717">
        <f>Sheet1!E261</f>
        <v>0</v>
      </c>
      <c r="C324" s="24">
        <f t="shared" si="53"/>
        <v>1.01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t="s">
        <v>3122</v>
      </c>
      <c r="Q324" s="24">
        <f t="shared" si="60"/>
        <v>1</v>
      </c>
      <c r="R324" s="715">
        <f t="shared" ca="1" si="61"/>
        <v>30763</v>
      </c>
      <c r="S324" s="361">
        <f t="shared" ca="1" si="63"/>
        <v>0</v>
      </c>
    </row>
    <row r="325" spans="1:19">
      <c r="A325" s="2997">
        <f>Sheet1!C262</f>
        <v>0</v>
      </c>
      <c r="B325" s="717">
        <f>Sheet1!E262</f>
        <v>0</v>
      </c>
      <c r="C325" s="24">
        <f t="shared" si="53"/>
        <v>1.01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t="s">
        <v>3122</v>
      </c>
      <c r="Q325" s="24">
        <f t="shared" si="60"/>
        <v>1</v>
      </c>
      <c r="R325" s="715">
        <f t="shared" ca="1" si="61"/>
        <v>30763</v>
      </c>
      <c r="S325" s="361">
        <f t="shared" ca="1" si="63"/>
        <v>0</v>
      </c>
    </row>
    <row r="326" spans="1:19">
      <c r="A326" s="2997">
        <f>Sheet1!C263</f>
        <v>0</v>
      </c>
      <c r="B326" s="717">
        <f>Sheet1!E263</f>
        <v>0</v>
      </c>
      <c r="C326" s="24">
        <f t="shared" si="53"/>
        <v>1.01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t="s">
        <v>3122</v>
      </c>
      <c r="Q326" s="24">
        <f t="shared" si="60"/>
        <v>1</v>
      </c>
      <c r="R326" s="715">
        <f t="shared" ca="1" si="61"/>
        <v>30763</v>
      </c>
      <c r="S326" s="361">
        <f t="shared" ca="1" si="63"/>
        <v>0</v>
      </c>
    </row>
    <row r="327" spans="1:19">
      <c r="A327" s="2997">
        <f>Sheet1!C264</f>
        <v>0</v>
      </c>
      <c r="B327" s="717">
        <f>Sheet1!E264</f>
        <v>0</v>
      </c>
      <c r="C327" s="24">
        <f t="shared" si="53"/>
        <v>1.01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t="s">
        <v>3122</v>
      </c>
      <c r="Q327" s="24">
        <f t="shared" si="60"/>
        <v>1</v>
      </c>
      <c r="R327" s="715">
        <f t="shared" ca="1" si="61"/>
        <v>30763</v>
      </c>
      <c r="S327" s="361">
        <f t="shared" ca="1" si="63"/>
        <v>0</v>
      </c>
    </row>
    <row r="328" spans="1:19">
      <c r="A328" s="2997">
        <f>Sheet1!C265</f>
        <v>0</v>
      </c>
      <c r="B328" s="717">
        <f>Sheet1!E265</f>
        <v>0</v>
      </c>
      <c r="C328" s="24">
        <f t="shared" si="53"/>
        <v>1.01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t="s">
        <v>3122</v>
      </c>
      <c r="Q328" s="24">
        <f t="shared" si="60"/>
        <v>1</v>
      </c>
      <c r="R328" s="715">
        <f t="shared" ca="1" si="61"/>
        <v>30763</v>
      </c>
      <c r="S328" s="361">
        <f t="shared" ca="1" si="63"/>
        <v>0</v>
      </c>
    </row>
    <row r="329" spans="1:19">
      <c r="A329" s="2997">
        <f>Sheet1!C266</f>
        <v>0</v>
      </c>
      <c r="B329" s="717">
        <f>Sheet1!E266</f>
        <v>0</v>
      </c>
      <c r="C329" s="24">
        <f t="shared" si="53"/>
        <v>1.01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t="s">
        <v>3122</v>
      </c>
      <c r="Q329" s="24">
        <f t="shared" si="60"/>
        <v>1</v>
      </c>
      <c r="R329" s="715">
        <f t="shared" ca="1" si="61"/>
        <v>30763</v>
      </c>
      <c r="S329" s="361">
        <f t="shared" ca="1" si="63"/>
        <v>0</v>
      </c>
    </row>
    <row r="330" spans="1:19">
      <c r="A330" s="2997">
        <f>Sheet1!C267</f>
        <v>0</v>
      </c>
      <c r="B330" s="717">
        <f>Sheet1!E267</f>
        <v>0</v>
      </c>
      <c r="C330" s="24">
        <f t="shared" si="53"/>
        <v>1.01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t="s">
        <v>3122</v>
      </c>
      <c r="Q330" s="24">
        <f t="shared" si="60"/>
        <v>1</v>
      </c>
      <c r="R330" s="715">
        <f t="shared" ca="1" si="61"/>
        <v>30763</v>
      </c>
      <c r="S330" s="361">
        <f t="shared" ca="1" si="63"/>
        <v>0</v>
      </c>
    </row>
    <row r="331" spans="1:19">
      <c r="A331" s="2997">
        <f>Sheet1!C268</f>
        <v>0</v>
      </c>
      <c r="B331" s="717">
        <f>Sheet1!E268</f>
        <v>0</v>
      </c>
      <c r="C331" s="24">
        <f t="shared" si="53"/>
        <v>1.01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t="s">
        <v>3122</v>
      </c>
      <c r="Q331" s="24">
        <f t="shared" si="60"/>
        <v>1</v>
      </c>
      <c r="R331" s="715">
        <f t="shared" ca="1" si="61"/>
        <v>30763</v>
      </c>
      <c r="S331" s="361">
        <f t="shared" ca="1" si="63"/>
        <v>0</v>
      </c>
    </row>
    <row r="332" spans="1:19" ht="13.5" customHeight="1">
      <c r="A332" s="2997">
        <f>Sheet1!C269</f>
        <v>0</v>
      </c>
      <c r="B332" s="717">
        <f>Sheet1!E269</f>
        <v>0</v>
      </c>
      <c r="C332" s="24">
        <f t="shared" si="53"/>
        <v>1.01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t="s">
        <v>3122</v>
      </c>
      <c r="Q332" s="24">
        <f t="shared" si="60"/>
        <v>1</v>
      </c>
      <c r="R332" s="715">
        <f t="shared" ca="1" si="61"/>
        <v>30763</v>
      </c>
      <c r="S332" s="361">
        <f t="shared" ca="1" si="63"/>
        <v>0</v>
      </c>
    </row>
    <row r="333" spans="1:19">
      <c r="A333" s="2997">
        <f>Sheet1!C270</f>
        <v>0</v>
      </c>
      <c r="B333" s="717">
        <f>Sheet1!E270</f>
        <v>0</v>
      </c>
      <c r="C333" s="24">
        <f t="shared" si="53"/>
        <v>1.01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t="s">
        <v>3187</v>
      </c>
      <c r="Q333" s="24">
        <f t="shared" si="60"/>
        <v>0.85</v>
      </c>
      <c r="R333" s="715">
        <f t="shared" ca="1" si="61"/>
        <v>26148</v>
      </c>
      <c r="S333" s="361">
        <f t="shared" ca="1" si="63"/>
        <v>0</v>
      </c>
    </row>
    <row r="334" spans="1:19">
      <c r="A334" s="2997">
        <f>Sheet1!C271</f>
        <v>0</v>
      </c>
      <c r="B334" s="717">
        <f>Sheet1!E271</f>
        <v>0</v>
      </c>
      <c r="C334" s="24">
        <f t="shared" si="53"/>
        <v>1.01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t="s">
        <v>3122</v>
      </c>
      <c r="Q334" s="24">
        <f t="shared" si="60"/>
        <v>1</v>
      </c>
      <c r="R334" s="715">
        <f t="shared" ca="1" si="61"/>
        <v>30763</v>
      </c>
      <c r="S334" s="361">
        <f t="shared" ca="1" si="63"/>
        <v>0</v>
      </c>
    </row>
    <row r="335" spans="1:19">
      <c r="A335" s="2997">
        <f>Sheet1!C272</f>
        <v>0</v>
      </c>
      <c r="B335" s="717">
        <f>Sheet1!E272</f>
        <v>0</v>
      </c>
      <c r="C335" s="24">
        <f t="shared" si="53"/>
        <v>1.01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t="s">
        <v>3122</v>
      </c>
      <c r="Q335" s="24">
        <f t="shared" si="60"/>
        <v>1</v>
      </c>
      <c r="R335" s="715">
        <f t="shared" ca="1" si="61"/>
        <v>30763</v>
      </c>
      <c r="S335" s="361">
        <f t="shared" ca="1" si="63"/>
        <v>0</v>
      </c>
    </row>
    <row r="336" spans="1:19">
      <c r="A336" s="2997">
        <f>Sheet1!C273</f>
        <v>0</v>
      </c>
      <c r="B336" s="717">
        <f>Sheet1!E273</f>
        <v>0</v>
      </c>
      <c r="C336" s="24">
        <f t="shared" si="53"/>
        <v>1.01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t="s">
        <v>3122</v>
      </c>
      <c r="Q336" s="24">
        <f t="shared" si="60"/>
        <v>1</v>
      </c>
      <c r="R336" s="715">
        <f t="shared" ca="1" si="61"/>
        <v>30763</v>
      </c>
      <c r="S336" s="361">
        <f t="shared" ca="1" si="63"/>
        <v>0</v>
      </c>
    </row>
    <row r="337" spans="1:19">
      <c r="A337" s="2997">
        <f>Sheet1!C274</f>
        <v>0</v>
      </c>
      <c r="B337" s="717">
        <f>Sheet1!E274</f>
        <v>0</v>
      </c>
      <c r="C337" s="24">
        <f t="shared" si="53"/>
        <v>1.01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t="s">
        <v>3122</v>
      </c>
      <c r="Q337" s="24">
        <f t="shared" si="60"/>
        <v>1</v>
      </c>
      <c r="R337" s="715">
        <f t="shared" ca="1" si="61"/>
        <v>30763</v>
      </c>
      <c r="S337" s="361">
        <f t="shared" ca="1" si="63"/>
        <v>0</v>
      </c>
    </row>
    <row r="338" spans="1:19">
      <c r="A338" s="2997">
        <f>Sheet1!C275</f>
        <v>0</v>
      </c>
      <c r="B338" s="717">
        <f>Sheet1!E275</f>
        <v>0</v>
      </c>
      <c r="C338" s="24">
        <f t="shared" si="53"/>
        <v>1.01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t="s">
        <v>3122</v>
      </c>
      <c r="Q338" s="24">
        <f t="shared" si="60"/>
        <v>1</v>
      </c>
      <c r="R338" s="715">
        <f t="shared" ca="1" si="61"/>
        <v>30763</v>
      </c>
      <c r="S338" s="361">
        <f t="shared" ca="1" si="63"/>
        <v>0</v>
      </c>
    </row>
    <row r="339" spans="1:19">
      <c r="A339" s="2997">
        <f>Sheet1!C276</f>
        <v>0</v>
      </c>
      <c r="B339" s="717">
        <f>Sheet1!E276</f>
        <v>0</v>
      </c>
      <c r="C339" s="24">
        <f t="shared" si="53"/>
        <v>1.01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t="s">
        <v>3122</v>
      </c>
      <c r="Q339" s="24">
        <f t="shared" si="60"/>
        <v>1</v>
      </c>
      <c r="R339" s="715">
        <f t="shared" ca="1" si="61"/>
        <v>30763</v>
      </c>
      <c r="S339" s="361">
        <f t="shared" ca="1" si="63"/>
        <v>0</v>
      </c>
    </row>
    <row r="340" spans="1:19">
      <c r="A340" s="2997">
        <f>Sheet1!C277</f>
        <v>0</v>
      </c>
      <c r="B340" s="717">
        <f>Sheet1!E277</f>
        <v>0</v>
      </c>
      <c r="C340" s="24">
        <f t="shared" si="53"/>
        <v>1.01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t="s">
        <v>3122</v>
      </c>
      <c r="Q340" s="24">
        <f t="shared" si="60"/>
        <v>1</v>
      </c>
      <c r="R340" s="715">
        <f t="shared" ca="1" si="61"/>
        <v>30763</v>
      </c>
      <c r="S340" s="361">
        <f t="shared" ca="1" si="63"/>
        <v>0</v>
      </c>
    </row>
    <row r="341" spans="1:19">
      <c r="A341" s="2997">
        <f>Sheet1!C278</f>
        <v>0</v>
      </c>
      <c r="B341" s="717">
        <f>Sheet1!E278</f>
        <v>0</v>
      </c>
      <c r="C341" s="24">
        <f t="shared" si="53"/>
        <v>1.01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t="s">
        <v>3122</v>
      </c>
      <c r="Q341" s="24">
        <f t="shared" si="60"/>
        <v>1</v>
      </c>
      <c r="R341" s="715">
        <f t="shared" ca="1" si="61"/>
        <v>30763</v>
      </c>
      <c r="S341" s="361">
        <f t="shared" ca="1" si="63"/>
        <v>0</v>
      </c>
    </row>
    <row r="342" spans="1:19">
      <c r="A342" s="2997">
        <f>Sheet1!C279</f>
        <v>0</v>
      </c>
      <c r="B342" s="717">
        <f>Sheet1!E279</f>
        <v>0</v>
      </c>
      <c r="C342" s="24">
        <f t="shared" si="53"/>
        <v>1.01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t="s">
        <v>3122</v>
      </c>
      <c r="Q342" s="24">
        <f t="shared" si="60"/>
        <v>1</v>
      </c>
      <c r="R342" s="715">
        <f t="shared" ca="1" si="61"/>
        <v>30763</v>
      </c>
      <c r="S342" s="361">
        <f t="shared" ca="1" si="63"/>
        <v>0</v>
      </c>
    </row>
    <row r="343" spans="1:19">
      <c r="A343" s="2997">
        <f>Sheet1!C280</f>
        <v>0</v>
      </c>
      <c r="B343" s="717">
        <f>Sheet1!E280</f>
        <v>0</v>
      </c>
      <c r="C343" s="24">
        <f t="shared" si="53"/>
        <v>1.01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t="s">
        <v>3122</v>
      </c>
      <c r="Q343" s="24">
        <f t="shared" si="60"/>
        <v>1</v>
      </c>
      <c r="R343" s="715">
        <f t="shared" ca="1" si="61"/>
        <v>30763</v>
      </c>
      <c r="S343" s="361">
        <f t="shared" ca="1" si="63"/>
        <v>0</v>
      </c>
    </row>
    <row r="344" spans="1:19">
      <c r="A344" s="2997">
        <f>Sheet1!C281</f>
        <v>0</v>
      </c>
      <c r="B344" s="717">
        <f>Sheet1!E281</f>
        <v>0</v>
      </c>
      <c r="C344" s="24">
        <f t="shared" si="53"/>
        <v>1.01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t="s">
        <v>3122</v>
      </c>
      <c r="Q344" s="24">
        <f t="shared" si="60"/>
        <v>1</v>
      </c>
      <c r="R344" s="715">
        <f t="shared" ca="1" si="61"/>
        <v>30763</v>
      </c>
      <c r="S344" s="361">
        <f t="shared" ca="1" si="63"/>
        <v>0</v>
      </c>
    </row>
    <row r="345" spans="1:19">
      <c r="A345" s="2997">
        <f>Sheet1!C282</f>
        <v>0</v>
      </c>
      <c r="B345" s="717">
        <f>Sheet1!E282</f>
        <v>0</v>
      </c>
      <c r="C345" s="24">
        <f t="shared" si="53"/>
        <v>1.01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t="s">
        <v>3122</v>
      </c>
      <c r="Q345" s="24">
        <f t="shared" si="60"/>
        <v>1</v>
      </c>
      <c r="R345" s="715">
        <f t="shared" ca="1" si="61"/>
        <v>30763</v>
      </c>
      <c r="S345" s="361">
        <f t="shared" ca="1" si="63"/>
        <v>0</v>
      </c>
    </row>
    <row r="346" spans="1:19">
      <c r="A346" s="2997">
        <f>Sheet1!C283</f>
        <v>0</v>
      </c>
      <c r="B346" s="717">
        <f>Sheet1!E283</f>
        <v>0</v>
      </c>
      <c r="C346" s="24">
        <f t="shared" ref="C346:C409" si="64">IF(B346="",1,(LOOKUP(B346,$3:$3,$4:$4)-LOOKUP($B$24,$3:$3,$4:$4)+100)/100)</f>
        <v>1.01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t="s">
        <v>3122</v>
      </c>
      <c r="Q346" s="24">
        <f t="shared" ref="Q346:Q409" si="71">(SUMIF($17:$17,P346,$18:$18)-SUMIF($17:$17,$P$24,$18:$18)+100)/100</f>
        <v>1</v>
      </c>
      <c r="R346" s="715">
        <f t="shared" ref="R346:R409" ca="1" si="72">IF(B346="",0,ROUND($R$24*C346*E346*G346*I346*K346*M346*O346*Q346,0))</f>
        <v>30763</v>
      </c>
      <c r="S346" s="361">
        <f t="shared" ca="1" si="63"/>
        <v>0</v>
      </c>
    </row>
    <row r="347" spans="1:19">
      <c r="A347" s="2997">
        <f>Sheet1!C284</f>
        <v>0</v>
      </c>
      <c r="B347" s="717">
        <f>Sheet1!E284</f>
        <v>0</v>
      </c>
      <c r="C347" s="24">
        <f t="shared" si="64"/>
        <v>1.01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t="s">
        <v>3122</v>
      </c>
      <c r="Q347" s="24">
        <f t="shared" si="71"/>
        <v>1</v>
      </c>
      <c r="R347" s="715">
        <f t="shared" ca="1" si="72"/>
        <v>30763</v>
      </c>
      <c r="S347" s="361">
        <f t="shared" ca="1" si="63"/>
        <v>0</v>
      </c>
    </row>
    <row r="348" spans="1:19">
      <c r="A348" s="2997">
        <f>Sheet1!C285</f>
        <v>0</v>
      </c>
      <c r="B348" s="717">
        <f>Sheet1!E285</f>
        <v>0</v>
      </c>
      <c r="C348" s="24">
        <f t="shared" si="64"/>
        <v>1.01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t="s">
        <v>3122</v>
      </c>
      <c r="Q348" s="24">
        <f t="shared" si="71"/>
        <v>1</v>
      </c>
      <c r="R348" s="715">
        <f t="shared" ca="1" si="72"/>
        <v>30763</v>
      </c>
      <c r="S348" s="361">
        <f t="shared" ca="1" si="63"/>
        <v>0</v>
      </c>
    </row>
    <row r="349" spans="1:19">
      <c r="A349" s="2997">
        <f>Sheet1!C286</f>
        <v>0</v>
      </c>
      <c r="B349" s="717">
        <f>Sheet1!E286</f>
        <v>0</v>
      </c>
      <c r="C349" s="24">
        <f t="shared" si="64"/>
        <v>1.01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t="s">
        <v>3122</v>
      </c>
      <c r="Q349" s="24">
        <f t="shared" si="71"/>
        <v>1</v>
      </c>
      <c r="R349" s="715">
        <f t="shared" ca="1" si="72"/>
        <v>30763</v>
      </c>
      <c r="S349" s="361">
        <f t="shared" ca="1" si="63"/>
        <v>0</v>
      </c>
    </row>
    <row r="350" spans="1:19">
      <c r="A350" s="2997">
        <f>Sheet1!C287</f>
        <v>0</v>
      </c>
      <c r="B350" s="717">
        <f>Sheet1!E287</f>
        <v>0</v>
      </c>
      <c r="C350" s="24">
        <f t="shared" si="64"/>
        <v>1.01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t="s">
        <v>3122</v>
      </c>
      <c r="Q350" s="24">
        <f t="shared" si="71"/>
        <v>1</v>
      </c>
      <c r="R350" s="715">
        <f t="shared" ca="1" si="72"/>
        <v>30763</v>
      </c>
      <c r="S350" s="361">
        <f t="shared" ca="1" si="63"/>
        <v>0</v>
      </c>
    </row>
    <row r="351" spans="1:19">
      <c r="A351" s="2997">
        <f>Sheet1!C288</f>
        <v>0</v>
      </c>
      <c r="B351" s="717">
        <f>Sheet1!E288</f>
        <v>0</v>
      </c>
      <c r="C351" s="24">
        <f t="shared" si="64"/>
        <v>1.01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t="s">
        <v>3122</v>
      </c>
      <c r="Q351" s="24">
        <f t="shared" si="71"/>
        <v>1</v>
      </c>
      <c r="R351" s="715">
        <f t="shared" ca="1" si="72"/>
        <v>30763</v>
      </c>
      <c r="S351" s="361">
        <f t="shared" ca="1" si="63"/>
        <v>0</v>
      </c>
    </row>
    <row r="352" spans="1:19">
      <c r="A352" s="2997">
        <f>Sheet1!C289</f>
        <v>0</v>
      </c>
      <c r="B352" s="717">
        <f>Sheet1!E289</f>
        <v>0</v>
      </c>
      <c r="C352" s="24">
        <f t="shared" si="64"/>
        <v>1.01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t="s">
        <v>3187</v>
      </c>
      <c r="Q352" s="24">
        <f t="shared" si="71"/>
        <v>0.85</v>
      </c>
      <c r="R352" s="715">
        <f t="shared" ca="1" si="72"/>
        <v>26148</v>
      </c>
      <c r="S352" s="361">
        <f t="shared" ca="1" si="63"/>
        <v>0</v>
      </c>
    </row>
    <row r="353" spans="1:19">
      <c r="A353" s="2997">
        <f>Sheet1!C290</f>
        <v>0</v>
      </c>
      <c r="B353" s="717">
        <f>Sheet1!E290</f>
        <v>0</v>
      </c>
      <c r="C353" s="24">
        <f t="shared" si="64"/>
        <v>1.01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t="s">
        <v>3187</v>
      </c>
      <c r="Q353" s="24">
        <f t="shared" si="71"/>
        <v>0.85</v>
      </c>
      <c r="R353" s="715">
        <f t="shared" ca="1" si="72"/>
        <v>26148</v>
      </c>
      <c r="S353" s="361">
        <f t="shared" ca="1" si="63"/>
        <v>0</v>
      </c>
    </row>
    <row r="354" spans="1:19">
      <c r="A354" s="2997">
        <f>Sheet1!C291</f>
        <v>0</v>
      </c>
      <c r="B354" s="717">
        <f>Sheet1!E291</f>
        <v>0</v>
      </c>
      <c r="C354" s="24">
        <f t="shared" si="64"/>
        <v>1.01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t="s">
        <v>3187</v>
      </c>
      <c r="Q354" s="24">
        <f t="shared" si="71"/>
        <v>0.85</v>
      </c>
      <c r="R354" s="715">
        <f t="shared" ca="1" si="72"/>
        <v>26148</v>
      </c>
      <c r="S354" s="361">
        <f t="shared" ca="1" si="63"/>
        <v>0</v>
      </c>
    </row>
    <row r="355" spans="1:19">
      <c r="A355" s="2997">
        <f>Sheet1!C292</f>
        <v>0</v>
      </c>
      <c r="B355" s="717">
        <f>Sheet1!E292</f>
        <v>0</v>
      </c>
      <c r="C355" s="24">
        <f t="shared" si="64"/>
        <v>1.01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t="s">
        <v>3187</v>
      </c>
      <c r="Q355" s="24">
        <f t="shared" si="71"/>
        <v>0.85</v>
      </c>
      <c r="R355" s="715">
        <f t="shared" ca="1" si="72"/>
        <v>26148</v>
      </c>
      <c r="S355" s="361">
        <f t="shared" ca="1" si="63"/>
        <v>0</v>
      </c>
    </row>
    <row r="356" spans="1:19">
      <c r="A356" s="2997">
        <f>Sheet1!C293</f>
        <v>0</v>
      </c>
      <c r="B356" s="717">
        <f>Sheet1!E293</f>
        <v>0</v>
      </c>
      <c r="C356" s="24">
        <f t="shared" si="64"/>
        <v>1.01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t="s">
        <v>3122</v>
      </c>
      <c r="Q356" s="24">
        <f t="shared" si="71"/>
        <v>1</v>
      </c>
      <c r="R356" s="715">
        <f t="shared" ca="1" si="72"/>
        <v>30763</v>
      </c>
      <c r="S356" s="361">
        <f t="shared" ca="1" si="63"/>
        <v>0</v>
      </c>
    </row>
    <row r="357" spans="1:19">
      <c r="A357" s="2997">
        <f>Sheet1!C294</f>
        <v>0</v>
      </c>
      <c r="B357" s="717">
        <f>Sheet1!E294</f>
        <v>0</v>
      </c>
      <c r="C357" s="24">
        <f t="shared" si="64"/>
        <v>1.01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t="s">
        <v>3122</v>
      </c>
      <c r="Q357" s="24">
        <f t="shared" si="71"/>
        <v>1</v>
      </c>
      <c r="R357" s="715">
        <f t="shared" ca="1" si="72"/>
        <v>30763</v>
      </c>
      <c r="S357" s="361">
        <f t="shared" ca="1" si="63"/>
        <v>0</v>
      </c>
    </row>
    <row r="358" spans="1:19">
      <c r="A358" s="2997">
        <f>Sheet1!C295</f>
        <v>0</v>
      </c>
      <c r="B358" s="717">
        <f>Sheet1!E295</f>
        <v>0</v>
      </c>
      <c r="C358" s="24">
        <f t="shared" si="64"/>
        <v>1.01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t="s">
        <v>3122</v>
      </c>
      <c r="Q358" s="24">
        <f t="shared" si="71"/>
        <v>1</v>
      </c>
      <c r="R358" s="715">
        <f t="shared" ca="1" si="72"/>
        <v>30763</v>
      </c>
      <c r="S358" s="361">
        <f t="shared" ca="1" si="63"/>
        <v>0</v>
      </c>
    </row>
    <row r="359" spans="1:19">
      <c r="A359" s="2997">
        <f>Sheet1!C296</f>
        <v>0</v>
      </c>
      <c r="B359" s="717">
        <f>Sheet1!E296</f>
        <v>0</v>
      </c>
      <c r="C359" s="24">
        <f t="shared" si="64"/>
        <v>1.01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t="s">
        <v>3122</v>
      </c>
      <c r="Q359" s="24">
        <f t="shared" si="71"/>
        <v>1</v>
      </c>
      <c r="R359" s="715">
        <f t="shared" ca="1" si="72"/>
        <v>30763</v>
      </c>
      <c r="S359" s="361">
        <f t="shared" ca="1" si="63"/>
        <v>0</v>
      </c>
    </row>
    <row r="360" spans="1:19">
      <c r="A360" s="2997">
        <f>Sheet1!C297</f>
        <v>0</v>
      </c>
      <c r="B360" s="717">
        <f>Sheet1!E297</f>
        <v>0</v>
      </c>
      <c r="C360" s="24">
        <f t="shared" si="64"/>
        <v>1.01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t="s">
        <v>3122</v>
      </c>
      <c r="Q360" s="24">
        <f t="shared" si="71"/>
        <v>1</v>
      </c>
      <c r="R360" s="715">
        <f t="shared" ca="1" si="72"/>
        <v>30763</v>
      </c>
      <c r="S360" s="361">
        <f t="shared" ca="1" si="63"/>
        <v>0</v>
      </c>
    </row>
    <row r="361" spans="1:19">
      <c r="A361" s="2997">
        <f>Sheet1!C298</f>
        <v>0</v>
      </c>
      <c r="B361" s="717">
        <f>Sheet1!E298</f>
        <v>0</v>
      </c>
      <c r="C361" s="24">
        <f t="shared" si="64"/>
        <v>1.01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t="s">
        <v>3122</v>
      </c>
      <c r="Q361" s="24">
        <f t="shared" si="71"/>
        <v>1</v>
      </c>
      <c r="R361" s="715">
        <f t="shared" ca="1" si="72"/>
        <v>30763</v>
      </c>
      <c r="S361" s="361">
        <f t="shared" ca="1" si="63"/>
        <v>0</v>
      </c>
    </row>
    <row r="362" spans="1:19">
      <c r="A362" s="2997">
        <f>Sheet1!C299</f>
        <v>0</v>
      </c>
      <c r="B362" s="717">
        <f>Sheet1!E299</f>
        <v>0</v>
      </c>
      <c r="C362" s="24">
        <f t="shared" si="64"/>
        <v>1.01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t="s">
        <v>3122</v>
      </c>
      <c r="Q362" s="24">
        <f t="shared" si="71"/>
        <v>1</v>
      </c>
      <c r="R362" s="715">
        <f t="shared" ca="1" si="72"/>
        <v>30763</v>
      </c>
      <c r="S362" s="361">
        <f t="shared" ca="1" si="63"/>
        <v>0</v>
      </c>
    </row>
    <row r="363" spans="1:19">
      <c r="A363" s="2997">
        <f>Sheet1!C300</f>
        <v>0</v>
      </c>
      <c r="B363" s="717">
        <f>Sheet1!E300</f>
        <v>0</v>
      </c>
      <c r="C363" s="24">
        <f t="shared" si="64"/>
        <v>1.01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t="s">
        <v>3122</v>
      </c>
      <c r="Q363" s="24">
        <f t="shared" si="71"/>
        <v>1</v>
      </c>
      <c r="R363" s="715">
        <f t="shared" ca="1" si="72"/>
        <v>30763</v>
      </c>
      <c r="S363" s="361">
        <f t="shared" ca="1" si="63"/>
        <v>0</v>
      </c>
    </row>
    <row r="364" spans="1:19">
      <c r="A364" s="2997">
        <f>Sheet1!C301</f>
        <v>0</v>
      </c>
      <c r="B364" s="717">
        <f>Sheet1!E301</f>
        <v>0</v>
      </c>
      <c r="C364" s="24">
        <f t="shared" si="64"/>
        <v>1.01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t="s">
        <v>3122</v>
      </c>
      <c r="Q364" s="24">
        <f t="shared" si="71"/>
        <v>1</v>
      </c>
      <c r="R364" s="715">
        <f t="shared" ca="1" si="72"/>
        <v>30763</v>
      </c>
      <c r="S364" s="361">
        <f t="shared" ca="1" si="63"/>
        <v>0</v>
      </c>
    </row>
    <row r="365" spans="1:19">
      <c r="A365" s="2997">
        <f>Sheet1!C302</f>
        <v>0</v>
      </c>
      <c r="B365" s="717">
        <f>Sheet1!E302</f>
        <v>0</v>
      </c>
      <c r="C365" s="24">
        <f t="shared" si="64"/>
        <v>1.01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t="s">
        <v>3122</v>
      </c>
      <c r="Q365" s="24">
        <f t="shared" si="71"/>
        <v>1</v>
      </c>
      <c r="R365" s="715">
        <f t="shared" ca="1" si="72"/>
        <v>30763</v>
      </c>
      <c r="S365" s="361">
        <f t="shared" ca="1" si="63"/>
        <v>0</v>
      </c>
    </row>
    <row r="366" spans="1:19">
      <c r="A366" s="2997">
        <f>Sheet1!C303</f>
        <v>0</v>
      </c>
      <c r="B366" s="717">
        <f>Sheet1!E303</f>
        <v>0</v>
      </c>
      <c r="C366" s="24">
        <f t="shared" si="64"/>
        <v>1.01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t="s">
        <v>3187</v>
      </c>
      <c r="Q366" s="24">
        <f t="shared" si="71"/>
        <v>0.85</v>
      </c>
      <c r="R366" s="715">
        <f t="shared" ca="1" si="72"/>
        <v>26148</v>
      </c>
      <c r="S366" s="361">
        <f t="shared" ca="1" si="63"/>
        <v>0</v>
      </c>
    </row>
    <row r="367" spans="1:19">
      <c r="A367" s="2997">
        <f>Sheet1!C304</f>
        <v>0</v>
      </c>
      <c r="B367" s="717">
        <f>Sheet1!E304</f>
        <v>0</v>
      </c>
      <c r="C367" s="24">
        <f t="shared" si="64"/>
        <v>1.01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t="s">
        <v>3187</v>
      </c>
      <c r="Q367" s="24">
        <f t="shared" si="71"/>
        <v>0.85</v>
      </c>
      <c r="R367" s="715">
        <f t="shared" ca="1" si="72"/>
        <v>26148</v>
      </c>
      <c r="S367" s="361">
        <f t="shared" ca="1" si="63"/>
        <v>0</v>
      </c>
    </row>
    <row r="368" spans="1:19">
      <c r="A368" s="2997">
        <f>Sheet1!C305</f>
        <v>0</v>
      </c>
      <c r="B368" s="717">
        <f>Sheet1!E305</f>
        <v>0</v>
      </c>
      <c r="C368" s="24">
        <f t="shared" si="64"/>
        <v>1.01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t="s">
        <v>3187</v>
      </c>
      <c r="Q368" s="24">
        <f t="shared" si="71"/>
        <v>0.85</v>
      </c>
      <c r="R368" s="715">
        <f t="shared" ca="1" si="72"/>
        <v>26148</v>
      </c>
      <c r="S368" s="361">
        <f t="shared" ca="1" si="63"/>
        <v>0</v>
      </c>
    </row>
    <row r="369" spans="1:19">
      <c r="A369" s="2997">
        <f>Sheet1!C306</f>
        <v>0</v>
      </c>
      <c r="B369" s="717">
        <f>Sheet1!E306</f>
        <v>0</v>
      </c>
      <c r="C369" s="24">
        <f t="shared" si="64"/>
        <v>1.01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t="s">
        <v>3187</v>
      </c>
      <c r="Q369" s="24">
        <f t="shared" si="71"/>
        <v>0.85</v>
      </c>
      <c r="R369" s="715">
        <f t="shared" ca="1" si="72"/>
        <v>26148</v>
      </c>
      <c r="S369" s="361">
        <f t="shared" ca="1" si="63"/>
        <v>0</v>
      </c>
    </row>
    <row r="370" spans="1:19">
      <c r="A370" s="2997">
        <f>Sheet1!C307</f>
        <v>0</v>
      </c>
      <c r="B370" s="717">
        <f>Sheet1!E307</f>
        <v>0</v>
      </c>
      <c r="C370" s="24">
        <f t="shared" si="64"/>
        <v>1.01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t="s">
        <v>3122</v>
      </c>
      <c r="Q370" s="24">
        <f t="shared" si="71"/>
        <v>1</v>
      </c>
      <c r="R370" s="715">
        <f t="shared" ca="1" si="72"/>
        <v>30763</v>
      </c>
      <c r="S370" s="361">
        <f t="shared" ca="1" si="63"/>
        <v>0</v>
      </c>
    </row>
    <row r="371" spans="1:19">
      <c r="A371" s="2997">
        <f>Sheet1!C308</f>
        <v>0</v>
      </c>
      <c r="B371" s="717">
        <f>Sheet1!E308</f>
        <v>0</v>
      </c>
      <c r="C371" s="24">
        <f t="shared" si="64"/>
        <v>1.01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t="s">
        <v>3122</v>
      </c>
      <c r="Q371" s="24">
        <f t="shared" si="71"/>
        <v>1</v>
      </c>
      <c r="R371" s="715">
        <f t="shared" ca="1" si="72"/>
        <v>30763</v>
      </c>
      <c r="S371" s="361">
        <f t="shared" ca="1" si="63"/>
        <v>0</v>
      </c>
    </row>
    <row r="372" spans="1:19">
      <c r="A372" s="2997">
        <f>Sheet1!C309</f>
        <v>0</v>
      </c>
      <c r="B372" s="717">
        <f>Sheet1!E309</f>
        <v>0</v>
      </c>
      <c r="C372" s="24">
        <f t="shared" si="64"/>
        <v>1.01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t="s">
        <v>3122</v>
      </c>
      <c r="Q372" s="24">
        <f t="shared" si="71"/>
        <v>1</v>
      </c>
      <c r="R372" s="715">
        <f t="shared" ca="1" si="72"/>
        <v>30763</v>
      </c>
      <c r="S372" s="361">
        <f t="shared" ca="1" si="63"/>
        <v>0</v>
      </c>
    </row>
    <row r="373" spans="1:19">
      <c r="A373" s="2997">
        <f>Sheet1!C310</f>
        <v>0</v>
      </c>
      <c r="B373" s="717">
        <f>Sheet1!E310</f>
        <v>0</v>
      </c>
      <c r="C373" s="24">
        <f t="shared" si="64"/>
        <v>1.01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t="s">
        <v>3122</v>
      </c>
      <c r="Q373" s="24">
        <f t="shared" si="71"/>
        <v>1</v>
      </c>
      <c r="R373" s="715">
        <f t="shared" ca="1" si="72"/>
        <v>30763</v>
      </c>
      <c r="S373" s="361">
        <f t="shared" ca="1" si="63"/>
        <v>0</v>
      </c>
    </row>
    <row r="374" spans="1:19">
      <c r="A374" s="2997">
        <f>Sheet1!C311</f>
        <v>0</v>
      </c>
      <c r="B374" s="717">
        <f>Sheet1!E311</f>
        <v>0</v>
      </c>
      <c r="C374" s="24">
        <f t="shared" si="64"/>
        <v>1.01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t="s">
        <v>3122</v>
      </c>
      <c r="Q374" s="24">
        <f t="shared" si="71"/>
        <v>1</v>
      </c>
      <c r="R374" s="715">
        <f t="shared" ca="1" si="72"/>
        <v>30763</v>
      </c>
      <c r="S374" s="361">
        <f t="shared" ca="1" si="63"/>
        <v>0</v>
      </c>
    </row>
    <row r="375" spans="1:19">
      <c r="A375" s="2997">
        <f>Sheet1!C312</f>
        <v>0</v>
      </c>
      <c r="B375" s="717">
        <f>Sheet1!E312</f>
        <v>0</v>
      </c>
      <c r="C375" s="24">
        <f t="shared" si="64"/>
        <v>1.01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t="s">
        <v>3122</v>
      </c>
      <c r="Q375" s="24">
        <f t="shared" si="71"/>
        <v>1</v>
      </c>
      <c r="R375" s="715">
        <f t="shared" ca="1" si="72"/>
        <v>30763</v>
      </c>
      <c r="S375" s="361">
        <f t="shared" ca="1" si="63"/>
        <v>0</v>
      </c>
    </row>
    <row r="376" spans="1:19">
      <c r="A376" s="2997">
        <f>Sheet1!C313</f>
        <v>0</v>
      </c>
      <c r="B376" s="717">
        <f>Sheet1!E313</f>
        <v>0</v>
      </c>
      <c r="C376" s="24">
        <f t="shared" si="64"/>
        <v>1.01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t="s">
        <v>3122</v>
      </c>
      <c r="Q376" s="24">
        <f t="shared" si="71"/>
        <v>1</v>
      </c>
      <c r="R376" s="715">
        <f t="shared" ca="1" si="72"/>
        <v>30763</v>
      </c>
      <c r="S376" s="361">
        <f t="shared" ca="1" si="63"/>
        <v>0</v>
      </c>
    </row>
    <row r="377" spans="1:19">
      <c r="A377" s="2997">
        <f>Sheet1!C314</f>
        <v>0</v>
      </c>
      <c r="B377" s="717">
        <f>Sheet1!E314</f>
        <v>0</v>
      </c>
      <c r="C377" s="24">
        <f t="shared" si="64"/>
        <v>1.01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t="s">
        <v>3122</v>
      </c>
      <c r="Q377" s="24">
        <f t="shared" si="71"/>
        <v>1</v>
      </c>
      <c r="R377" s="715">
        <f t="shared" ca="1" si="72"/>
        <v>30763</v>
      </c>
      <c r="S377" s="361">
        <f t="shared" ca="1" si="63"/>
        <v>0</v>
      </c>
    </row>
    <row r="378" spans="1:19">
      <c r="A378" s="2997">
        <f>Sheet1!C315</f>
        <v>0</v>
      </c>
      <c r="B378" s="717">
        <f>Sheet1!E315</f>
        <v>0</v>
      </c>
      <c r="C378" s="24">
        <f t="shared" si="64"/>
        <v>1.01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t="s">
        <v>3187</v>
      </c>
      <c r="Q378" s="24">
        <f t="shared" si="71"/>
        <v>0.85</v>
      </c>
      <c r="R378" s="715">
        <f t="shared" ca="1" si="72"/>
        <v>26148</v>
      </c>
      <c r="S378" s="361">
        <f t="shared" ca="1" si="63"/>
        <v>0</v>
      </c>
    </row>
    <row r="379" spans="1:19">
      <c r="A379" s="2997">
        <f>Sheet1!C316</f>
        <v>0</v>
      </c>
      <c r="B379" s="717">
        <f>Sheet1!E316</f>
        <v>0</v>
      </c>
      <c r="C379" s="24">
        <f t="shared" si="64"/>
        <v>1.01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t="s">
        <v>3187</v>
      </c>
      <c r="Q379" s="24">
        <f t="shared" si="71"/>
        <v>0.85</v>
      </c>
      <c r="R379" s="715">
        <f t="shared" ca="1" si="72"/>
        <v>26148</v>
      </c>
      <c r="S379" s="361">
        <f t="shared" ca="1" si="63"/>
        <v>0</v>
      </c>
    </row>
    <row r="380" spans="1:19">
      <c r="A380" s="2997">
        <f>Sheet1!C317</f>
        <v>0</v>
      </c>
      <c r="B380" s="717">
        <f>Sheet1!E317</f>
        <v>0</v>
      </c>
      <c r="C380" s="24">
        <f t="shared" si="64"/>
        <v>1.01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t="s">
        <v>3187</v>
      </c>
      <c r="Q380" s="24">
        <f t="shared" si="71"/>
        <v>0.85</v>
      </c>
      <c r="R380" s="715">
        <f t="shared" ca="1" si="72"/>
        <v>26148</v>
      </c>
      <c r="S380" s="361">
        <f t="shared" ca="1" si="63"/>
        <v>0</v>
      </c>
    </row>
    <row r="381" spans="1:19">
      <c r="A381" s="2997">
        <f>Sheet1!C318</f>
        <v>0</v>
      </c>
      <c r="B381" s="717">
        <f>Sheet1!E318</f>
        <v>0</v>
      </c>
      <c r="C381" s="24">
        <f t="shared" si="64"/>
        <v>1.01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t="s">
        <v>3187</v>
      </c>
      <c r="Q381" s="24">
        <f t="shared" si="71"/>
        <v>0.85</v>
      </c>
      <c r="R381" s="715">
        <f t="shared" ca="1" si="72"/>
        <v>26148</v>
      </c>
      <c r="S381" s="361">
        <f t="shared" ca="1" si="63"/>
        <v>0</v>
      </c>
    </row>
    <row r="382" spans="1:19">
      <c r="A382" s="2997">
        <f>Sheet1!C319</f>
        <v>0</v>
      </c>
      <c r="B382" s="717">
        <f>Sheet1!E319</f>
        <v>0</v>
      </c>
      <c r="C382" s="24">
        <f t="shared" si="64"/>
        <v>1.01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t="s">
        <v>3187</v>
      </c>
      <c r="Q382" s="24">
        <f t="shared" si="71"/>
        <v>0.85</v>
      </c>
      <c r="R382" s="715">
        <f t="shared" ca="1" si="72"/>
        <v>26148</v>
      </c>
      <c r="S382" s="361">
        <f t="shared" ca="1" si="63"/>
        <v>0</v>
      </c>
    </row>
    <row r="383" spans="1:19">
      <c r="A383" s="2997">
        <f>Sheet1!C320</f>
        <v>0</v>
      </c>
      <c r="B383" s="717">
        <f>Sheet1!E320</f>
        <v>0</v>
      </c>
      <c r="C383" s="24">
        <f t="shared" si="64"/>
        <v>1.01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t="s">
        <v>3187</v>
      </c>
      <c r="Q383" s="24">
        <f t="shared" si="71"/>
        <v>0.85</v>
      </c>
      <c r="R383" s="715">
        <f t="shared" ca="1" si="72"/>
        <v>26148</v>
      </c>
      <c r="S383" s="361">
        <f t="shared" ca="1" si="63"/>
        <v>0</v>
      </c>
    </row>
    <row r="384" spans="1:19">
      <c r="A384" s="2997"/>
      <c r="B384" s="717"/>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2997"/>
      <c r="B385" s="717"/>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2997"/>
      <c r="B386" s="717"/>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2997"/>
      <c r="B387" s="717"/>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2997"/>
      <c r="B388" s="717"/>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2997"/>
      <c r="B389" s="717"/>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2997"/>
      <c r="B390" s="717"/>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2997"/>
      <c r="B391" s="717"/>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2997"/>
      <c r="B392" s="717"/>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2997"/>
      <c r="B393" s="717"/>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2997"/>
      <c r="B394" s="717"/>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2997"/>
      <c r="B395" s="717"/>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2997"/>
      <c r="B396" s="717"/>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2997"/>
      <c r="B397" s="717"/>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2997"/>
      <c r="B398" s="717"/>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2997"/>
      <c r="B399" s="717"/>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2997"/>
      <c r="B400" s="717"/>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2997"/>
      <c r="B401" s="717"/>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2997"/>
      <c r="B402" s="717"/>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2997"/>
      <c r="B403" s="717"/>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2997"/>
      <c r="B404" s="717"/>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2997"/>
      <c r="B405" s="717"/>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2997"/>
      <c r="B406" s="717"/>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2997"/>
      <c r="B407" s="717"/>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2997"/>
      <c r="B408" s="717"/>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2997"/>
      <c r="B409" s="717"/>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2997"/>
      <c r="B410" s="717"/>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2997"/>
      <c r="B411" s="717"/>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2997"/>
      <c r="B412" s="717"/>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2997"/>
      <c r="B413" s="717"/>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2997"/>
      <c r="B414" s="717"/>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2997"/>
      <c r="B415" s="717"/>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2997"/>
      <c r="B416" s="717"/>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2997"/>
      <c r="B417" s="717"/>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2997"/>
      <c r="B418" s="717"/>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2997"/>
      <c r="B419" s="717"/>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2997"/>
      <c r="B420" s="717"/>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2997"/>
      <c r="B421" s="717"/>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2997"/>
      <c r="B422" s="717"/>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2997"/>
      <c r="B423" s="717"/>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2997"/>
      <c r="B424" s="717"/>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2997"/>
      <c r="B425" s="717"/>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2997"/>
      <c r="B426" s="717"/>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2997"/>
      <c r="B427" s="717"/>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2997"/>
      <c r="B428" s="717"/>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2997"/>
      <c r="B429" s="717"/>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2997"/>
      <c r="B430" s="717"/>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2997"/>
      <c r="B431" s="717"/>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2997"/>
      <c r="B432" s="717"/>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2997"/>
      <c r="B433" s="717"/>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2997"/>
      <c r="B434" s="717"/>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2997"/>
      <c r="B435" s="717"/>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2997"/>
      <c r="B436" s="717"/>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2997"/>
      <c r="B437" s="717"/>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2997"/>
      <c r="B438" s="717"/>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2997"/>
      <c r="B439" s="717"/>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2997"/>
      <c r="B440" s="717"/>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2997"/>
      <c r="B441" s="717"/>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2997"/>
      <c r="B442" s="717"/>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2997"/>
      <c r="B443" s="717"/>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2997"/>
      <c r="B444" s="717"/>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2997"/>
      <c r="B445" s="717"/>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2997"/>
      <c r="B446" s="717"/>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2997"/>
      <c r="B447" s="717"/>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2997"/>
      <c r="B448" s="717"/>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2997"/>
      <c r="B449" s="717"/>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2997"/>
      <c r="B450" s="717"/>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2997"/>
      <c r="B451" s="717"/>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2997"/>
      <c r="B452" s="717"/>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2997"/>
      <c r="B453" s="717"/>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2997"/>
      <c r="B454" s="717"/>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2997"/>
      <c r="B455" s="717"/>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2997"/>
      <c r="B456" s="717"/>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2997"/>
      <c r="B457" s="717"/>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2997"/>
      <c r="B458" s="717"/>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2997"/>
      <c r="B459" s="717"/>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2997"/>
      <c r="B460" s="717"/>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2997"/>
      <c r="B461" s="717"/>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2997"/>
      <c r="B462" s="717"/>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2997"/>
      <c r="B463" s="717"/>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2997"/>
      <c r="B464" s="717"/>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2997"/>
      <c r="B465" s="717"/>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2997"/>
      <c r="B466" s="717"/>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2997"/>
      <c r="B467" s="717"/>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2997"/>
      <c r="B468" s="717"/>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2997"/>
      <c r="B469" s="717"/>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2997"/>
      <c r="B470" s="717"/>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6"/>
      <c r="C2" s="3046"/>
      <c r="D2" s="3046"/>
      <c r="E2" s="3046"/>
    </row>
    <row r="3" spans="1:5" ht="18">
      <c r="A3" s="3047" t="str">
        <f>IF(项目基本情况!B9="房地产市场价值","估价结果一览表（市场价值不需“结果表-1”）","估价结果一览表")</f>
        <v>估价结果一览表</v>
      </c>
      <c r="B3" s="3047"/>
      <c r="C3" s="3047"/>
      <c r="D3" s="3047"/>
      <c r="E3" s="3047"/>
    </row>
    <row r="4" spans="1:5" ht="19.5" thickBot="1">
      <c r="A4" s="1963"/>
      <c r="B4" s="3045" t="s">
        <v>1629</v>
      </c>
      <c r="C4" s="3045"/>
      <c r="D4" s="3045"/>
      <c r="E4" s="1963"/>
    </row>
    <row r="5" spans="1:5" ht="16.5" thickTop="1">
      <c r="A5" s="1961"/>
      <c r="B5" s="3043" t="s">
        <v>1621</v>
      </c>
      <c r="C5" s="1964" t="s">
        <v>1622</v>
      </c>
      <c r="D5" s="1042">
        <f ca="1">结果表!H101</f>
        <v>424</v>
      </c>
      <c r="E5" s="1961"/>
    </row>
    <row r="6" spans="1:5" ht="15.75">
      <c r="A6" s="1961"/>
      <c r="B6" s="3043"/>
      <c r="C6" s="1964" t="s">
        <v>1623</v>
      </c>
      <c r="D6" s="1042" t="str">
        <f ca="1">NUMBERSTRING(INT(D5*10000),2)&amp;"元整"</f>
        <v>肆佰贰拾肆万元整</v>
      </c>
      <c r="E6" s="1961"/>
    </row>
    <row r="7" spans="1:5" ht="15.75">
      <c r="A7" s="1961"/>
      <c r="B7" s="3048"/>
      <c r="C7" s="1965" t="s">
        <v>1624</v>
      </c>
      <c r="D7" s="1043">
        <f ca="1">结果表!H102</f>
        <v>30471</v>
      </c>
      <c r="E7" s="1961"/>
    </row>
    <row r="8" spans="1:5" ht="15.75">
      <c r="A8" s="1961"/>
      <c r="B8" s="3049" t="str">
        <f>结果表!E103</f>
        <v>2.估价师知悉的法定优先受偿款</v>
      </c>
      <c r="C8" s="1966" t="s">
        <v>1625</v>
      </c>
      <c r="D8" s="1043">
        <f>结果表!H103</f>
        <v>0</v>
      </c>
      <c r="E8" s="1961"/>
    </row>
    <row r="9" spans="1:5" ht="15.75">
      <c r="A9" s="1961"/>
      <c r="B9" s="3051"/>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3042" t="str">
        <f>结果表!E107</f>
        <v>3.房地产抵押价值</v>
      </c>
      <c r="C13" s="1969" t="s">
        <v>1622</v>
      </c>
      <c r="D13" s="1045">
        <f ca="1">结果表!H107</f>
        <v>424</v>
      </c>
      <c r="E13" s="1961"/>
    </row>
    <row r="14" spans="1:5" ht="15.75">
      <c r="A14" s="1961"/>
      <c r="B14" s="3043"/>
      <c r="C14" s="1964" t="s">
        <v>1623</v>
      </c>
      <c r="D14" s="1042" t="str">
        <f ca="1">NUMBERSTRING(INT(D13*10000),2)&amp;"元整"</f>
        <v>肆佰贰拾肆万元整</v>
      </c>
      <c r="E14" s="1961"/>
    </row>
    <row r="15" spans="1:5" ht="15">
      <c r="A15" s="1961"/>
      <c r="B15" s="3048"/>
      <c r="C15" s="1965" t="s">
        <v>1633</v>
      </c>
      <c r="D15" s="1054">
        <f ca="1">结果表!H108</f>
        <v>319</v>
      </c>
      <c r="E15" s="1961"/>
    </row>
    <row r="16" spans="1:5" ht="15">
      <c r="A16" s="1961"/>
      <c r="B16" s="3049" t="str">
        <f>结果表!E109</f>
        <v>——</v>
      </c>
      <c r="C16" s="1969" t="s">
        <v>1634</v>
      </c>
      <c r="D16" s="1970" t="str">
        <f>结果表!H109</f>
        <v>——</v>
      </c>
      <c r="E16" s="1961"/>
    </row>
    <row r="17" spans="1:5" ht="15.75">
      <c r="A17" s="1961"/>
      <c r="B17" s="3050"/>
      <c r="C17" s="1964" t="s">
        <v>1635</v>
      </c>
      <c r="D17" s="1042" t="e">
        <f>NUMBERSTRING(INT(D16*10000),2)&amp;"元整"</f>
        <v>#VALUE!</v>
      </c>
      <c r="E17" s="1961"/>
    </row>
    <row r="18" spans="1:5" ht="15">
      <c r="A18" s="1961"/>
      <c r="B18" s="3051"/>
      <c r="C18" s="1965" t="s">
        <v>1624</v>
      </c>
      <c r="D18" s="1054" t="str">
        <f>结果表!H110</f>
        <v>——</v>
      </c>
      <c r="E18" s="1961"/>
    </row>
    <row r="19" spans="1:5" ht="15.75">
      <c r="A19" s="1961"/>
      <c r="B19" s="3042" t="str">
        <f>结果表!E111</f>
        <v>——</v>
      </c>
      <c r="C19" s="1969" t="s">
        <v>1622</v>
      </c>
      <c r="D19" s="1043" t="str">
        <f>结果表!H111</f>
        <v>——</v>
      </c>
      <c r="E19" s="1961"/>
    </row>
    <row r="20" spans="1:5" ht="15.75">
      <c r="A20" s="1961"/>
      <c r="B20" s="3043"/>
      <c r="C20" s="1964" t="s">
        <v>1635</v>
      </c>
      <c r="D20" s="1042" t="e">
        <f>NUMBERSTRING(INT(D19*10000),2)&amp;"元整"</f>
        <v>#VALUE!</v>
      </c>
      <c r="E20" s="1961"/>
    </row>
    <row r="21" spans="1:5" ht="15.75" thickBot="1">
      <c r="A21" s="1961"/>
      <c r="B21" s="3044"/>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38720</v>
      </c>
      <c r="C2" s="2" t="s">
        <v>133</v>
      </c>
      <c r="D2" s="243"/>
      <c r="E2" s="243"/>
      <c r="F2" s="243"/>
      <c r="G2" s="243"/>
    </row>
    <row r="3" spans="1:7" s="244" customFormat="1" ht="18" customHeight="1" thickBot="1">
      <c r="A3" s="247" t="s">
        <v>85</v>
      </c>
      <c r="B3" s="248">
        <f ca="1">ROUND(B2*10000/'数据-汇总表'!E3,0)</f>
        <v>29098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120</v>
      </c>
      <c r="F9" s="265"/>
      <c r="G9" s="270"/>
    </row>
    <row r="10" spans="1:7" s="258" customFormat="1" ht="13.5" customHeight="1">
      <c r="A10" s="952" t="s">
        <v>801</v>
      </c>
      <c r="B10" s="268" t="s">
        <v>94</v>
      </c>
      <c r="C10" s="269">
        <f>ROUND(D10*E10/10000,0)</f>
        <v>160</v>
      </c>
      <c r="D10" s="1034">
        <f>'数据-汇总表'!E6</f>
        <v>13306.869999999999</v>
      </c>
      <c r="E10" s="269">
        <f>'数据-取费表'!B28</f>
        <v>120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266</v>
      </c>
      <c r="D19" s="1038">
        <f>'数据-汇总表'!E3</f>
        <v>13306.869999999999</v>
      </c>
      <c r="E19" s="255">
        <f>'数据-取费表'!B31</f>
        <v>200</v>
      </c>
      <c r="F19" s="275"/>
      <c r="G19" s="1" t="s">
        <v>1074</v>
      </c>
    </row>
    <row r="20" spans="1:7" s="258" customFormat="1" ht="13.5" customHeight="1">
      <c r="A20" s="950" t="s">
        <v>1057</v>
      </c>
      <c r="B20" s="254" t="s">
        <v>104</v>
      </c>
      <c r="C20" s="276">
        <f>ROUND((C5+C19)*F20,0)</f>
        <v>418</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3149</v>
      </c>
      <c r="D22" s="279">
        <f ca="1">C26</f>
        <v>1.4E-3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3079</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40</v>
      </c>
      <c r="D24" s="282"/>
      <c r="E24" s="282"/>
      <c r="F24" s="283"/>
      <c r="G24" s="284" t="s">
        <v>109</v>
      </c>
    </row>
    <row r="25" spans="1:7" s="258" customFormat="1" ht="24">
      <c r="A25" s="953" t="s">
        <v>793</v>
      </c>
      <c r="B25" s="259" t="s">
        <v>1058</v>
      </c>
      <c r="C25" s="1357">
        <f ca="1">ROUND(IF('数据-取费表'!B22&lt;=1,C20*F22*'数据-取费表'!B23/2,C20*(POWER((1+F22),'数据-取费表'!B23/2)-1)),0)</f>
        <v>30</v>
      </c>
      <c r="D25" s="282"/>
      <c r="E25" s="285"/>
      <c r="F25" s="283"/>
      <c r="G25" s="286" t="s">
        <v>110</v>
      </c>
    </row>
    <row r="26" spans="1:7" s="258" customFormat="1">
      <c r="A26" s="953" t="s">
        <v>795</v>
      </c>
      <c r="B26" s="259" t="s">
        <v>1060</v>
      </c>
      <c r="C26" s="282">
        <f ca="1">ROUND(IF('数据-取费表'!B22&lt;=1,F21*F22*'数据-取费表'!B23/2,F21*(POWER((1+F22),'数据-取费表'!B23/2)-1)),4)</f>
        <v>1.4E-3</v>
      </c>
      <c r="D26" s="282"/>
      <c r="E26" s="285"/>
      <c r="F26" s="283"/>
      <c r="G26" s="287"/>
    </row>
    <row r="27" spans="1:7" s="258" customFormat="1" ht="24.75">
      <c r="A27" s="950" t="s">
        <v>787</v>
      </c>
      <c r="B27" s="288" t="s">
        <v>112</v>
      </c>
      <c r="C27" s="289">
        <f>C28</f>
        <v>5324</v>
      </c>
      <c r="D27" s="279">
        <f>C29</f>
        <v>5.0000000000000001E-3</v>
      </c>
      <c r="E27" s="280" t="s">
        <v>126</v>
      </c>
      <c r="F27" s="290">
        <f>'数据-取费表'!Q16</f>
        <v>0.25</v>
      </c>
      <c r="G27" s="291" t="s">
        <v>1069</v>
      </c>
    </row>
    <row r="28" spans="1:7" s="258" customFormat="1" ht="13.5" customHeight="1">
      <c r="A28" s="953" t="s">
        <v>794</v>
      </c>
      <c r="B28" s="292" t="s">
        <v>1062</v>
      </c>
      <c r="C28" s="293">
        <f>ROUND((C5+C19+C20)*F27*'数据-取费表'!B21/'数据-取费表'!B20,0)</f>
        <v>5324</v>
      </c>
      <c r="D28" s="279"/>
      <c r="E28" s="280"/>
      <c r="F28" s="290"/>
      <c r="G28" s="291"/>
    </row>
    <row r="29" spans="1:7" s="258" customFormat="1" ht="13.5" customHeight="1">
      <c r="A29" s="953" t="s">
        <v>792</v>
      </c>
      <c r="B29" s="292" t="s">
        <v>1063</v>
      </c>
      <c r="C29" s="282">
        <f>ROUND(C21*F27*'数据-取费表'!B21/'数据-取费表'!B20,4)</f>
        <v>5.0000000000000001E-3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32346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4438</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3992</v>
      </c>
      <c r="D34" s="261"/>
      <c r="E34" s="264"/>
      <c r="F34" s="301">
        <f>IF('数据-取费表'!B24=0,1,'数据-取费表'!N16)</f>
        <v>1</v>
      </c>
      <c r="G34" s="263" t="s">
        <v>116</v>
      </c>
    </row>
    <row r="35" spans="1:7" ht="13.5" customHeight="1">
      <c r="A35" s="953" t="s">
        <v>796</v>
      </c>
      <c r="B35" s="259" t="s">
        <v>60</v>
      </c>
      <c r="C35" s="264">
        <f>ROUND(C34*F35,0)</f>
        <v>120</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266</v>
      </c>
      <c r="D37" s="261">
        <f>'数据-汇总表'!E3</f>
        <v>13306.869999999999</v>
      </c>
      <c r="E37" s="293">
        <f>'数据-取费表'!B35</f>
        <v>200</v>
      </c>
      <c r="F37" s="303"/>
      <c r="G37" s="305" t="s">
        <v>119</v>
      </c>
    </row>
    <row r="38" spans="1:7" ht="13.5" customHeight="1">
      <c r="A38" s="953" t="s">
        <v>799</v>
      </c>
      <c r="B38" s="259" t="s">
        <v>63</v>
      </c>
      <c r="C38" s="264">
        <f>ROUND(C34*F38,0)</f>
        <v>60</v>
      </c>
      <c r="D38" s="264"/>
      <c r="E38" s="264"/>
      <c r="F38" s="303">
        <f>'数据-取费表'!B36</f>
        <v>1.4999999999999999E-2</v>
      </c>
      <c r="G38" s="263" t="s">
        <v>117</v>
      </c>
    </row>
    <row r="39" spans="1:7" s="258" customFormat="1" ht="13.5" customHeight="1">
      <c r="A39" s="950" t="s">
        <v>783</v>
      </c>
      <c r="B39" s="254" t="s">
        <v>104</v>
      </c>
      <c r="C39" s="276">
        <f>ROUND(C33*F20,0)</f>
        <v>89</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326</v>
      </c>
      <c r="D41" s="279">
        <f ca="1">C44</f>
        <v>1.4E-3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320</v>
      </c>
      <c r="D42" s="282"/>
      <c r="E42" s="282"/>
      <c r="F42" s="283"/>
      <c r="G42" s="3227" t="s">
        <v>121</v>
      </c>
    </row>
    <row r="43" spans="1:7" ht="13.5" customHeight="1">
      <c r="A43" s="953" t="s">
        <v>792</v>
      </c>
      <c r="B43" s="259" t="s">
        <v>1064</v>
      </c>
      <c r="C43" s="282">
        <f ca="1">ROUND(IF('数据-取费表'!B22&lt;=1,C39*F22*'数据-取费表'!B21/2,C39*(POWER((1+F22),'数据-取费表'!B21/2)-1)),0)</f>
        <v>6</v>
      </c>
      <c r="D43" s="282"/>
      <c r="E43" s="282"/>
      <c r="F43" s="283"/>
      <c r="G43" s="3228"/>
    </row>
    <row r="44" spans="1:7" ht="13.5" customHeight="1">
      <c r="A44" s="953" t="s">
        <v>793</v>
      </c>
      <c r="B44" s="259" t="s">
        <v>1066</v>
      </c>
      <c r="C44" s="282">
        <f ca="1">ROUND(IF('数据-取费表'!B22&lt;=1,C40*F22*'数据-取费表'!B21/2,C40*(POWER((1+F22),'数据-取费表'!B21/2)-1)),4)</f>
        <v>1.4E-3</v>
      </c>
      <c r="D44" s="282"/>
      <c r="E44" s="282"/>
      <c r="F44" s="283"/>
      <c r="G44" s="3229"/>
    </row>
    <row r="45" spans="1:7" s="258" customFormat="1" ht="13.5" customHeight="1">
      <c r="A45" s="950" t="s">
        <v>786</v>
      </c>
      <c r="B45" s="288" t="s">
        <v>112</v>
      </c>
      <c r="C45" s="289">
        <f>C46</f>
        <v>1132</v>
      </c>
      <c r="D45" s="279">
        <f>C47</f>
        <v>5.0000000000000001E-3</v>
      </c>
      <c r="E45" s="280" t="s">
        <v>129</v>
      </c>
      <c r="F45" s="290"/>
      <c r="G45" s="291" t="s">
        <v>1072</v>
      </c>
    </row>
    <row r="46" spans="1:7" s="258" customFormat="1" ht="13.5" customHeight="1">
      <c r="A46" s="953" t="s">
        <v>794</v>
      </c>
      <c r="B46" s="292" t="s">
        <v>1065</v>
      </c>
      <c r="C46" s="293">
        <f>ROUND((C33+C39)*F27,0)</f>
        <v>1132</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6504</v>
      </c>
      <c r="D49" s="276"/>
      <c r="E49" s="276"/>
      <c r="F49" s="308"/>
      <c r="G49" s="278" t="s">
        <v>1073</v>
      </c>
    </row>
    <row r="50" spans="1:7" s="302" customFormat="1" ht="24">
      <c r="A50" s="950" t="s">
        <v>789</v>
      </c>
      <c r="B50" s="254" t="s">
        <v>124</v>
      </c>
      <c r="C50" s="276"/>
      <c r="D50" s="276"/>
      <c r="E50" s="276"/>
      <c r="F50" s="308">
        <f>IF('数据-取费表'!B24=0,'数据-取费表'!N16,1)</f>
        <v>0.98</v>
      </c>
      <c r="G50" s="291" t="s">
        <v>125</v>
      </c>
    </row>
    <row r="51" spans="1:7" ht="16.5" customHeight="1">
      <c r="A51" s="950" t="s">
        <v>790</v>
      </c>
      <c r="B51" s="254" t="s">
        <v>132</v>
      </c>
      <c r="C51" s="276">
        <f ca="1">ROUND(C49*F50,0)</f>
        <v>6374</v>
      </c>
      <c r="D51" s="276"/>
      <c r="E51" s="276"/>
      <c r="F51" s="308"/>
      <c r="G51" s="278" t="s">
        <v>64</v>
      </c>
    </row>
    <row r="52" spans="1:7" s="252" customFormat="1" ht="16.5" thickBot="1">
      <c r="A52" s="309" t="s">
        <v>65</v>
      </c>
      <c r="B52" s="310"/>
      <c r="C52" s="311">
        <f ca="1">C31+C51</f>
        <v>38720</v>
      </c>
      <c r="D52" s="310"/>
      <c r="E52" s="310"/>
      <c r="F52" s="310"/>
      <c r="G52" s="312"/>
    </row>
    <row r="55" spans="1:7" ht="15">
      <c r="B55" s="314" t="s">
        <v>66</v>
      </c>
      <c r="C55" s="315"/>
    </row>
    <row r="56" spans="1:7">
      <c r="B56" s="317" t="s">
        <v>67</v>
      </c>
      <c r="C56" s="318">
        <f ca="1">ROUND(C51/C52,3)</f>
        <v>0.16500000000000001</v>
      </c>
    </row>
    <row r="57" spans="1:7">
      <c r="B57" s="317" t="s">
        <v>68</v>
      </c>
      <c r="C57" s="319">
        <f ca="1">1-C56</f>
        <v>0.83499999999999996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66" t="s">
        <v>156</v>
      </c>
      <c r="B1" s="3366"/>
      <c r="C1" s="3366"/>
      <c r="D1" s="3366"/>
      <c r="E1" s="3366"/>
      <c r="F1" s="336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67" t="s">
        <v>169</v>
      </c>
      <c r="B2" s="3367"/>
      <c r="C2" s="3367"/>
      <c r="D2" s="3367"/>
      <c r="E2" s="3367"/>
      <c r="F2" s="336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6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6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66" t="s">
        <v>871</v>
      </c>
      <c r="B1" s="3366"/>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43209</v>
      </c>
      <c r="D1" s="1702" t="s">
        <v>1301</v>
      </c>
      <c r="E1" s="1697">
        <f>'数据-取费表'!B22</f>
        <v>3</v>
      </c>
      <c r="F1" s="1702" t="s">
        <v>1302</v>
      </c>
      <c r="G1" s="1698">
        <f ca="1">INDIRECT("d"&amp;$K$1)/100</f>
        <v>4.7500000000000001E-2</v>
      </c>
      <c r="H1" s="1702" t="s">
        <v>1332</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J233"/>
  <sheetViews>
    <sheetView tabSelected="1" workbookViewId="0">
      <selection activeCell="A3" sqref="A3:XFD3"/>
    </sheetView>
  </sheetViews>
  <sheetFormatPr defaultRowHeight="13.5"/>
  <cols>
    <col min="1" max="2" width="9" style="2998"/>
    <col min="3" max="3" width="63.625" style="2998" customWidth="1"/>
    <col min="4" max="4" width="39.5" style="2998" customWidth="1"/>
    <col min="5" max="5" width="13.75" style="2998" customWidth="1"/>
    <col min="6" max="6" width="9" style="2998"/>
    <col min="7" max="7" width="12.5" style="2998" customWidth="1"/>
    <col min="8" max="9" width="9" style="2998"/>
    <col min="10" max="10" width="11.625" style="2998" customWidth="1"/>
    <col min="11" max="16384" width="9" style="2998"/>
  </cols>
  <sheetData>
    <row r="1" spans="1:10" ht="22.5">
      <c r="A1" s="3370" t="s">
        <v>3415</v>
      </c>
      <c r="B1" s="3370"/>
      <c r="C1" s="3370"/>
      <c r="D1" s="3370"/>
      <c r="E1" s="3370"/>
      <c r="F1" s="3370"/>
      <c r="G1" s="3370"/>
    </row>
    <row r="2" spans="1:10" s="2994" customFormat="1" ht="14.25">
      <c r="A2" s="2995"/>
      <c r="B2" s="2996" t="s">
        <v>3207</v>
      </c>
      <c r="C2" s="2996" t="s">
        <v>3208</v>
      </c>
      <c r="D2" s="3016" t="s">
        <v>3414</v>
      </c>
      <c r="E2" s="3010" t="s">
        <v>3209</v>
      </c>
      <c r="F2" s="3010" t="s">
        <v>3210</v>
      </c>
      <c r="G2" s="2995" t="s">
        <v>3211</v>
      </c>
      <c r="I2" s="2994" t="s">
        <v>3205</v>
      </c>
      <c r="J2" s="2994" t="s">
        <v>3206</v>
      </c>
    </row>
    <row r="3" spans="1:10" s="2994" customFormat="1" ht="14.25">
      <c r="A3" s="2995"/>
      <c r="B3" s="2995">
        <v>1</v>
      </c>
      <c r="C3" s="3022" t="s">
        <v>3215</v>
      </c>
      <c r="D3" s="3017" t="s">
        <v>3416</v>
      </c>
      <c r="E3" s="3010">
        <v>139.15</v>
      </c>
      <c r="F3" s="3010">
        <v>58.69</v>
      </c>
      <c r="G3" s="2995"/>
    </row>
    <row r="4" spans="1:10" s="3021" customFormat="1">
      <c r="A4" s="3371" t="s">
        <v>3212</v>
      </c>
      <c r="B4" s="3018">
        <v>2</v>
      </c>
      <c r="C4" s="3018" t="s">
        <v>3213</v>
      </c>
      <c r="D4" s="3023" t="s">
        <v>3418</v>
      </c>
      <c r="E4" s="3020">
        <v>3161.6</v>
      </c>
      <c r="F4" s="3020">
        <v>1333.57</v>
      </c>
      <c r="G4" s="3018"/>
      <c r="H4" s="3023" t="s">
        <v>3214</v>
      </c>
      <c r="I4" s="3021">
        <v>286.79000000000002</v>
      </c>
      <c r="J4" s="3021">
        <v>19.510000000000002</v>
      </c>
    </row>
    <row r="5" spans="1:10">
      <c r="A5" s="3371"/>
      <c r="B5" s="2995">
        <v>3</v>
      </c>
      <c r="C5" s="2995" t="s">
        <v>3216</v>
      </c>
      <c r="D5" s="3023" t="s">
        <v>3419</v>
      </c>
      <c r="E5" s="3010">
        <v>177.71</v>
      </c>
      <c r="F5" s="3010">
        <v>74.959999999999994</v>
      </c>
      <c r="G5" s="2995"/>
      <c r="H5" s="3017" t="s">
        <v>3217</v>
      </c>
    </row>
    <row r="6" spans="1:10" s="3021" customFormat="1">
      <c r="A6" s="3371"/>
      <c r="B6" s="3018">
        <v>4</v>
      </c>
      <c r="C6" s="3018" t="s">
        <v>3218</v>
      </c>
      <c r="D6" s="3023" t="s">
        <v>3420</v>
      </c>
      <c r="E6" s="3020">
        <v>169.6</v>
      </c>
      <c r="F6" s="3020">
        <v>71.540000000000006</v>
      </c>
      <c r="G6" s="3018"/>
      <c r="H6" s="3023" t="s">
        <v>3219</v>
      </c>
    </row>
    <row r="7" spans="1:10" s="3021" customFormat="1">
      <c r="A7" s="3371"/>
      <c r="B7" s="3018">
        <v>5</v>
      </c>
      <c r="C7" s="3018" t="s">
        <v>3220</v>
      </c>
      <c r="D7" s="3023" t="s">
        <v>3417</v>
      </c>
      <c r="E7" s="3020">
        <v>180.67</v>
      </c>
      <c r="F7" s="3020">
        <v>76.209999999999994</v>
      </c>
      <c r="G7" s="3018"/>
      <c r="H7" s="3019" t="s">
        <v>3221</v>
      </c>
    </row>
    <row r="8" spans="1:10" s="3021" customFormat="1">
      <c r="A8" s="3371"/>
      <c r="B8" s="3018">
        <v>6</v>
      </c>
      <c r="C8" s="3018" t="s">
        <v>3222</v>
      </c>
      <c r="D8" s="3023" t="s">
        <v>3417</v>
      </c>
      <c r="E8" s="3020">
        <v>279.05</v>
      </c>
      <c r="F8" s="3020">
        <v>117.7</v>
      </c>
      <c r="G8" s="3018"/>
      <c r="H8" s="3019" t="s">
        <v>3223</v>
      </c>
    </row>
    <row r="9" spans="1:10">
      <c r="A9" s="3371"/>
      <c r="B9" s="2995">
        <v>7</v>
      </c>
      <c r="C9" s="2995" t="s">
        <v>3224</v>
      </c>
      <c r="D9" s="3023" t="s">
        <v>3417</v>
      </c>
      <c r="E9" s="3010">
        <v>44.57</v>
      </c>
      <c r="F9" s="3010">
        <v>18.8</v>
      </c>
      <c r="G9" s="2995"/>
      <c r="H9" s="3012" t="s">
        <v>3225</v>
      </c>
    </row>
    <row r="10" spans="1:10">
      <c r="A10" s="3371"/>
      <c r="B10" s="2995">
        <v>8</v>
      </c>
      <c r="C10" s="2995" t="s">
        <v>3226</v>
      </c>
      <c r="D10" s="3023" t="s">
        <v>3417</v>
      </c>
      <c r="E10" s="3010">
        <v>62.19</v>
      </c>
      <c r="F10" s="3010">
        <v>26.23</v>
      </c>
      <c r="G10" s="2995"/>
      <c r="H10" s="3012" t="s">
        <v>3227</v>
      </c>
    </row>
    <row r="11" spans="1:10">
      <c r="A11" s="3371"/>
      <c r="B11" s="2995">
        <v>9</v>
      </c>
      <c r="C11" s="2995" t="s">
        <v>3228</v>
      </c>
      <c r="D11" s="3017" t="s">
        <v>3416</v>
      </c>
      <c r="E11" s="3010">
        <v>50.02</v>
      </c>
      <c r="F11" s="3010">
        <v>21.1</v>
      </c>
      <c r="G11" s="2995"/>
      <c r="H11" s="3012" t="s">
        <v>3229</v>
      </c>
    </row>
    <row r="12" spans="1:10">
      <c r="A12" s="3371"/>
      <c r="B12" s="2995">
        <v>10</v>
      </c>
      <c r="C12" s="2995" t="s">
        <v>3230</v>
      </c>
      <c r="D12" s="3023" t="s">
        <v>3417</v>
      </c>
      <c r="E12" s="3010">
        <v>50.02</v>
      </c>
      <c r="F12" s="3010">
        <v>21.1</v>
      </c>
      <c r="G12" s="2995"/>
      <c r="H12" s="3012" t="s">
        <v>3231</v>
      </c>
    </row>
    <row r="13" spans="1:10">
      <c r="A13" s="3371"/>
      <c r="B13" s="2995">
        <v>11</v>
      </c>
      <c r="C13" s="2995" t="s">
        <v>3232</v>
      </c>
      <c r="D13" s="3023" t="s">
        <v>3417</v>
      </c>
      <c r="E13" s="3010">
        <v>50.02</v>
      </c>
      <c r="F13" s="3010">
        <v>21.1</v>
      </c>
      <c r="G13" s="2995"/>
      <c r="H13" s="3012" t="s">
        <v>3233</v>
      </c>
    </row>
    <row r="14" spans="1:10">
      <c r="A14" s="3371"/>
      <c r="B14" s="2995">
        <v>12</v>
      </c>
      <c r="C14" s="2995" t="s">
        <v>3234</v>
      </c>
      <c r="D14" s="3023" t="s">
        <v>3417</v>
      </c>
      <c r="E14" s="3010">
        <v>50.02</v>
      </c>
      <c r="F14" s="3010">
        <v>21.1</v>
      </c>
      <c r="G14" s="2995"/>
      <c r="H14" s="3012" t="s">
        <v>3235</v>
      </c>
    </row>
    <row r="15" spans="1:10">
      <c r="A15" s="3371"/>
      <c r="B15" s="2995">
        <v>13</v>
      </c>
      <c r="C15" s="2995" t="s">
        <v>3236</v>
      </c>
      <c r="D15" s="3023" t="s">
        <v>3417</v>
      </c>
      <c r="E15" s="3010">
        <v>50.02</v>
      </c>
      <c r="F15" s="3010">
        <v>21.1</v>
      </c>
      <c r="G15" s="2995"/>
      <c r="H15" s="3012" t="s">
        <v>3237</v>
      </c>
    </row>
    <row r="16" spans="1:10">
      <c r="A16" s="3371"/>
      <c r="B16" s="2995">
        <v>14</v>
      </c>
      <c r="C16" s="2995" t="s">
        <v>3238</v>
      </c>
      <c r="D16" s="3023" t="s">
        <v>3417</v>
      </c>
      <c r="E16" s="3010">
        <v>50.02</v>
      </c>
      <c r="F16" s="3010">
        <v>21.1</v>
      </c>
      <c r="G16" s="2995"/>
      <c r="H16" s="3012" t="s">
        <v>3239</v>
      </c>
    </row>
    <row r="17" spans="1:10">
      <c r="A17" s="3371"/>
      <c r="B17" s="2995">
        <v>15</v>
      </c>
      <c r="C17" s="2995" t="s">
        <v>3240</v>
      </c>
      <c r="D17" s="3023" t="s">
        <v>3417</v>
      </c>
      <c r="E17" s="3010">
        <v>31.36</v>
      </c>
      <c r="F17" s="3010">
        <v>13.23</v>
      </c>
      <c r="G17" s="2995"/>
      <c r="H17" s="3012" t="s">
        <v>3241</v>
      </c>
    </row>
    <row r="18" spans="1:10">
      <c r="A18" s="3371"/>
      <c r="B18" s="2995">
        <v>16</v>
      </c>
      <c r="C18" s="2995" t="s">
        <v>3242</v>
      </c>
      <c r="D18" s="3023" t="s">
        <v>3417</v>
      </c>
      <c r="E18" s="3010">
        <v>35.159999999999997</v>
      </c>
      <c r="F18" s="3010">
        <v>14.83</v>
      </c>
      <c r="G18" s="2995"/>
      <c r="H18" s="3012" t="s">
        <v>3243</v>
      </c>
    </row>
    <row r="19" spans="1:10">
      <c r="A19" s="3371"/>
      <c r="B19" s="2995">
        <v>17</v>
      </c>
      <c r="C19" s="2995" t="s">
        <v>3244</v>
      </c>
      <c r="D19" s="3017" t="s">
        <v>3416</v>
      </c>
      <c r="E19" s="3010">
        <v>35.159999999999997</v>
      </c>
      <c r="F19" s="3010">
        <v>14.83</v>
      </c>
      <c r="G19" s="2995"/>
      <c r="H19" s="3012" t="s">
        <v>3245</v>
      </c>
    </row>
    <row r="20" spans="1:10">
      <c r="A20" s="3371"/>
      <c r="B20" s="2995">
        <v>18</v>
      </c>
      <c r="C20" s="2995" t="s">
        <v>3246</v>
      </c>
      <c r="D20" s="3023" t="s">
        <v>3417</v>
      </c>
      <c r="E20" s="3010">
        <v>35.159999999999997</v>
      </c>
      <c r="F20" s="3010">
        <v>14.83</v>
      </c>
      <c r="G20" s="2995"/>
      <c r="H20" s="3012" t="s">
        <v>3247</v>
      </c>
    </row>
    <row r="21" spans="1:10">
      <c r="A21" s="3371"/>
      <c r="B21" s="2995">
        <v>19</v>
      </c>
      <c r="C21" s="2995" t="s">
        <v>3248</v>
      </c>
      <c r="D21" s="3023" t="s">
        <v>3417</v>
      </c>
      <c r="E21" s="3010">
        <v>35.159999999999997</v>
      </c>
      <c r="F21" s="3010">
        <v>14.83</v>
      </c>
      <c r="G21" s="2995"/>
      <c r="H21" s="3012" t="s">
        <v>3249</v>
      </c>
    </row>
    <row r="22" spans="1:10">
      <c r="A22" s="3371"/>
      <c r="B22" s="2995">
        <v>20</v>
      </c>
      <c r="C22" s="2995" t="s">
        <v>3250</v>
      </c>
      <c r="D22" s="3023" t="s">
        <v>3417</v>
      </c>
      <c r="E22" s="3010">
        <v>51.02</v>
      </c>
      <c r="F22" s="3010">
        <v>21.52</v>
      </c>
      <c r="G22" s="2995"/>
      <c r="H22" s="3012" t="s">
        <v>3251</v>
      </c>
    </row>
    <row r="23" spans="1:10">
      <c r="A23" s="3371"/>
      <c r="B23" s="2995">
        <v>21</v>
      </c>
      <c r="C23" s="2995" t="s">
        <v>3252</v>
      </c>
      <c r="D23" s="3023" t="s">
        <v>3417</v>
      </c>
      <c r="E23" s="3010">
        <v>58.3</v>
      </c>
      <c r="F23" s="3010">
        <v>24.59</v>
      </c>
      <c r="G23" s="2995"/>
      <c r="H23" s="3012" t="s">
        <v>3253</v>
      </c>
      <c r="I23" s="2998">
        <v>3161.6</v>
      </c>
      <c r="J23" s="2998">
        <v>1333.57</v>
      </c>
    </row>
    <row r="24" spans="1:10">
      <c r="A24" s="3371"/>
      <c r="B24" s="2995">
        <v>22</v>
      </c>
      <c r="C24" s="2995" t="s">
        <v>3254</v>
      </c>
      <c r="D24" s="3023" t="s">
        <v>3417</v>
      </c>
      <c r="E24" s="3010">
        <v>58.3</v>
      </c>
      <c r="F24" s="3010">
        <v>24.59</v>
      </c>
      <c r="G24" s="2995"/>
      <c r="H24" s="3012" t="s">
        <v>3255</v>
      </c>
    </row>
    <row r="25" spans="1:10">
      <c r="A25" s="3371"/>
      <c r="B25" s="2995">
        <v>23</v>
      </c>
      <c r="C25" s="2995" t="s">
        <v>3256</v>
      </c>
      <c r="D25" s="3023" t="s">
        <v>3417</v>
      </c>
      <c r="E25" s="3010">
        <v>81.72</v>
      </c>
      <c r="F25" s="3010">
        <v>34.47</v>
      </c>
      <c r="G25" s="2995"/>
      <c r="H25" s="3012" t="s">
        <v>3257</v>
      </c>
    </row>
    <row r="26" spans="1:10">
      <c r="A26" s="3371"/>
      <c r="B26" s="2995">
        <v>24</v>
      </c>
      <c r="C26" s="2995" t="s">
        <v>3258</v>
      </c>
      <c r="D26" s="3023" t="s">
        <v>3417</v>
      </c>
      <c r="E26" s="3010">
        <v>505.92</v>
      </c>
      <c r="F26" s="3010">
        <v>213.4</v>
      </c>
      <c r="G26" s="2995"/>
      <c r="H26" s="3012" t="s">
        <v>3259</v>
      </c>
    </row>
    <row r="27" spans="1:10">
      <c r="A27" s="3371"/>
      <c r="B27" s="2995">
        <v>25</v>
      </c>
      <c r="C27" s="2995" t="s">
        <v>3260</v>
      </c>
      <c r="D27" s="3017" t="s">
        <v>3416</v>
      </c>
      <c r="E27" s="3010">
        <v>59.43</v>
      </c>
      <c r="F27" s="3010">
        <v>25.07</v>
      </c>
      <c r="G27" s="2995"/>
      <c r="H27" s="3012" t="s">
        <v>3261</v>
      </c>
    </row>
    <row r="28" spans="1:10">
      <c r="A28" s="3371"/>
      <c r="B28" s="2995">
        <v>26</v>
      </c>
      <c r="C28" s="2995" t="s">
        <v>3262</v>
      </c>
      <c r="D28" s="3023" t="s">
        <v>3417</v>
      </c>
      <c r="E28" s="3010">
        <v>71.22</v>
      </c>
      <c r="F28" s="3010">
        <v>30.04</v>
      </c>
      <c r="G28" s="2995"/>
      <c r="H28" s="3012" t="s">
        <v>3263</v>
      </c>
    </row>
    <row r="29" spans="1:10">
      <c r="A29" s="3371"/>
      <c r="B29" s="2995">
        <v>27</v>
      </c>
      <c r="C29" s="2995" t="s">
        <v>3264</v>
      </c>
      <c r="D29" s="3023" t="s">
        <v>3417</v>
      </c>
      <c r="E29" s="3010">
        <v>75.760000000000005</v>
      </c>
      <c r="F29" s="3010">
        <v>31.96</v>
      </c>
      <c r="G29" s="2995"/>
      <c r="H29" s="3012" t="s">
        <v>3265</v>
      </c>
    </row>
    <row r="30" spans="1:10">
      <c r="A30" s="3371"/>
      <c r="B30" s="2995">
        <v>28</v>
      </c>
      <c r="C30" s="2995" t="s">
        <v>3266</v>
      </c>
      <c r="D30" s="3023" t="s">
        <v>3417</v>
      </c>
      <c r="E30" s="3010">
        <v>89.15</v>
      </c>
      <c r="F30" s="3010">
        <v>37.6</v>
      </c>
      <c r="G30" s="2995"/>
      <c r="H30" s="3012" t="s">
        <v>3267</v>
      </c>
    </row>
    <row r="31" spans="1:10">
      <c r="A31" s="3371"/>
      <c r="B31" s="2995">
        <v>29</v>
      </c>
      <c r="C31" s="2995" t="s">
        <v>3268</v>
      </c>
      <c r="D31" s="3023" t="s">
        <v>3417</v>
      </c>
      <c r="E31" s="3010">
        <v>89.15</v>
      </c>
      <c r="F31" s="3010">
        <v>37.6</v>
      </c>
      <c r="G31" s="2995"/>
      <c r="H31" s="3012" t="s">
        <v>3269</v>
      </c>
    </row>
    <row r="32" spans="1:10">
      <c r="A32" s="3371"/>
      <c r="B32" s="2995">
        <v>30</v>
      </c>
      <c r="C32" s="2995" t="s">
        <v>3270</v>
      </c>
      <c r="D32" s="3023" t="s">
        <v>3417</v>
      </c>
      <c r="E32" s="3010">
        <v>59.43</v>
      </c>
      <c r="F32" s="3010">
        <v>25.07</v>
      </c>
      <c r="G32" s="2995"/>
      <c r="H32" s="3012" t="s">
        <v>3271</v>
      </c>
    </row>
    <row r="33" spans="1:8">
      <c r="A33" s="3371"/>
      <c r="B33" s="2995">
        <v>31</v>
      </c>
      <c r="C33" s="2995" t="s">
        <v>3272</v>
      </c>
      <c r="D33" s="3023" t="s">
        <v>3417</v>
      </c>
      <c r="E33" s="3010">
        <v>59.43</v>
      </c>
      <c r="F33" s="3010">
        <v>25.07</v>
      </c>
      <c r="G33" s="2995"/>
      <c r="H33" s="3012" t="s">
        <v>3273</v>
      </c>
    </row>
    <row r="34" spans="1:8">
      <c r="A34" s="3371"/>
      <c r="B34" s="2995">
        <v>32</v>
      </c>
      <c r="C34" s="2995" t="s">
        <v>3274</v>
      </c>
      <c r="D34" s="3023" t="s">
        <v>3417</v>
      </c>
      <c r="E34" s="3010">
        <v>59.43</v>
      </c>
      <c r="F34" s="3010">
        <v>25.07</v>
      </c>
      <c r="G34" s="2995"/>
      <c r="H34" s="3012" t="s">
        <v>3275</v>
      </c>
    </row>
    <row r="35" spans="1:8">
      <c r="A35" s="3371"/>
      <c r="B35" s="2995">
        <v>33</v>
      </c>
      <c r="C35" s="2995" t="s">
        <v>3276</v>
      </c>
      <c r="D35" s="3017" t="s">
        <v>3416</v>
      </c>
      <c r="E35" s="3010">
        <v>59.43</v>
      </c>
      <c r="F35" s="3010">
        <v>25.07</v>
      </c>
      <c r="G35" s="2995"/>
      <c r="H35" s="3012" t="s">
        <v>3277</v>
      </c>
    </row>
    <row r="36" spans="1:8">
      <c r="A36" s="3371"/>
      <c r="B36" s="2995">
        <v>34</v>
      </c>
      <c r="C36" s="2995" t="s">
        <v>3278</v>
      </c>
      <c r="D36" s="3023" t="s">
        <v>3417</v>
      </c>
      <c r="E36" s="3010">
        <v>59.43</v>
      </c>
      <c r="F36" s="3010">
        <v>25.07</v>
      </c>
      <c r="G36" s="2995"/>
      <c r="H36" s="3012" t="s">
        <v>3279</v>
      </c>
    </row>
    <row r="37" spans="1:8">
      <c r="A37" s="3371"/>
      <c r="B37" s="2995">
        <v>35</v>
      </c>
      <c r="C37" s="2995" t="s">
        <v>3280</v>
      </c>
      <c r="D37" s="3023" t="s">
        <v>3417</v>
      </c>
      <c r="E37" s="3010">
        <v>59.43</v>
      </c>
      <c r="F37" s="3010">
        <v>25.07</v>
      </c>
      <c r="G37" s="2995"/>
      <c r="H37" s="3012" t="s">
        <v>3281</v>
      </c>
    </row>
    <row r="38" spans="1:8">
      <c r="A38" s="3371"/>
      <c r="B38" s="2995">
        <v>36</v>
      </c>
      <c r="C38" s="2995" t="s">
        <v>3282</v>
      </c>
      <c r="D38" s="3023" t="s">
        <v>3417</v>
      </c>
      <c r="E38" s="3010">
        <v>59.43</v>
      </c>
      <c r="F38" s="3010">
        <v>25.07</v>
      </c>
      <c r="G38" s="2995"/>
      <c r="H38" s="3012" t="s">
        <v>3283</v>
      </c>
    </row>
    <row r="39" spans="1:8">
      <c r="A39" s="3371"/>
      <c r="B39" s="2995">
        <v>37</v>
      </c>
      <c r="C39" s="2995" t="s">
        <v>3284</v>
      </c>
      <c r="D39" s="3023" t="s">
        <v>3417</v>
      </c>
      <c r="E39" s="3010">
        <v>59.43</v>
      </c>
      <c r="F39" s="3010">
        <v>25.07</v>
      </c>
      <c r="G39" s="2995"/>
      <c r="H39" s="3012" t="s">
        <v>3285</v>
      </c>
    </row>
    <row r="40" spans="1:8">
      <c r="A40" s="3371"/>
      <c r="B40" s="2995">
        <v>38</v>
      </c>
      <c r="C40" s="2995" t="s">
        <v>3286</v>
      </c>
      <c r="D40" s="3023" t="s">
        <v>3417</v>
      </c>
      <c r="E40" s="3010">
        <v>145.19999999999999</v>
      </c>
      <c r="F40" s="3010">
        <v>61.25</v>
      </c>
      <c r="G40" s="2995"/>
      <c r="H40" s="3012" t="s">
        <v>3287</v>
      </c>
    </row>
    <row r="41" spans="1:8" s="3021" customFormat="1">
      <c r="A41" s="3371"/>
      <c r="B41" s="3018">
        <v>39</v>
      </c>
      <c r="C41" s="3018" t="s">
        <v>3288</v>
      </c>
      <c r="D41" s="3023" t="s">
        <v>3417</v>
      </c>
      <c r="E41" s="3020">
        <v>50.91</v>
      </c>
      <c r="F41" s="3020">
        <v>21.47</v>
      </c>
      <c r="G41" s="3018"/>
      <c r="H41" s="3019" t="s">
        <v>3289</v>
      </c>
    </row>
    <row r="42" spans="1:8" s="3021" customFormat="1">
      <c r="A42" s="3371"/>
      <c r="B42" s="3018">
        <v>40</v>
      </c>
      <c r="C42" s="3018" t="s">
        <v>3290</v>
      </c>
      <c r="D42" s="3023" t="s">
        <v>3417</v>
      </c>
      <c r="E42" s="3020">
        <v>53.7</v>
      </c>
      <c r="F42" s="3020">
        <v>22.65</v>
      </c>
      <c r="G42" s="3018"/>
      <c r="H42" s="3019" t="s">
        <v>3291</v>
      </c>
    </row>
    <row r="43" spans="1:8" s="3021" customFormat="1">
      <c r="A43" s="3371"/>
      <c r="B43" s="3018">
        <v>41</v>
      </c>
      <c r="C43" s="3018" t="s">
        <v>3292</v>
      </c>
      <c r="D43" s="3017" t="s">
        <v>3416</v>
      </c>
      <c r="E43" s="3020">
        <v>56.48</v>
      </c>
      <c r="F43" s="3020">
        <v>23.82</v>
      </c>
      <c r="G43" s="3018"/>
      <c r="H43" s="3019" t="s">
        <v>3293</v>
      </c>
    </row>
    <row r="44" spans="1:8" s="3021" customFormat="1">
      <c r="A44" s="3371"/>
      <c r="B44" s="3018">
        <v>42</v>
      </c>
      <c r="C44" s="3018" t="s">
        <v>3294</v>
      </c>
      <c r="D44" s="3023" t="s">
        <v>3417</v>
      </c>
      <c r="E44" s="3020">
        <v>59.27</v>
      </c>
      <c r="F44" s="3020">
        <v>25</v>
      </c>
      <c r="G44" s="3018"/>
      <c r="H44" s="3019" t="s">
        <v>3295</v>
      </c>
    </row>
    <row r="45" spans="1:8" s="3021" customFormat="1">
      <c r="A45" s="3371"/>
      <c r="B45" s="3018">
        <v>43</v>
      </c>
      <c r="C45" s="3018" t="s">
        <v>3296</v>
      </c>
      <c r="D45" s="3023" t="s">
        <v>3417</v>
      </c>
      <c r="E45" s="3020">
        <v>62.06</v>
      </c>
      <c r="F45" s="3020">
        <v>26.18</v>
      </c>
      <c r="G45" s="3018"/>
      <c r="H45" s="3019" t="s">
        <v>3297</v>
      </c>
    </row>
    <row r="46" spans="1:8" s="3021" customFormat="1">
      <c r="A46" s="3371"/>
      <c r="B46" s="3018">
        <v>44</v>
      </c>
      <c r="C46" s="3018" t="s">
        <v>3298</v>
      </c>
      <c r="D46" s="3023" t="s">
        <v>3417</v>
      </c>
      <c r="E46" s="3020">
        <v>64.84</v>
      </c>
      <c r="F46" s="3020">
        <v>27.35</v>
      </c>
      <c r="G46" s="3018"/>
      <c r="H46" s="3019" t="s">
        <v>3299</v>
      </c>
    </row>
    <row r="47" spans="1:8" s="3021" customFormat="1">
      <c r="A47" s="3371"/>
      <c r="B47" s="3018">
        <v>45</v>
      </c>
      <c r="C47" s="3018" t="s">
        <v>3300</v>
      </c>
      <c r="D47" s="3023" t="s">
        <v>3417</v>
      </c>
      <c r="E47" s="3020">
        <v>138.03</v>
      </c>
      <c r="F47" s="3020">
        <v>58.22</v>
      </c>
      <c r="G47" s="3018"/>
      <c r="H47" s="3019" t="s">
        <v>3301</v>
      </c>
    </row>
    <row r="48" spans="1:8" s="3021" customFormat="1">
      <c r="A48" s="3371"/>
      <c r="B48" s="3018">
        <v>46</v>
      </c>
      <c r="C48" s="3018" t="s">
        <v>3302</v>
      </c>
      <c r="D48" s="3023" t="s">
        <v>3417</v>
      </c>
      <c r="E48" s="3020">
        <v>35.159999999999997</v>
      </c>
      <c r="F48" s="3020">
        <v>14.83</v>
      </c>
      <c r="G48" s="3018"/>
      <c r="H48" s="3019" t="s">
        <v>3303</v>
      </c>
    </row>
    <row r="49" spans="1:8" s="3021" customFormat="1" ht="14.25" customHeight="1">
      <c r="A49" s="3371"/>
      <c r="B49" s="3018">
        <v>47</v>
      </c>
      <c r="C49" s="3018" t="s">
        <v>3304</v>
      </c>
      <c r="D49" s="3023" t="s">
        <v>3417</v>
      </c>
      <c r="E49" s="3020">
        <v>35.159999999999997</v>
      </c>
      <c r="F49" s="3020">
        <v>14.83</v>
      </c>
      <c r="G49" s="3018"/>
      <c r="H49" s="3019" t="s">
        <v>3305</v>
      </c>
    </row>
    <row r="50" spans="1:8" s="3021" customFormat="1">
      <c r="A50" s="3371"/>
      <c r="B50" s="3018">
        <v>48</v>
      </c>
      <c r="C50" s="3018" t="s">
        <v>3306</v>
      </c>
      <c r="D50" s="3023" t="s">
        <v>3417</v>
      </c>
      <c r="E50" s="3020">
        <v>35.159999999999997</v>
      </c>
      <c r="F50" s="3020">
        <v>14.83</v>
      </c>
      <c r="G50" s="3018"/>
      <c r="H50" s="3019" t="s">
        <v>3307</v>
      </c>
    </row>
    <row r="51" spans="1:8" s="3021" customFormat="1">
      <c r="A51" s="3371"/>
      <c r="B51" s="3018">
        <v>49</v>
      </c>
      <c r="C51" s="3018" t="s">
        <v>3308</v>
      </c>
      <c r="D51" s="3017" t="s">
        <v>3416</v>
      </c>
      <c r="E51" s="3020">
        <v>35.159999999999997</v>
      </c>
      <c r="F51" s="3020">
        <v>14.83</v>
      </c>
      <c r="G51" s="3018"/>
      <c r="H51" s="3019" t="s">
        <v>3309</v>
      </c>
    </row>
    <row r="52" spans="1:8" s="3021" customFormat="1">
      <c r="A52" s="3371"/>
      <c r="B52" s="3018">
        <v>50</v>
      </c>
      <c r="C52" s="3018" t="s">
        <v>3310</v>
      </c>
      <c r="D52" s="3023" t="s">
        <v>3417</v>
      </c>
      <c r="E52" s="3020">
        <v>35.159999999999997</v>
      </c>
      <c r="F52" s="3020">
        <v>14.83</v>
      </c>
      <c r="G52" s="3018"/>
      <c r="H52" s="3019" t="s">
        <v>3311</v>
      </c>
    </row>
    <row r="53" spans="1:8" s="3021" customFormat="1">
      <c r="A53" s="3371"/>
      <c r="B53" s="3018">
        <v>51</v>
      </c>
      <c r="C53" s="3018" t="s">
        <v>3312</v>
      </c>
      <c r="D53" s="3023" t="s">
        <v>3417</v>
      </c>
      <c r="E53" s="3020">
        <v>35.159999999999997</v>
      </c>
      <c r="F53" s="3020">
        <v>14.83</v>
      </c>
      <c r="G53" s="3018"/>
      <c r="H53" s="3019" t="s">
        <v>3313</v>
      </c>
    </row>
    <row r="54" spans="1:8" s="3021" customFormat="1">
      <c r="A54" s="3371"/>
      <c r="B54" s="3018">
        <v>52</v>
      </c>
      <c r="C54" s="3018" t="s">
        <v>3314</v>
      </c>
      <c r="D54" s="3023" t="s">
        <v>3417</v>
      </c>
      <c r="E54" s="3020">
        <v>102.52</v>
      </c>
      <c r="F54" s="3020">
        <v>43.24</v>
      </c>
      <c r="G54" s="3018"/>
      <c r="H54" s="3019" t="s">
        <v>3315</v>
      </c>
    </row>
    <row r="55" spans="1:8" s="3021" customFormat="1">
      <c r="A55" s="3371"/>
      <c r="B55" s="3018">
        <v>53</v>
      </c>
      <c r="C55" s="3018" t="s">
        <v>3316</v>
      </c>
      <c r="D55" s="3023" t="s">
        <v>3417</v>
      </c>
      <c r="E55" s="3020">
        <v>33.43</v>
      </c>
      <c r="F55" s="3020">
        <v>14.1</v>
      </c>
      <c r="G55" s="3018"/>
      <c r="H55" s="3019" t="s">
        <v>3317</v>
      </c>
    </row>
    <row r="56" spans="1:8" s="3021" customFormat="1">
      <c r="A56" s="3371"/>
      <c r="B56" s="3018">
        <v>54</v>
      </c>
      <c r="C56" s="3018" t="s">
        <v>3318</v>
      </c>
      <c r="D56" s="3023" t="s">
        <v>3417</v>
      </c>
      <c r="E56" s="3020">
        <v>29.72</v>
      </c>
      <c r="F56" s="3020">
        <v>12.54</v>
      </c>
      <c r="G56" s="3018"/>
      <c r="H56" s="3019" t="s">
        <v>3319</v>
      </c>
    </row>
    <row r="57" spans="1:8" s="3021" customFormat="1">
      <c r="A57" s="3371"/>
      <c r="B57" s="3018">
        <v>55</v>
      </c>
      <c r="C57" s="3018" t="s">
        <v>3320</v>
      </c>
      <c r="D57" s="3023" t="s">
        <v>3417</v>
      </c>
      <c r="E57" s="3020">
        <v>29.72</v>
      </c>
      <c r="F57" s="3020">
        <v>12.54</v>
      </c>
      <c r="G57" s="3018"/>
      <c r="H57" s="3019" t="s">
        <v>3321</v>
      </c>
    </row>
    <row r="58" spans="1:8" s="3021" customFormat="1">
      <c r="A58" s="3371"/>
      <c r="B58" s="3018">
        <v>56</v>
      </c>
      <c r="C58" s="3018" t="s">
        <v>3322</v>
      </c>
      <c r="D58" s="3023" t="s">
        <v>3417</v>
      </c>
      <c r="E58" s="3020">
        <v>29.72</v>
      </c>
      <c r="F58" s="3020">
        <v>12.54</v>
      </c>
      <c r="G58" s="3018"/>
      <c r="H58" s="3019" t="s">
        <v>3323</v>
      </c>
    </row>
    <row r="59" spans="1:8" s="3021" customFormat="1">
      <c r="A59" s="3371"/>
      <c r="B59" s="3018">
        <v>57</v>
      </c>
      <c r="C59" s="3018" t="s">
        <v>3324</v>
      </c>
      <c r="D59" s="3017" t="s">
        <v>3416</v>
      </c>
      <c r="E59" s="3020">
        <v>44.57</v>
      </c>
      <c r="F59" s="3020">
        <v>18.8</v>
      </c>
      <c r="G59" s="3018"/>
      <c r="H59" s="3019" t="s">
        <v>3325</v>
      </c>
    </row>
    <row r="60" spans="1:8" s="3021" customFormat="1">
      <c r="A60" s="3371"/>
      <c r="B60" s="3018">
        <v>58</v>
      </c>
      <c r="C60" s="3018" t="s">
        <v>3326</v>
      </c>
      <c r="D60" s="3023" t="s">
        <v>3417</v>
      </c>
      <c r="E60" s="3020">
        <v>44.57</v>
      </c>
      <c r="F60" s="3020">
        <v>18.8</v>
      </c>
      <c r="G60" s="3018"/>
      <c r="H60" s="3019" t="s">
        <v>3327</v>
      </c>
    </row>
    <row r="61" spans="1:8" s="3021" customFormat="1">
      <c r="A61" s="3371"/>
      <c r="B61" s="3018">
        <v>59</v>
      </c>
      <c r="C61" s="3018" t="s">
        <v>3328</v>
      </c>
      <c r="D61" s="3023" t="s">
        <v>3417</v>
      </c>
      <c r="E61" s="3020">
        <v>44.57</v>
      </c>
      <c r="F61" s="3020">
        <v>18.8</v>
      </c>
      <c r="G61" s="3018"/>
      <c r="H61" s="3019" t="s">
        <v>3329</v>
      </c>
    </row>
    <row r="62" spans="1:8" s="3021" customFormat="1">
      <c r="A62" s="3371"/>
      <c r="B62" s="3018">
        <v>60</v>
      </c>
      <c r="C62" s="3018" t="s">
        <v>3330</v>
      </c>
      <c r="D62" s="3023" t="s">
        <v>3417</v>
      </c>
      <c r="E62" s="3020">
        <v>44.57</v>
      </c>
      <c r="F62" s="3020">
        <v>18.8</v>
      </c>
      <c r="G62" s="3018"/>
      <c r="H62" s="3019" t="s">
        <v>3331</v>
      </c>
    </row>
    <row r="63" spans="1:8">
      <c r="A63" s="3371"/>
      <c r="B63" s="2995">
        <v>61</v>
      </c>
      <c r="C63" s="2995" t="s">
        <v>3332</v>
      </c>
      <c r="D63" s="3023" t="s">
        <v>3417</v>
      </c>
      <c r="E63" s="3010">
        <v>44.57</v>
      </c>
      <c r="F63" s="3010">
        <v>18.8</v>
      </c>
      <c r="G63" s="2995"/>
      <c r="H63" s="3012" t="s">
        <v>3333</v>
      </c>
    </row>
    <row r="64" spans="1:8">
      <c r="A64" s="3371"/>
      <c r="B64" s="2995">
        <v>62</v>
      </c>
      <c r="C64" s="2995" t="s">
        <v>3334</v>
      </c>
      <c r="D64" s="3023" t="s">
        <v>3417</v>
      </c>
      <c r="E64" s="3010">
        <v>44.57</v>
      </c>
      <c r="F64" s="3010">
        <v>18.8</v>
      </c>
      <c r="G64" s="2995"/>
      <c r="H64" s="3012" t="s">
        <v>3335</v>
      </c>
    </row>
    <row r="65" spans="1:8">
      <c r="A65" s="3371"/>
      <c r="B65" s="2995">
        <v>63</v>
      </c>
      <c r="C65" s="2995" t="s">
        <v>3336</v>
      </c>
      <c r="D65" s="3023" t="s">
        <v>3417</v>
      </c>
      <c r="E65" s="3010">
        <v>29.72</v>
      </c>
      <c r="F65" s="3010">
        <v>12.54</v>
      </c>
      <c r="G65" s="2995"/>
      <c r="H65" s="3012" t="s">
        <v>3337</v>
      </c>
    </row>
    <row r="66" spans="1:8">
      <c r="A66" s="3371"/>
      <c r="B66" s="2995">
        <v>64</v>
      </c>
      <c r="C66" s="2995" t="s">
        <v>3338</v>
      </c>
      <c r="D66" s="3023" t="s">
        <v>3417</v>
      </c>
      <c r="E66" s="3010">
        <v>29.72</v>
      </c>
      <c r="F66" s="3010">
        <v>12.54</v>
      </c>
      <c r="G66" s="2995"/>
      <c r="H66" s="3012" t="s">
        <v>3339</v>
      </c>
    </row>
    <row r="67" spans="1:8">
      <c r="A67" s="3371"/>
      <c r="B67" s="2995">
        <v>65</v>
      </c>
      <c r="C67" s="2995" t="s">
        <v>3340</v>
      </c>
      <c r="D67" s="3017" t="s">
        <v>3416</v>
      </c>
      <c r="E67" s="3010">
        <v>66.86</v>
      </c>
      <c r="F67" s="3010">
        <v>28.2</v>
      </c>
      <c r="G67" s="2995"/>
      <c r="H67" s="3012" t="s">
        <v>3341</v>
      </c>
    </row>
    <row r="68" spans="1:8">
      <c r="A68" s="3371"/>
      <c r="B68" s="2995">
        <v>66</v>
      </c>
      <c r="C68" s="2995" t="s">
        <v>3342</v>
      </c>
      <c r="D68" s="3023" t="s">
        <v>3417</v>
      </c>
      <c r="E68" s="3010">
        <v>66.86</v>
      </c>
      <c r="F68" s="3010">
        <v>28.2</v>
      </c>
      <c r="G68" s="2995"/>
      <c r="H68" s="3012" t="s">
        <v>3343</v>
      </c>
    </row>
    <row r="69" spans="1:8">
      <c r="A69" s="3371"/>
      <c r="B69" s="2995">
        <v>67</v>
      </c>
      <c r="C69" s="2995" t="s">
        <v>3344</v>
      </c>
      <c r="D69" s="3023" t="s">
        <v>3417</v>
      </c>
      <c r="E69" s="3010">
        <v>54.78</v>
      </c>
      <c r="F69" s="3010">
        <v>23.11</v>
      </c>
      <c r="G69" s="2995"/>
      <c r="H69" s="3012" t="s">
        <v>3345</v>
      </c>
    </row>
    <row r="70" spans="1:8">
      <c r="A70" s="3371"/>
      <c r="B70" s="2995">
        <v>68</v>
      </c>
      <c r="C70" s="2995" t="s">
        <v>3346</v>
      </c>
      <c r="D70" s="3023" t="s">
        <v>3417</v>
      </c>
      <c r="E70" s="3010">
        <v>51.36</v>
      </c>
      <c r="F70" s="3010">
        <v>21.66</v>
      </c>
      <c r="G70" s="2995"/>
      <c r="H70" s="3012" t="s">
        <v>3347</v>
      </c>
    </row>
    <row r="71" spans="1:8">
      <c r="A71" s="3371"/>
      <c r="B71" s="2995">
        <v>69</v>
      </c>
      <c r="C71" s="2995" t="s">
        <v>3348</v>
      </c>
      <c r="D71" s="3023" t="s">
        <v>3417</v>
      </c>
      <c r="E71" s="3010">
        <v>44.57</v>
      </c>
      <c r="F71" s="3010">
        <v>18.8</v>
      </c>
      <c r="G71" s="2995"/>
      <c r="H71" s="3012" t="s">
        <v>3349</v>
      </c>
    </row>
    <row r="72" spans="1:8" s="3021" customFormat="1">
      <c r="A72" s="3371"/>
      <c r="B72" s="3018">
        <v>70</v>
      </c>
      <c r="C72" s="3018" t="s">
        <v>3350</v>
      </c>
      <c r="D72" s="3023" t="s">
        <v>3417</v>
      </c>
      <c r="E72" s="3020">
        <v>452.91</v>
      </c>
      <c r="F72" s="3020">
        <v>191.04</v>
      </c>
      <c r="G72" s="3018"/>
      <c r="H72" s="3019" t="s">
        <v>3351</v>
      </c>
    </row>
    <row r="73" spans="1:8" s="3021" customFormat="1">
      <c r="A73" s="3371"/>
      <c r="B73" s="3018">
        <v>71</v>
      </c>
      <c r="C73" s="3018" t="s">
        <v>3352</v>
      </c>
      <c r="D73" s="3023" t="s">
        <v>3417</v>
      </c>
      <c r="E73" s="3020">
        <v>166.29</v>
      </c>
      <c r="F73" s="3020">
        <v>70.14</v>
      </c>
      <c r="G73" s="3018"/>
      <c r="H73" s="3019" t="s">
        <v>3353</v>
      </c>
    </row>
    <row r="74" spans="1:8" s="3021" customFormat="1">
      <c r="A74" s="3371"/>
      <c r="B74" s="3018">
        <v>72</v>
      </c>
      <c r="C74" s="3018" t="s">
        <v>3354</v>
      </c>
      <c r="D74" s="3023" t="s">
        <v>3417</v>
      </c>
      <c r="E74" s="3020">
        <v>175.09</v>
      </c>
      <c r="F74" s="3020">
        <v>73.849999999999994</v>
      </c>
      <c r="G74" s="3018"/>
      <c r="H74" s="3019" t="s">
        <v>3355</v>
      </c>
    </row>
    <row r="75" spans="1:8" s="3021" customFormat="1">
      <c r="A75" s="3371"/>
      <c r="B75" s="3018">
        <v>73</v>
      </c>
      <c r="C75" s="3018" t="s">
        <v>3356</v>
      </c>
      <c r="D75" s="3017" t="s">
        <v>3416</v>
      </c>
      <c r="E75" s="3020">
        <v>176.31</v>
      </c>
      <c r="F75" s="3020">
        <v>74.37</v>
      </c>
      <c r="G75" s="3018"/>
      <c r="H75" s="3019" t="s">
        <v>3357</v>
      </c>
    </row>
    <row r="76" spans="1:8" s="3021" customFormat="1">
      <c r="A76" s="3371"/>
      <c r="B76" s="3018">
        <v>74</v>
      </c>
      <c r="C76" s="3018" t="s">
        <v>3358</v>
      </c>
      <c r="D76" s="3023" t="s">
        <v>3417</v>
      </c>
      <c r="E76" s="3020">
        <v>175.09</v>
      </c>
      <c r="F76" s="3020">
        <v>73.849999999999994</v>
      </c>
      <c r="G76" s="3018"/>
      <c r="H76" s="3019" t="s">
        <v>3359</v>
      </c>
    </row>
    <row r="77" spans="1:8" s="3021" customFormat="1">
      <c r="A77" s="3371"/>
      <c r="B77" s="3018">
        <v>75</v>
      </c>
      <c r="C77" s="3018" t="s">
        <v>3360</v>
      </c>
      <c r="D77" s="3023" t="s">
        <v>3417</v>
      </c>
      <c r="E77" s="3020">
        <v>142.41999999999999</v>
      </c>
      <c r="F77" s="3020">
        <v>60.07</v>
      </c>
      <c r="G77" s="3018"/>
      <c r="H77" s="3019" t="s">
        <v>3361</v>
      </c>
    </row>
    <row r="78" spans="1:8" s="3021" customFormat="1">
      <c r="A78" s="3371"/>
      <c r="B78" s="3018">
        <v>76</v>
      </c>
      <c r="C78" s="3018" t="s">
        <v>3362</v>
      </c>
      <c r="D78" s="3023" t="s">
        <v>3417</v>
      </c>
      <c r="E78" s="3020">
        <v>70.569999999999993</v>
      </c>
      <c r="F78" s="3020">
        <v>29.77</v>
      </c>
      <c r="G78" s="3018"/>
      <c r="H78" s="3019" t="s">
        <v>3363</v>
      </c>
    </row>
    <row r="79" spans="1:8" s="3021" customFormat="1">
      <c r="A79" s="3371"/>
      <c r="B79" s="3018">
        <v>77</v>
      </c>
      <c r="C79" s="3018" t="s">
        <v>3364</v>
      </c>
      <c r="D79" s="3023" t="s">
        <v>3417</v>
      </c>
      <c r="E79" s="3020">
        <v>114.9</v>
      </c>
      <c r="F79" s="3020">
        <v>48.46</v>
      </c>
      <c r="G79" s="3018"/>
      <c r="H79" s="3019" t="s">
        <v>3365</v>
      </c>
    </row>
    <row r="80" spans="1:8" s="3021" customFormat="1">
      <c r="A80" s="3371"/>
      <c r="B80" s="3018">
        <v>78</v>
      </c>
      <c r="C80" s="3018" t="s">
        <v>3366</v>
      </c>
      <c r="D80" s="3023" t="s">
        <v>3417</v>
      </c>
      <c r="E80" s="3020">
        <v>114.9</v>
      </c>
      <c r="F80" s="3020">
        <v>48.46</v>
      </c>
      <c r="G80" s="3018"/>
      <c r="H80" s="3019" t="s">
        <v>3367</v>
      </c>
    </row>
    <row r="81" spans="1:10" s="3021" customFormat="1">
      <c r="A81" s="3371"/>
      <c r="B81" s="3018">
        <v>79</v>
      </c>
      <c r="C81" s="3018" t="s">
        <v>3368</v>
      </c>
      <c r="D81" s="3023" t="s">
        <v>3417</v>
      </c>
      <c r="E81" s="3020">
        <v>114.9</v>
      </c>
      <c r="F81" s="3020">
        <v>48.46</v>
      </c>
      <c r="G81" s="3018"/>
      <c r="H81" s="3019" t="s">
        <v>3369</v>
      </c>
    </row>
    <row r="82" spans="1:10" s="3021" customFormat="1">
      <c r="A82" s="3371"/>
      <c r="B82" s="3018">
        <v>80</v>
      </c>
      <c r="C82" s="3018" t="s">
        <v>3370</v>
      </c>
      <c r="D82" s="3023" t="s">
        <v>3417</v>
      </c>
      <c r="E82" s="3020">
        <v>300.63</v>
      </c>
      <c r="F82" s="3020">
        <v>126.81</v>
      </c>
      <c r="G82" s="3018"/>
      <c r="H82" s="3019" t="s">
        <v>3371</v>
      </c>
    </row>
    <row r="83" spans="1:10" s="3021" customFormat="1">
      <c r="A83" s="3371"/>
      <c r="B83" s="3018">
        <v>81</v>
      </c>
      <c r="C83" s="3018" t="s">
        <v>3372</v>
      </c>
      <c r="D83" s="3017" t="s">
        <v>3416</v>
      </c>
      <c r="E83" s="3020">
        <v>121.13</v>
      </c>
      <c r="F83" s="3020">
        <v>5.87</v>
      </c>
      <c r="G83" s="3018"/>
      <c r="H83" s="3019" t="s">
        <v>3373</v>
      </c>
    </row>
    <row r="84" spans="1:10" s="3021" customFormat="1">
      <c r="A84" s="3371"/>
      <c r="B84" s="3018">
        <v>82</v>
      </c>
      <c r="C84" s="3018" t="s">
        <v>3374</v>
      </c>
      <c r="D84" s="3023" t="s">
        <v>3417</v>
      </c>
      <c r="E84" s="3020">
        <v>75.989999999999995</v>
      </c>
      <c r="F84" s="3020">
        <v>3.68</v>
      </c>
      <c r="G84" s="3018"/>
      <c r="H84" s="3019" t="s">
        <v>3375</v>
      </c>
    </row>
    <row r="85" spans="1:10" s="3021" customFormat="1">
      <c r="A85" s="3371"/>
      <c r="B85" s="3018">
        <v>83</v>
      </c>
      <c r="C85" s="3018" t="s">
        <v>3376</v>
      </c>
      <c r="D85" s="3023" t="s">
        <v>3417</v>
      </c>
      <c r="E85" s="3020">
        <v>100.74</v>
      </c>
      <c r="F85" s="3020">
        <v>4.88</v>
      </c>
      <c r="G85" s="3018"/>
      <c r="H85" s="3019" t="s">
        <v>3377</v>
      </c>
    </row>
    <row r="86" spans="1:10" s="3021" customFormat="1">
      <c r="A86" s="3371"/>
      <c r="B86" s="3018">
        <v>84</v>
      </c>
      <c r="C86" s="3018" t="s">
        <v>3378</v>
      </c>
      <c r="D86" s="3023" t="s">
        <v>3417</v>
      </c>
      <c r="E86" s="3020">
        <v>167.19</v>
      </c>
      <c r="F86" s="3020">
        <v>8.1</v>
      </c>
      <c r="G86" s="3018"/>
      <c r="H86" s="3019" t="s">
        <v>3379</v>
      </c>
    </row>
    <row r="87" spans="1:10" s="3021" customFormat="1">
      <c r="A87" s="3371"/>
      <c r="B87" s="3018">
        <v>85</v>
      </c>
      <c r="C87" s="3018" t="s">
        <v>3380</v>
      </c>
      <c r="D87" s="3023" t="s">
        <v>3417</v>
      </c>
      <c r="E87" s="3020">
        <v>125.68</v>
      </c>
      <c r="F87" s="3020">
        <v>6.09</v>
      </c>
      <c r="G87" s="3018"/>
      <c r="H87" s="3019" t="s">
        <v>3381</v>
      </c>
    </row>
    <row r="88" spans="1:10" s="3021" customFormat="1">
      <c r="A88" s="3371"/>
      <c r="B88" s="3018">
        <v>86</v>
      </c>
      <c r="C88" s="3018" t="s">
        <v>3382</v>
      </c>
      <c r="D88" s="3023" t="s">
        <v>3417</v>
      </c>
      <c r="E88" s="3020">
        <v>100.74</v>
      </c>
      <c r="F88" s="3020">
        <v>4.88</v>
      </c>
      <c r="G88" s="3018"/>
      <c r="H88" s="3019" t="s">
        <v>3383</v>
      </c>
    </row>
    <row r="89" spans="1:10" s="3021" customFormat="1">
      <c r="A89" s="3371"/>
      <c r="B89" s="3018">
        <v>87</v>
      </c>
      <c r="C89" s="3018" t="s">
        <v>3384</v>
      </c>
      <c r="D89" s="3023" t="s">
        <v>3417</v>
      </c>
      <c r="E89" s="3020">
        <v>75.989999999999995</v>
      </c>
      <c r="F89" s="3020">
        <v>3.68</v>
      </c>
      <c r="G89" s="3018"/>
      <c r="H89" s="3019" t="s">
        <v>3385</v>
      </c>
    </row>
    <row r="90" spans="1:10" s="3021" customFormat="1">
      <c r="A90" s="3371"/>
      <c r="B90" s="3018">
        <v>88</v>
      </c>
      <c r="C90" s="3018" t="s">
        <v>3386</v>
      </c>
      <c r="D90" s="3023" t="s">
        <v>3417</v>
      </c>
      <c r="E90" s="3020">
        <v>119.84</v>
      </c>
      <c r="F90" s="3020">
        <v>5.8</v>
      </c>
      <c r="G90" s="3018"/>
      <c r="H90" s="3019" t="s">
        <v>3387</v>
      </c>
    </row>
    <row r="91" spans="1:10" s="3021" customFormat="1">
      <c r="A91" s="3371"/>
      <c r="B91" s="3018">
        <v>89</v>
      </c>
      <c r="C91" s="3018" t="s">
        <v>3388</v>
      </c>
      <c r="D91" s="3017" t="s">
        <v>3416</v>
      </c>
      <c r="E91" s="3020">
        <v>286.79000000000002</v>
      </c>
      <c r="F91" s="3020">
        <v>19.510000000000002</v>
      </c>
      <c r="G91" s="3018"/>
      <c r="H91" s="3019" t="s">
        <v>3389</v>
      </c>
    </row>
    <row r="92" spans="1:10" s="3021" customFormat="1">
      <c r="A92" s="3371"/>
      <c r="B92" s="3018">
        <v>90</v>
      </c>
      <c r="C92" s="3018" t="s">
        <v>3390</v>
      </c>
      <c r="D92" s="3023" t="s">
        <v>3417</v>
      </c>
      <c r="E92" s="3020">
        <v>225.24</v>
      </c>
      <c r="F92" s="3020">
        <v>15.33</v>
      </c>
      <c r="G92" s="3018"/>
      <c r="H92" s="3019" t="s">
        <v>3391</v>
      </c>
    </row>
    <row r="93" spans="1:10" s="3021" customFormat="1">
      <c r="A93" s="3371"/>
      <c r="B93" s="3018">
        <v>91</v>
      </c>
      <c r="C93" s="3018" t="s">
        <v>3392</v>
      </c>
      <c r="D93" s="3023" t="s">
        <v>3417</v>
      </c>
      <c r="E93" s="3020">
        <v>265.33999999999997</v>
      </c>
      <c r="F93" s="3020">
        <v>18.05</v>
      </c>
      <c r="G93" s="3018"/>
      <c r="H93" s="3019" t="s">
        <v>3393</v>
      </c>
      <c r="I93" s="3021">
        <v>166.29</v>
      </c>
      <c r="J93" s="3021">
        <v>70.14</v>
      </c>
    </row>
    <row r="94" spans="1:10" s="3021" customFormat="1">
      <c r="A94" s="3371"/>
      <c r="B94" s="3018">
        <v>92</v>
      </c>
      <c r="C94" s="3018" t="s">
        <v>3394</v>
      </c>
      <c r="D94" s="3023" t="s">
        <v>3417</v>
      </c>
      <c r="E94" s="3020">
        <v>270.51</v>
      </c>
      <c r="F94" s="3020">
        <v>18.41</v>
      </c>
      <c r="G94" s="3018"/>
      <c r="H94" s="3019" t="s">
        <v>3395</v>
      </c>
    </row>
    <row r="95" spans="1:10" s="3021" customFormat="1">
      <c r="A95" s="3371"/>
      <c r="B95" s="3018">
        <v>93</v>
      </c>
      <c r="C95" s="3018" t="s">
        <v>3396</v>
      </c>
      <c r="D95" s="3023" t="s">
        <v>3417</v>
      </c>
      <c r="E95" s="3020">
        <v>288.14999999999998</v>
      </c>
      <c r="F95" s="3020">
        <v>19.61</v>
      </c>
      <c r="G95" s="3018"/>
      <c r="H95" s="3019" t="s">
        <v>3397</v>
      </c>
    </row>
    <row r="96" spans="1:10" s="3021" customFormat="1">
      <c r="A96" s="3371"/>
      <c r="B96" s="3018">
        <v>94</v>
      </c>
      <c r="C96" s="3018" t="s">
        <v>3398</v>
      </c>
      <c r="D96" s="3023" t="s">
        <v>3417</v>
      </c>
      <c r="E96" s="3020">
        <v>153.97999999999999</v>
      </c>
      <c r="F96" s="3020">
        <v>10.48</v>
      </c>
      <c r="G96" s="3018"/>
      <c r="H96" s="3019" t="s">
        <v>3399</v>
      </c>
    </row>
    <row r="97" spans="1:8" s="3021" customFormat="1">
      <c r="A97" s="3371"/>
      <c r="B97" s="3018">
        <v>95</v>
      </c>
      <c r="C97" s="3018" t="s">
        <v>3400</v>
      </c>
      <c r="D97" s="3023" t="s">
        <v>3417</v>
      </c>
      <c r="E97" s="3020">
        <v>124.19</v>
      </c>
      <c r="F97" s="3020">
        <v>8.4499999999999993</v>
      </c>
      <c r="G97" s="3018"/>
      <c r="H97" s="3019" t="s">
        <v>3401</v>
      </c>
    </row>
    <row r="98" spans="1:8" s="3021" customFormat="1">
      <c r="A98" s="3371"/>
      <c r="B98" s="3018">
        <v>96</v>
      </c>
      <c r="C98" s="3018" t="s">
        <v>3402</v>
      </c>
      <c r="D98" s="3023" t="s">
        <v>3417</v>
      </c>
      <c r="E98" s="3020">
        <v>181.08</v>
      </c>
      <c r="F98" s="3020">
        <v>12.32</v>
      </c>
      <c r="G98" s="3018"/>
      <c r="H98" s="3019" t="s">
        <v>3403</v>
      </c>
    </row>
    <row r="99" spans="1:8" s="3021" customFormat="1">
      <c r="A99" s="3371"/>
      <c r="B99" s="3018">
        <v>97</v>
      </c>
      <c r="C99" s="3018" t="s">
        <v>3404</v>
      </c>
      <c r="D99" s="3023" t="s">
        <v>3417</v>
      </c>
      <c r="E99" s="3020">
        <v>181.08</v>
      </c>
      <c r="F99" s="3020">
        <v>12.32</v>
      </c>
      <c r="G99" s="3018"/>
      <c r="H99" s="3019" t="s">
        <v>3405</v>
      </c>
    </row>
    <row r="100" spans="1:8" s="3021" customFormat="1">
      <c r="A100" s="3371"/>
      <c r="B100" s="3018">
        <v>98</v>
      </c>
      <c r="C100" s="3018" t="s">
        <v>3406</v>
      </c>
      <c r="D100" s="3023" t="s">
        <v>3417</v>
      </c>
      <c r="E100" s="3020">
        <v>124.22</v>
      </c>
      <c r="F100" s="3020">
        <v>8.4499999999999993</v>
      </c>
      <c r="G100" s="3018"/>
      <c r="H100" s="3019" t="s">
        <v>3407</v>
      </c>
    </row>
    <row r="101" spans="1:8" s="3021" customFormat="1">
      <c r="A101" s="3371"/>
      <c r="B101" s="3018">
        <v>99</v>
      </c>
      <c r="C101" s="3018" t="s">
        <v>3408</v>
      </c>
      <c r="D101" s="3023" t="s">
        <v>3417</v>
      </c>
      <c r="E101" s="3020">
        <v>153.97999999999999</v>
      </c>
      <c r="F101" s="3020">
        <v>10.48</v>
      </c>
      <c r="G101" s="3018"/>
      <c r="H101" s="3019" t="s">
        <v>3409</v>
      </c>
    </row>
    <row r="102" spans="1:8" s="3021" customFormat="1">
      <c r="A102" s="3371"/>
      <c r="B102" s="3018">
        <v>100</v>
      </c>
      <c r="C102" s="3036" t="s">
        <v>3410</v>
      </c>
      <c r="D102" s="3023" t="s">
        <v>3417</v>
      </c>
      <c r="E102" s="3020">
        <v>181.08</v>
      </c>
      <c r="F102" s="3020">
        <v>12.32</v>
      </c>
      <c r="G102" s="3018"/>
      <c r="H102" s="3019" t="s">
        <v>3411</v>
      </c>
    </row>
    <row r="103" spans="1:8">
      <c r="A103" s="3372" t="s">
        <v>3412</v>
      </c>
      <c r="B103" s="3373"/>
      <c r="C103" s="3013"/>
      <c r="D103" s="3014"/>
      <c r="E103" s="3015">
        <f>SUM(E3:E102)</f>
        <v>13306.869999999999</v>
      </c>
      <c r="F103" s="3015">
        <f>SUM(F4:F102)</f>
        <v>4361.2799999999988</v>
      </c>
      <c r="G103" s="3013"/>
    </row>
    <row r="233" ht="13.5" customHeight="1"/>
  </sheetData>
  <mergeCells count="3">
    <mergeCell ref="A1:G1"/>
    <mergeCell ref="A4:A102"/>
    <mergeCell ref="A103:B103"/>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B2:I89"/>
  <sheetViews>
    <sheetView topLeftCell="A58" workbookViewId="0">
      <selection activeCell="B63" sqref="B63:I89"/>
    </sheetView>
  </sheetViews>
  <sheetFormatPr defaultRowHeight="13.5"/>
  <sheetData>
    <row r="2" spans="2:7">
      <c r="B2" s="3390" t="s">
        <v>3132</v>
      </c>
      <c r="C2" s="3390"/>
      <c r="D2" s="3009" t="s">
        <v>3133</v>
      </c>
      <c r="E2" s="3009" t="s">
        <v>3134</v>
      </c>
      <c r="F2" s="3009" t="s">
        <v>3135</v>
      </c>
      <c r="G2" s="3009" t="s">
        <v>3136</v>
      </c>
    </row>
    <row r="3" spans="2:7">
      <c r="B3" s="3390"/>
      <c r="C3" s="3390"/>
      <c r="D3" s="3037" t="s">
        <v>3191</v>
      </c>
      <c r="E3" s="3037" t="s">
        <v>3193</v>
      </c>
      <c r="F3" s="3037" t="s">
        <v>3203</v>
      </c>
      <c r="G3" s="3037" t="s">
        <v>3204</v>
      </c>
    </row>
    <row r="4" spans="2:7" ht="76.5">
      <c r="B4" s="3390"/>
      <c r="C4" s="3390"/>
      <c r="D4" s="3038" t="s">
        <v>3192</v>
      </c>
      <c r="E4" s="3009" t="s">
        <v>3194</v>
      </c>
      <c r="F4" s="3009" t="s">
        <v>3195</v>
      </c>
      <c r="G4" s="3009" t="s">
        <v>3196</v>
      </c>
    </row>
    <row r="5" spans="2:7">
      <c r="B5" s="3390" t="s">
        <v>3137</v>
      </c>
      <c r="C5" s="3390"/>
      <c r="D5" s="3039">
        <v>43191</v>
      </c>
      <c r="E5" s="3039">
        <v>43191</v>
      </c>
      <c r="F5" s="3039">
        <v>43191</v>
      </c>
      <c r="G5" s="3039">
        <v>43191</v>
      </c>
    </row>
    <row r="6" spans="2:7">
      <c r="B6" s="3390" t="s">
        <v>3138</v>
      </c>
      <c r="C6" s="3390"/>
      <c r="D6" s="3009" t="s">
        <v>3078</v>
      </c>
      <c r="E6" s="3009" t="s">
        <v>3078</v>
      </c>
      <c r="F6" s="3009" t="s">
        <v>3078</v>
      </c>
      <c r="G6" s="3009" t="s">
        <v>3078</v>
      </c>
    </row>
    <row r="7" spans="2:7">
      <c r="B7" s="3391" t="s">
        <v>3152</v>
      </c>
      <c r="C7" s="3009" t="s">
        <v>1375</v>
      </c>
      <c r="D7" s="3009" t="s">
        <v>3172</v>
      </c>
      <c r="E7" s="3009" t="s">
        <v>3172</v>
      </c>
      <c r="F7" s="3009" t="s">
        <v>3172</v>
      </c>
      <c r="G7" s="3009" t="s">
        <v>3172</v>
      </c>
    </row>
    <row r="8" spans="2:7" ht="27" customHeight="1">
      <c r="B8" s="3391"/>
      <c r="C8" s="3009" t="s">
        <v>3139</v>
      </c>
      <c r="D8" s="3009" t="s">
        <v>3150</v>
      </c>
      <c r="E8" s="3009" t="s">
        <v>3150</v>
      </c>
      <c r="F8" s="3009" t="s">
        <v>3150</v>
      </c>
      <c r="G8" s="3009" t="s">
        <v>3150</v>
      </c>
    </row>
    <row r="9" spans="2:7" ht="27" customHeight="1">
      <c r="B9" s="3391"/>
      <c r="C9" s="3009" t="s">
        <v>3518</v>
      </c>
      <c r="D9" s="3009">
        <v>3.5</v>
      </c>
      <c r="E9" s="3009">
        <v>3.5</v>
      </c>
      <c r="F9" s="3009">
        <v>3.5</v>
      </c>
      <c r="G9" s="3009">
        <v>3.5</v>
      </c>
    </row>
    <row r="10" spans="2:7" ht="89.25">
      <c r="B10" s="3391" t="s">
        <v>3140</v>
      </c>
      <c r="C10" s="3009" t="str">
        <f>'比较法-商业'!B15</f>
        <v>商业繁华度</v>
      </c>
      <c r="D10" s="3009" t="s">
        <v>3198</v>
      </c>
      <c r="E10" s="3009" t="s">
        <v>3197</v>
      </c>
      <c r="F10" s="3009" t="s">
        <v>3197</v>
      </c>
      <c r="G10" s="3009" t="s">
        <v>3517</v>
      </c>
    </row>
    <row r="11" spans="2:7" ht="60.75" customHeight="1">
      <c r="B11" s="3391"/>
      <c r="C11" s="3009" t="s">
        <v>3154</v>
      </c>
      <c r="D11" s="3009" t="s">
        <v>3199</v>
      </c>
      <c r="E11" s="3009" t="s">
        <v>3199</v>
      </c>
      <c r="F11" s="3009" t="s">
        <v>3199</v>
      </c>
      <c r="G11" s="3009" t="s">
        <v>3199</v>
      </c>
    </row>
    <row r="12" spans="2:7" ht="201" customHeight="1">
      <c r="B12" s="3391"/>
      <c r="C12" s="3009" t="s">
        <v>3141</v>
      </c>
      <c r="D12" s="3009" t="s">
        <v>3200</v>
      </c>
      <c r="E12" s="3009" t="s">
        <v>3200</v>
      </c>
      <c r="F12" s="3009" t="s">
        <v>3200</v>
      </c>
      <c r="G12" s="3009" t="s">
        <v>3200</v>
      </c>
    </row>
    <row r="13" spans="2:7" ht="25.5">
      <c r="B13" s="3391"/>
      <c r="C13" s="3009" t="s">
        <v>3142</v>
      </c>
      <c r="D13" s="3009" t="s">
        <v>3081</v>
      </c>
      <c r="E13" s="3009" t="s">
        <v>3081</v>
      </c>
      <c r="F13" s="3009" t="s">
        <v>3081</v>
      </c>
      <c r="G13" s="3009" t="s">
        <v>3081</v>
      </c>
    </row>
    <row r="14" spans="2:7" ht="76.5">
      <c r="B14" s="3391"/>
      <c r="C14" s="3009" t="s">
        <v>3155</v>
      </c>
      <c r="D14" s="3009" t="s">
        <v>3201</v>
      </c>
      <c r="E14" s="3009" t="s">
        <v>3201</v>
      </c>
      <c r="F14" s="3009" t="s">
        <v>3201</v>
      </c>
      <c r="G14" s="3009" t="s">
        <v>3201</v>
      </c>
    </row>
    <row r="15" spans="2:7">
      <c r="B15" s="3391"/>
      <c r="C15" s="3009" t="s">
        <v>3156</v>
      </c>
      <c r="D15" s="3009" t="s">
        <v>3157</v>
      </c>
      <c r="E15" s="3009" t="s">
        <v>3157</v>
      </c>
      <c r="F15" s="3009" t="s">
        <v>3157</v>
      </c>
      <c r="G15" s="3009" t="s">
        <v>3157</v>
      </c>
    </row>
    <row r="16" spans="2:7">
      <c r="B16" s="3391"/>
      <c r="C16" s="3009" t="s">
        <v>3158</v>
      </c>
      <c r="D16" s="3009" t="s">
        <v>3159</v>
      </c>
      <c r="E16" s="3009" t="s">
        <v>3159</v>
      </c>
      <c r="F16" s="3009" t="s">
        <v>3159</v>
      </c>
      <c r="G16" s="3009" t="s">
        <v>3159</v>
      </c>
    </row>
    <row r="17" spans="2:7">
      <c r="B17" s="3391"/>
      <c r="C17" s="3009" t="s">
        <v>3160</v>
      </c>
      <c r="D17" s="3009" t="s">
        <v>3202</v>
      </c>
      <c r="E17" s="3009" t="s">
        <v>3202</v>
      </c>
      <c r="F17" s="3009" t="s">
        <v>3202</v>
      </c>
      <c r="G17" s="3009" t="s">
        <v>3202</v>
      </c>
    </row>
    <row r="18" spans="2:7">
      <c r="B18" s="3391"/>
      <c r="C18" s="3009" t="s">
        <v>3066</v>
      </c>
      <c r="D18" s="3009" t="s">
        <v>3161</v>
      </c>
      <c r="E18" s="3009" t="s">
        <v>3161</v>
      </c>
      <c r="F18" s="3009" t="s">
        <v>3161</v>
      </c>
      <c r="G18" s="3009" t="s">
        <v>3161</v>
      </c>
    </row>
    <row r="19" spans="2:7">
      <c r="B19" s="3390" t="s">
        <v>3143</v>
      </c>
      <c r="C19" s="3009" t="s">
        <v>3162</v>
      </c>
      <c r="D19" s="3037" t="s">
        <v>3163</v>
      </c>
      <c r="E19" s="3037" t="s">
        <v>3163</v>
      </c>
      <c r="F19" s="3037" t="s">
        <v>3163</v>
      </c>
      <c r="G19" s="3037" t="s">
        <v>3163</v>
      </c>
    </row>
    <row r="20" spans="2:7">
      <c r="B20" s="3390"/>
      <c r="C20" s="3009" t="s">
        <v>3144</v>
      </c>
      <c r="D20" s="3037" t="s">
        <v>3072</v>
      </c>
      <c r="E20" s="3037" t="s">
        <v>3072</v>
      </c>
      <c r="F20" s="3037" t="s">
        <v>3072</v>
      </c>
      <c r="G20" s="3037" t="s">
        <v>3072</v>
      </c>
    </row>
    <row r="21" spans="2:7" ht="25.5">
      <c r="B21" s="3390"/>
      <c r="C21" s="3009" t="s">
        <v>3145</v>
      </c>
      <c r="D21" s="3037" t="s">
        <v>3164</v>
      </c>
      <c r="E21" s="3037" t="s">
        <v>3164</v>
      </c>
      <c r="F21" s="3037" t="s">
        <v>3164</v>
      </c>
      <c r="G21" s="3037" t="s">
        <v>3164</v>
      </c>
    </row>
    <row r="22" spans="2:7">
      <c r="B22" s="3390"/>
      <c r="C22" s="3009" t="s">
        <v>3146</v>
      </c>
      <c r="D22" s="3040">
        <v>0.98</v>
      </c>
      <c r="E22" s="3040">
        <v>0.9</v>
      </c>
      <c r="F22" s="3040">
        <v>0.9</v>
      </c>
      <c r="G22" s="3040">
        <v>0.9</v>
      </c>
    </row>
    <row r="23" spans="2:7" ht="25.5">
      <c r="B23" s="3390"/>
      <c r="C23" s="3009" t="s">
        <v>3147</v>
      </c>
      <c r="D23" s="3037" t="s">
        <v>3081</v>
      </c>
      <c r="E23" s="3037" t="s">
        <v>3081</v>
      </c>
      <c r="F23" s="3037" t="s">
        <v>3081</v>
      </c>
      <c r="G23" s="3037" t="s">
        <v>3081</v>
      </c>
    </row>
    <row r="24" spans="2:7" ht="25.5">
      <c r="B24" s="3390"/>
      <c r="C24" s="3009" t="s">
        <v>3165</v>
      </c>
      <c r="D24" s="3037" t="s">
        <v>3166</v>
      </c>
      <c r="E24" s="3037" t="s">
        <v>3166</v>
      </c>
      <c r="F24" s="3037" t="s">
        <v>3166</v>
      </c>
      <c r="G24" s="3037" t="s">
        <v>3166</v>
      </c>
    </row>
    <row r="25" spans="2:7">
      <c r="B25" s="3390"/>
      <c r="C25" s="3009" t="s">
        <v>3167</v>
      </c>
      <c r="D25" s="3037" t="s">
        <v>3168</v>
      </c>
      <c r="E25" s="3037" t="s">
        <v>3168</v>
      </c>
      <c r="F25" s="3037" t="s">
        <v>3168</v>
      </c>
      <c r="G25" s="3037" t="s">
        <v>3168</v>
      </c>
    </row>
    <row r="26" spans="2:7" ht="38.25">
      <c r="B26" s="3390"/>
      <c r="C26" s="3009" t="s">
        <v>3173</v>
      </c>
      <c r="D26" s="3037">
        <f>'比较法-商业'!C40</f>
        <v>139.15</v>
      </c>
      <c r="E26" s="3037">
        <f>'比较法-商业'!E40</f>
        <v>105</v>
      </c>
      <c r="F26" s="3037">
        <f>'比较法-商业'!G40</f>
        <v>62</v>
      </c>
      <c r="G26" s="3037">
        <f>'比较法-商业'!I40</f>
        <v>65</v>
      </c>
    </row>
    <row r="27" spans="2:7">
      <c r="B27" s="3390"/>
      <c r="C27" s="3009" t="s">
        <v>3169</v>
      </c>
      <c r="D27" s="3037" t="s">
        <v>3170</v>
      </c>
      <c r="E27" s="3037" t="s">
        <v>3170</v>
      </c>
      <c r="F27" s="3037" t="s">
        <v>3170</v>
      </c>
      <c r="G27" s="3037" t="s">
        <v>3170</v>
      </c>
    </row>
    <row r="28" spans="2:7">
      <c r="B28" s="3390"/>
      <c r="C28" s="3009" t="s">
        <v>3148</v>
      </c>
      <c r="D28" s="3037" t="s">
        <v>3171</v>
      </c>
      <c r="E28" s="3037" t="s">
        <v>3171</v>
      </c>
      <c r="F28" s="3037" t="s">
        <v>3171</v>
      </c>
      <c r="G28" s="3037" t="s">
        <v>3171</v>
      </c>
    </row>
    <row r="29" spans="2:7" ht="25.5">
      <c r="B29" s="3390"/>
      <c r="C29" s="3009" t="s">
        <v>3149</v>
      </c>
      <c r="D29" s="3037" t="s">
        <v>3080</v>
      </c>
      <c r="E29" s="3037" t="s">
        <v>3080</v>
      </c>
      <c r="F29" s="3037" t="s">
        <v>3080</v>
      </c>
      <c r="G29" s="3037" t="s">
        <v>3080</v>
      </c>
    </row>
    <row r="33" spans="2:7">
      <c r="B33" s="3389" t="s">
        <v>3132</v>
      </c>
      <c r="C33" s="3389"/>
      <c r="D33" s="2964" t="s">
        <v>3133</v>
      </c>
      <c r="E33" s="2964" t="s">
        <v>3134</v>
      </c>
      <c r="F33" s="2964" t="s">
        <v>3135</v>
      </c>
      <c r="G33" s="2964" t="s">
        <v>3136</v>
      </c>
    </row>
    <row r="34" spans="2:7">
      <c r="B34" s="3389" t="s">
        <v>3174</v>
      </c>
      <c r="C34" s="3389"/>
      <c r="D34" s="2965">
        <v>100</v>
      </c>
      <c r="E34" s="2965">
        <v>100</v>
      </c>
      <c r="F34" s="2965">
        <v>100</v>
      </c>
      <c r="G34" s="2965">
        <v>100</v>
      </c>
    </row>
    <row r="35" spans="2:7">
      <c r="B35" s="3389" t="s">
        <v>3138</v>
      </c>
      <c r="C35" s="3389"/>
      <c r="D35" s="2965">
        <v>100</v>
      </c>
      <c r="E35" s="2965">
        <v>100</v>
      </c>
      <c r="F35" s="2965">
        <v>100</v>
      </c>
      <c r="G35" s="2965">
        <v>100</v>
      </c>
    </row>
    <row r="36" spans="2:7">
      <c r="B36" s="3390" t="s">
        <v>3151</v>
      </c>
      <c r="C36" s="2966" t="s">
        <v>1375</v>
      </c>
      <c r="D36" s="2965">
        <v>100</v>
      </c>
      <c r="E36" s="2965">
        <v>100</v>
      </c>
      <c r="F36" s="2965">
        <v>100</v>
      </c>
      <c r="G36" s="2965">
        <v>100</v>
      </c>
    </row>
    <row r="37" spans="2:7">
      <c r="B37" s="3390"/>
      <c r="C37" s="2966" t="s">
        <v>3139</v>
      </c>
      <c r="D37" s="2965">
        <v>100</v>
      </c>
      <c r="E37" s="2965">
        <v>100</v>
      </c>
      <c r="F37" s="2965">
        <v>100</v>
      </c>
      <c r="G37" s="2965">
        <v>100</v>
      </c>
    </row>
    <row r="38" spans="2:7">
      <c r="B38" s="3390"/>
      <c r="C38" s="2966" t="s">
        <v>3153</v>
      </c>
      <c r="D38" s="2965">
        <v>100</v>
      </c>
      <c r="E38" s="2965">
        <v>100</v>
      </c>
      <c r="F38" s="2965">
        <v>100</v>
      </c>
      <c r="G38" s="2965">
        <v>100</v>
      </c>
    </row>
    <row r="39" spans="2:7">
      <c r="B39" s="3391" t="s">
        <v>3140</v>
      </c>
      <c r="C39" s="2966" t="str">
        <f>C10</f>
        <v>商业繁华度</v>
      </c>
      <c r="D39" s="2965">
        <v>100</v>
      </c>
      <c r="E39" s="2965">
        <v>100</v>
      </c>
      <c r="F39" s="2965">
        <v>100</v>
      </c>
      <c r="G39" s="2965">
        <v>100</v>
      </c>
    </row>
    <row r="40" spans="2:7">
      <c r="B40" s="3391"/>
      <c r="C40" s="2966" t="str">
        <f t="shared" ref="C40:C47" si="0">C11</f>
        <v>交通便捷度</v>
      </c>
      <c r="D40" s="2965">
        <v>100</v>
      </c>
      <c r="E40" s="2965">
        <v>100</v>
      </c>
      <c r="F40" s="2965">
        <v>100</v>
      </c>
      <c r="G40" s="2965">
        <v>100</v>
      </c>
    </row>
    <row r="41" spans="2:7">
      <c r="B41" s="3391"/>
      <c r="C41" s="2966" t="str">
        <f t="shared" si="0"/>
        <v>公共配套设施</v>
      </c>
      <c r="D41" s="2965">
        <v>100</v>
      </c>
      <c r="E41" s="2965">
        <v>100</v>
      </c>
      <c r="F41" s="2965">
        <v>100</v>
      </c>
      <c r="G41" s="2965">
        <v>100</v>
      </c>
    </row>
    <row r="42" spans="2:7">
      <c r="B42" s="3391"/>
      <c r="C42" s="2966" t="str">
        <f t="shared" si="0"/>
        <v>区域基础设施水平</v>
      </c>
      <c r="D42" s="2965">
        <v>100</v>
      </c>
      <c r="E42" s="2965">
        <v>100</v>
      </c>
      <c r="F42" s="2965">
        <v>100</v>
      </c>
      <c r="G42" s="2965">
        <v>100</v>
      </c>
    </row>
    <row r="43" spans="2:7">
      <c r="B43" s="3391"/>
      <c r="C43" s="2966" t="str">
        <f t="shared" si="0"/>
        <v>自然及人文环境</v>
      </c>
      <c r="D43" s="2965">
        <v>100</v>
      </c>
      <c r="E43" s="2965">
        <v>100</v>
      </c>
      <c r="F43" s="2965">
        <v>100</v>
      </c>
      <c r="G43" s="2965">
        <v>100</v>
      </c>
    </row>
    <row r="44" spans="2:7">
      <c r="B44" s="3391"/>
      <c r="C44" s="2966" t="str">
        <f t="shared" si="0"/>
        <v>临街状况</v>
      </c>
      <c r="D44" s="2965">
        <v>100</v>
      </c>
      <c r="E44" s="2965">
        <v>100</v>
      </c>
      <c r="F44" s="2965">
        <v>100</v>
      </c>
      <c r="G44" s="2965">
        <v>100</v>
      </c>
    </row>
    <row r="45" spans="2:7">
      <c r="B45" s="3391"/>
      <c r="C45" s="2966" t="str">
        <f t="shared" si="0"/>
        <v>可视性</v>
      </c>
      <c r="D45" s="2965">
        <v>100</v>
      </c>
      <c r="E45" s="2965">
        <v>100</v>
      </c>
      <c r="F45" s="2965">
        <v>100</v>
      </c>
      <c r="G45" s="2965">
        <v>100</v>
      </c>
    </row>
    <row r="46" spans="2:7">
      <c r="B46" s="3391"/>
      <c r="C46" s="2966" t="str">
        <f t="shared" si="0"/>
        <v>人流量</v>
      </c>
      <c r="D46" s="2965">
        <v>100</v>
      </c>
      <c r="E46" s="2965">
        <v>100</v>
      </c>
      <c r="F46" s="2965">
        <v>100</v>
      </c>
      <c r="G46" s="2965">
        <v>100</v>
      </c>
    </row>
    <row r="47" spans="2:7">
      <c r="B47" s="3391"/>
      <c r="C47" s="2966" t="str">
        <f t="shared" si="0"/>
        <v>楼层</v>
      </c>
      <c r="D47" s="2965">
        <v>100</v>
      </c>
      <c r="E47" s="2965">
        <v>100</v>
      </c>
      <c r="F47" s="2965">
        <v>100</v>
      </c>
      <c r="G47" s="2965">
        <v>100</v>
      </c>
    </row>
    <row r="48" spans="2:7">
      <c r="B48" s="3390" t="s">
        <v>3143</v>
      </c>
      <c r="C48" s="2966" t="str">
        <f>C19</f>
        <v>商业类型</v>
      </c>
      <c r="D48" s="2965">
        <v>100</v>
      </c>
      <c r="E48" s="2965">
        <v>100</v>
      </c>
      <c r="F48" s="2965">
        <v>100</v>
      </c>
      <c r="G48" s="2965">
        <v>100</v>
      </c>
    </row>
    <row r="49" spans="2:9">
      <c r="B49" s="3390"/>
      <c r="C49" s="2966" t="str">
        <f t="shared" ref="C49:C57" si="1">C20</f>
        <v>建筑结构</v>
      </c>
      <c r="D49" s="2965">
        <v>100</v>
      </c>
      <c r="E49" s="2965">
        <v>100</v>
      </c>
      <c r="F49" s="2965">
        <v>100</v>
      </c>
      <c r="G49" s="2965">
        <v>100</v>
      </c>
    </row>
    <row r="50" spans="2:9">
      <c r="B50" s="3390"/>
      <c r="C50" s="2966" t="str">
        <f t="shared" si="1"/>
        <v>公共部分装修</v>
      </c>
      <c r="D50" s="2965">
        <v>100</v>
      </c>
      <c r="E50" s="2965">
        <v>100</v>
      </c>
      <c r="F50" s="2965">
        <v>100</v>
      </c>
      <c r="G50" s="2965">
        <v>100</v>
      </c>
    </row>
    <row r="51" spans="2:9">
      <c r="B51" s="3390"/>
      <c r="C51" s="2966" t="str">
        <f t="shared" si="1"/>
        <v>成新率</v>
      </c>
      <c r="D51" s="2965">
        <v>100</v>
      </c>
      <c r="E51" s="2965">
        <v>100</v>
      </c>
      <c r="F51" s="2965">
        <v>100</v>
      </c>
      <c r="G51" s="2965">
        <v>100</v>
      </c>
    </row>
    <row r="52" spans="2:9">
      <c r="B52" s="3390"/>
      <c r="C52" s="2966" t="str">
        <f t="shared" si="1"/>
        <v>市政基础设施</v>
      </c>
      <c r="D52" s="2965">
        <v>100</v>
      </c>
      <c r="E52" s="2965">
        <v>100</v>
      </c>
      <c r="F52" s="2965">
        <v>100</v>
      </c>
      <c r="G52" s="2965">
        <v>100</v>
      </c>
    </row>
    <row r="53" spans="2:9">
      <c r="B53" s="3390"/>
      <c r="C53" s="2966" t="str">
        <f t="shared" si="1"/>
        <v>业态</v>
      </c>
      <c r="D53" s="2965">
        <v>100</v>
      </c>
      <c r="E53" s="2965">
        <v>100</v>
      </c>
      <c r="F53" s="2965">
        <v>100</v>
      </c>
      <c r="G53" s="2965">
        <v>100</v>
      </c>
    </row>
    <row r="54" spans="2:9">
      <c r="B54" s="3390"/>
      <c r="C54" s="2966" t="str">
        <f t="shared" si="1"/>
        <v>层高</v>
      </c>
      <c r="D54" s="2965">
        <v>100</v>
      </c>
      <c r="E54" s="2965">
        <v>100</v>
      </c>
      <c r="F54" s="2965">
        <v>100</v>
      </c>
      <c r="G54" s="2965">
        <v>100</v>
      </c>
    </row>
    <row r="55" spans="2:9" ht="14.25" thickBot="1">
      <c r="B55" s="3390"/>
      <c r="C55" s="2966" t="str">
        <f t="shared" si="1"/>
        <v>单套建筑面积（平方米）</v>
      </c>
      <c r="D55" s="2965">
        <v>100</v>
      </c>
      <c r="E55" s="2965">
        <v>100</v>
      </c>
      <c r="F55" s="2965">
        <v>101</v>
      </c>
      <c r="G55" s="2965">
        <v>101</v>
      </c>
      <c r="H55" s="2963"/>
    </row>
    <row r="56" spans="2:9">
      <c r="B56" s="3390"/>
      <c r="C56" s="2966" t="str">
        <f t="shared" si="1"/>
        <v>进深比</v>
      </c>
      <c r="D56" s="2965">
        <v>100</v>
      </c>
      <c r="E56" s="2965">
        <v>100</v>
      </c>
      <c r="F56" s="2965">
        <v>100</v>
      </c>
      <c r="G56" s="2965">
        <v>100</v>
      </c>
    </row>
    <row r="57" spans="2:9">
      <c r="B57" s="3390"/>
      <c r="C57" s="2966" t="str">
        <f t="shared" si="1"/>
        <v>内部装修</v>
      </c>
      <c r="D57" s="2965">
        <v>100</v>
      </c>
      <c r="E57" s="2965">
        <v>100</v>
      </c>
      <c r="F57" s="2965">
        <v>100</v>
      </c>
      <c r="G57" s="2965">
        <v>100</v>
      </c>
    </row>
    <row r="58" spans="2:9">
      <c r="B58" s="3390"/>
      <c r="C58" s="2966" t="str">
        <f>C29</f>
        <v>内部装修维护状况</v>
      </c>
      <c r="D58" s="2965">
        <v>100</v>
      </c>
      <c r="E58" s="2965">
        <v>100</v>
      </c>
      <c r="F58" s="2965">
        <v>100</v>
      </c>
      <c r="G58" s="2965">
        <v>100</v>
      </c>
    </row>
    <row r="62" spans="2:9" ht="14.25" thickBot="1"/>
    <row r="63" spans="2:9" ht="14.25" thickBot="1">
      <c r="B63" s="3387" t="s">
        <v>3132</v>
      </c>
      <c r="C63" s="3388"/>
      <c r="D63" s="3381" t="s">
        <v>3134</v>
      </c>
      <c r="E63" s="3382"/>
      <c r="F63" s="3381" t="s">
        <v>3135</v>
      </c>
      <c r="G63" s="3382"/>
      <c r="H63" s="3381" t="s">
        <v>3136</v>
      </c>
      <c r="I63" s="3382"/>
    </row>
    <row r="64" spans="2:9" ht="14.25" thickBot="1">
      <c r="B64" s="3383" t="s">
        <v>3174</v>
      </c>
      <c r="C64" s="3384"/>
      <c r="D64" s="2967" t="s">
        <v>3175</v>
      </c>
      <c r="E64" s="2963">
        <f>E34</f>
        <v>100</v>
      </c>
      <c r="F64" s="2967" t="s">
        <v>3175</v>
      </c>
      <c r="G64" s="2963">
        <f>F34</f>
        <v>100</v>
      </c>
      <c r="H64" s="2967" t="s">
        <v>3175</v>
      </c>
      <c r="I64" s="2963">
        <f>G34</f>
        <v>100</v>
      </c>
    </row>
    <row r="65" spans="2:9" ht="14.25" thickBot="1">
      <c r="B65" s="3383" t="s">
        <v>3138</v>
      </c>
      <c r="C65" s="3384"/>
      <c r="D65" s="2967" t="s">
        <v>3175</v>
      </c>
      <c r="E65" s="2963">
        <f t="shared" ref="E65:E87" si="2">E35</f>
        <v>100</v>
      </c>
      <c r="F65" s="2967" t="s">
        <v>3175</v>
      </c>
      <c r="G65" s="2963">
        <f t="shared" ref="G65:G87" si="3">F35</f>
        <v>100</v>
      </c>
      <c r="H65" s="2967" t="s">
        <v>3175</v>
      </c>
      <c r="I65" s="2963">
        <f t="shared" ref="I65:I87" si="4">G35</f>
        <v>100</v>
      </c>
    </row>
    <row r="66" spans="2:9" ht="14.25" thickBot="1">
      <c r="B66" s="3385" t="s">
        <v>3151</v>
      </c>
      <c r="C66" s="2962" t="str">
        <f>C7</f>
        <v>用途</v>
      </c>
      <c r="D66" s="2967" t="s">
        <v>3175</v>
      </c>
      <c r="E66" s="2963">
        <f t="shared" si="2"/>
        <v>100</v>
      </c>
      <c r="F66" s="2967" t="s">
        <v>3175</v>
      </c>
      <c r="G66" s="2963">
        <f t="shared" si="3"/>
        <v>100</v>
      </c>
      <c r="H66" s="2967" t="s">
        <v>3175</v>
      </c>
      <c r="I66" s="2963">
        <f t="shared" si="4"/>
        <v>100</v>
      </c>
    </row>
    <row r="67" spans="2:9" ht="14.25" thickBot="1">
      <c r="B67" s="3386"/>
      <c r="C67" s="3001" t="str">
        <f>C8</f>
        <v>土地使用年限（年）</v>
      </c>
      <c r="D67" s="2967" t="s">
        <v>3175</v>
      </c>
      <c r="E67" s="2963">
        <f t="shared" si="2"/>
        <v>100</v>
      </c>
      <c r="F67" s="2967" t="s">
        <v>3175</v>
      </c>
      <c r="G67" s="2963">
        <f t="shared" si="3"/>
        <v>100</v>
      </c>
      <c r="H67" s="2967" t="s">
        <v>3175</v>
      </c>
      <c r="I67" s="2963">
        <f t="shared" si="4"/>
        <v>100</v>
      </c>
    </row>
    <row r="68" spans="2:9" ht="14.25" thickBot="1">
      <c r="B68" s="3378" t="s">
        <v>3140</v>
      </c>
      <c r="C68" s="2962" t="str">
        <f>C39</f>
        <v>商业繁华度</v>
      </c>
      <c r="D68" s="2967" t="s">
        <v>3175</v>
      </c>
      <c r="E68" s="2963">
        <f t="shared" si="2"/>
        <v>100</v>
      </c>
      <c r="F68" s="2967" t="s">
        <v>3175</v>
      </c>
      <c r="G68" s="2963">
        <f t="shared" si="3"/>
        <v>100</v>
      </c>
      <c r="H68" s="2967" t="s">
        <v>3175</v>
      </c>
      <c r="I68" s="2963">
        <f t="shared" si="4"/>
        <v>100</v>
      </c>
    </row>
    <row r="69" spans="2:9" ht="14.25" thickBot="1">
      <c r="B69" s="3379"/>
      <c r="C69" s="3001" t="str">
        <f t="shared" ref="C69:C76" si="5">C40</f>
        <v>交通便捷度</v>
      </c>
      <c r="D69" s="2967" t="s">
        <v>3175</v>
      </c>
      <c r="E69" s="2963">
        <f t="shared" si="2"/>
        <v>100</v>
      </c>
      <c r="F69" s="2967" t="s">
        <v>3175</v>
      </c>
      <c r="G69" s="2963">
        <f t="shared" si="3"/>
        <v>100</v>
      </c>
      <c r="H69" s="2967" t="s">
        <v>3175</v>
      </c>
      <c r="I69" s="2963">
        <f t="shared" si="4"/>
        <v>100</v>
      </c>
    </row>
    <row r="70" spans="2:9" ht="14.25" thickBot="1">
      <c r="B70" s="3379"/>
      <c r="C70" s="3001" t="str">
        <f t="shared" si="5"/>
        <v>公共配套设施</v>
      </c>
      <c r="D70" s="2967" t="s">
        <v>3175</v>
      </c>
      <c r="E70" s="2963">
        <f t="shared" si="2"/>
        <v>100</v>
      </c>
      <c r="F70" s="2967" t="s">
        <v>3175</v>
      </c>
      <c r="G70" s="2963">
        <f t="shared" si="3"/>
        <v>100</v>
      </c>
      <c r="H70" s="2967" t="s">
        <v>3175</v>
      </c>
      <c r="I70" s="2963">
        <f t="shared" si="4"/>
        <v>100</v>
      </c>
    </row>
    <row r="71" spans="2:9" ht="14.25" thickBot="1">
      <c r="B71" s="3379"/>
      <c r="C71" s="3001" t="str">
        <f t="shared" si="5"/>
        <v>区域基础设施水平</v>
      </c>
      <c r="D71" s="2967" t="s">
        <v>3175</v>
      </c>
      <c r="E71" s="2963">
        <f t="shared" si="2"/>
        <v>100</v>
      </c>
      <c r="F71" s="2967" t="s">
        <v>3175</v>
      </c>
      <c r="G71" s="2963">
        <f t="shared" si="3"/>
        <v>100</v>
      </c>
      <c r="H71" s="2967" t="s">
        <v>3175</v>
      </c>
      <c r="I71" s="2963">
        <f t="shared" si="4"/>
        <v>100</v>
      </c>
    </row>
    <row r="72" spans="2:9" ht="14.25" thickBot="1">
      <c r="B72" s="3379"/>
      <c r="C72" s="3001" t="str">
        <f t="shared" si="5"/>
        <v>自然及人文环境</v>
      </c>
      <c r="D72" s="2967" t="s">
        <v>3175</v>
      </c>
      <c r="E72" s="2963">
        <f t="shared" si="2"/>
        <v>100</v>
      </c>
      <c r="F72" s="2967" t="s">
        <v>3175</v>
      </c>
      <c r="G72" s="2963">
        <f t="shared" si="3"/>
        <v>100</v>
      </c>
      <c r="H72" s="2967" t="s">
        <v>3175</v>
      </c>
      <c r="I72" s="2963">
        <f t="shared" si="4"/>
        <v>100</v>
      </c>
    </row>
    <row r="73" spans="2:9" ht="14.25" thickBot="1">
      <c r="B73" s="3379"/>
      <c r="C73" s="3001" t="str">
        <f t="shared" si="5"/>
        <v>临街状况</v>
      </c>
      <c r="D73" s="2967" t="s">
        <v>3175</v>
      </c>
      <c r="E73" s="2963">
        <f t="shared" si="2"/>
        <v>100</v>
      </c>
      <c r="F73" s="2967" t="s">
        <v>3175</v>
      </c>
      <c r="G73" s="2963">
        <f t="shared" si="3"/>
        <v>100</v>
      </c>
      <c r="H73" s="2967" t="s">
        <v>3175</v>
      </c>
      <c r="I73" s="2963">
        <f t="shared" si="4"/>
        <v>100</v>
      </c>
    </row>
    <row r="74" spans="2:9" ht="14.25" thickBot="1">
      <c r="B74" s="3379"/>
      <c r="C74" s="3001" t="str">
        <f t="shared" si="5"/>
        <v>可视性</v>
      </c>
      <c r="D74" s="2967" t="s">
        <v>3175</v>
      </c>
      <c r="E74" s="2963">
        <f t="shared" si="2"/>
        <v>100</v>
      </c>
      <c r="F74" s="2967" t="s">
        <v>3175</v>
      </c>
      <c r="G74" s="2963">
        <f t="shared" si="3"/>
        <v>100</v>
      </c>
      <c r="H74" s="2967" t="s">
        <v>3175</v>
      </c>
      <c r="I74" s="2963">
        <f t="shared" si="4"/>
        <v>100</v>
      </c>
    </row>
    <row r="75" spans="2:9" ht="14.25" thickBot="1">
      <c r="B75" s="3379"/>
      <c r="C75" s="3001" t="str">
        <f t="shared" si="5"/>
        <v>人流量</v>
      </c>
      <c r="D75" s="2967" t="s">
        <v>3175</v>
      </c>
      <c r="E75" s="2963">
        <f t="shared" si="2"/>
        <v>100</v>
      </c>
      <c r="F75" s="2967" t="s">
        <v>3175</v>
      </c>
      <c r="G75" s="2963">
        <f t="shared" si="3"/>
        <v>100</v>
      </c>
      <c r="H75" s="2967" t="s">
        <v>3175</v>
      </c>
      <c r="I75" s="2963">
        <f t="shared" si="4"/>
        <v>100</v>
      </c>
    </row>
    <row r="76" spans="2:9" ht="14.25" thickBot="1">
      <c r="B76" s="3380"/>
      <c r="C76" s="3001" t="str">
        <f t="shared" si="5"/>
        <v>楼层</v>
      </c>
      <c r="D76" s="2967" t="s">
        <v>3175</v>
      </c>
      <c r="E76" s="2963">
        <f t="shared" si="2"/>
        <v>100</v>
      </c>
      <c r="F76" s="2967" t="s">
        <v>3175</v>
      </c>
      <c r="G76" s="2963">
        <f t="shared" si="3"/>
        <v>100</v>
      </c>
      <c r="H76" s="2967" t="s">
        <v>3175</v>
      </c>
      <c r="I76" s="2963">
        <f t="shared" si="4"/>
        <v>100</v>
      </c>
    </row>
    <row r="77" spans="2:9" ht="14.25" thickBot="1">
      <c r="B77" s="3378" t="s">
        <v>3143</v>
      </c>
      <c r="C77" s="2962" t="str">
        <f>C48</f>
        <v>商业类型</v>
      </c>
      <c r="D77" s="2967" t="s">
        <v>3175</v>
      </c>
      <c r="E77" s="2963">
        <f t="shared" si="2"/>
        <v>100</v>
      </c>
      <c r="F77" s="2967" t="s">
        <v>3175</v>
      </c>
      <c r="G77" s="2963">
        <f t="shared" si="3"/>
        <v>100</v>
      </c>
      <c r="H77" s="2967" t="s">
        <v>3175</v>
      </c>
      <c r="I77" s="2963">
        <f t="shared" si="4"/>
        <v>100</v>
      </c>
    </row>
    <row r="78" spans="2:9" ht="14.25" thickBot="1">
      <c r="B78" s="3379"/>
      <c r="C78" s="3001" t="str">
        <f t="shared" ref="C78:C87" si="6">C49</f>
        <v>建筑结构</v>
      </c>
      <c r="D78" s="2967" t="s">
        <v>3175</v>
      </c>
      <c r="E78" s="2963">
        <f t="shared" si="2"/>
        <v>100</v>
      </c>
      <c r="F78" s="2967" t="s">
        <v>3175</v>
      </c>
      <c r="G78" s="2963">
        <f t="shared" si="3"/>
        <v>100</v>
      </c>
      <c r="H78" s="2967" t="s">
        <v>3175</v>
      </c>
      <c r="I78" s="2963">
        <f t="shared" si="4"/>
        <v>100</v>
      </c>
    </row>
    <row r="79" spans="2:9" ht="14.25" thickBot="1">
      <c r="B79" s="3379"/>
      <c r="C79" s="3001" t="str">
        <f t="shared" si="6"/>
        <v>公共部分装修</v>
      </c>
      <c r="D79" s="2967" t="s">
        <v>3175</v>
      </c>
      <c r="E79" s="2963">
        <f t="shared" si="2"/>
        <v>100</v>
      </c>
      <c r="F79" s="2967" t="s">
        <v>3175</v>
      </c>
      <c r="G79" s="2963">
        <f t="shared" si="3"/>
        <v>100</v>
      </c>
      <c r="H79" s="2967" t="s">
        <v>3175</v>
      </c>
      <c r="I79" s="2963">
        <f t="shared" si="4"/>
        <v>100</v>
      </c>
    </row>
    <row r="80" spans="2:9" ht="14.25" thickBot="1">
      <c r="B80" s="3379"/>
      <c r="C80" s="3001" t="str">
        <f t="shared" si="6"/>
        <v>成新率</v>
      </c>
      <c r="D80" s="2967" t="s">
        <v>3175</v>
      </c>
      <c r="E80" s="2963">
        <f t="shared" si="2"/>
        <v>100</v>
      </c>
      <c r="F80" s="2967" t="s">
        <v>3175</v>
      </c>
      <c r="G80" s="2963">
        <f t="shared" si="3"/>
        <v>100</v>
      </c>
      <c r="H80" s="2967" t="s">
        <v>3175</v>
      </c>
      <c r="I80" s="2963">
        <f t="shared" si="4"/>
        <v>100</v>
      </c>
    </row>
    <row r="81" spans="2:9" ht="14.25" thickBot="1">
      <c r="B81" s="3379"/>
      <c r="C81" s="3001" t="str">
        <f t="shared" si="6"/>
        <v>市政基础设施</v>
      </c>
      <c r="D81" s="2967" t="s">
        <v>3175</v>
      </c>
      <c r="E81" s="2963">
        <f t="shared" si="2"/>
        <v>100</v>
      </c>
      <c r="F81" s="2967" t="s">
        <v>3175</v>
      </c>
      <c r="G81" s="2963">
        <f t="shared" si="3"/>
        <v>100</v>
      </c>
      <c r="H81" s="2967" t="s">
        <v>3175</v>
      </c>
      <c r="I81" s="2963">
        <f t="shared" si="4"/>
        <v>100</v>
      </c>
    </row>
    <row r="82" spans="2:9" ht="14.25" thickBot="1">
      <c r="B82" s="3379"/>
      <c r="C82" s="3001" t="str">
        <f t="shared" si="6"/>
        <v>业态</v>
      </c>
      <c r="D82" s="2967" t="s">
        <v>3175</v>
      </c>
      <c r="E82" s="2963">
        <f t="shared" si="2"/>
        <v>100</v>
      </c>
      <c r="F82" s="2967" t="s">
        <v>3175</v>
      </c>
      <c r="G82" s="2963">
        <f t="shared" si="3"/>
        <v>100</v>
      </c>
      <c r="H82" s="2967" t="s">
        <v>3175</v>
      </c>
      <c r="I82" s="2963">
        <f t="shared" si="4"/>
        <v>100</v>
      </c>
    </row>
    <row r="83" spans="2:9" ht="14.25" thickBot="1">
      <c r="B83" s="3379"/>
      <c r="C83" s="3001" t="str">
        <f t="shared" si="6"/>
        <v>层高</v>
      </c>
      <c r="D83" s="2967" t="s">
        <v>3175</v>
      </c>
      <c r="E83" s="2963">
        <f t="shared" si="2"/>
        <v>100</v>
      </c>
      <c r="F83" s="2967" t="s">
        <v>3175</v>
      </c>
      <c r="G83" s="2963">
        <f t="shared" si="3"/>
        <v>100</v>
      </c>
      <c r="H83" s="2967" t="s">
        <v>3175</v>
      </c>
      <c r="I83" s="2963">
        <f t="shared" si="4"/>
        <v>100</v>
      </c>
    </row>
    <row r="84" spans="2:9" ht="14.25" thickBot="1">
      <c r="B84" s="3379"/>
      <c r="C84" s="3001" t="str">
        <f t="shared" si="6"/>
        <v>单套建筑面积（平方米）</v>
      </c>
      <c r="D84" s="2967" t="s">
        <v>3175</v>
      </c>
      <c r="E84" s="2963">
        <f t="shared" si="2"/>
        <v>100</v>
      </c>
      <c r="F84" s="2967" t="s">
        <v>3175</v>
      </c>
      <c r="G84" s="2963">
        <f t="shared" si="3"/>
        <v>100</v>
      </c>
      <c r="H84" s="2967" t="s">
        <v>3175</v>
      </c>
      <c r="I84" s="2963">
        <f t="shared" si="4"/>
        <v>100</v>
      </c>
    </row>
    <row r="85" spans="2:9" ht="14.25" thickBot="1">
      <c r="B85" s="3379"/>
      <c r="C85" s="3001" t="str">
        <f t="shared" si="6"/>
        <v>进深比</v>
      </c>
      <c r="D85" s="2967" t="s">
        <v>3175</v>
      </c>
      <c r="E85" s="2963">
        <f t="shared" si="2"/>
        <v>100</v>
      </c>
      <c r="F85" s="2967" t="s">
        <v>3175</v>
      </c>
      <c r="G85" s="2963">
        <f t="shared" si="3"/>
        <v>101</v>
      </c>
      <c r="H85" s="2967" t="s">
        <v>3175</v>
      </c>
      <c r="I85" s="2963">
        <f t="shared" si="4"/>
        <v>101</v>
      </c>
    </row>
    <row r="86" spans="2:9" ht="14.25" thickBot="1">
      <c r="B86" s="3379"/>
      <c r="C86" s="3001" t="str">
        <f t="shared" si="6"/>
        <v>内部装修</v>
      </c>
      <c r="D86" s="2967" t="s">
        <v>3175</v>
      </c>
      <c r="E86" s="2963">
        <f t="shared" si="2"/>
        <v>100</v>
      </c>
      <c r="F86" s="2967" t="s">
        <v>3175</v>
      </c>
      <c r="G86" s="2963">
        <f t="shared" si="3"/>
        <v>100</v>
      </c>
      <c r="H86" s="2967" t="s">
        <v>3175</v>
      </c>
      <c r="I86" s="2963">
        <f t="shared" si="4"/>
        <v>100</v>
      </c>
    </row>
    <row r="87" spans="2:9" ht="14.25" thickBot="1">
      <c r="B87" s="3379"/>
      <c r="C87" s="3001" t="str">
        <f t="shared" si="6"/>
        <v>内部装修维护状况</v>
      </c>
      <c r="D87" s="2967" t="s">
        <v>3175</v>
      </c>
      <c r="E87" s="2963">
        <f t="shared" si="2"/>
        <v>100</v>
      </c>
      <c r="F87" s="2967" t="s">
        <v>3175</v>
      </c>
      <c r="G87" s="2963">
        <f t="shared" si="3"/>
        <v>100</v>
      </c>
      <c r="H87" s="2967" t="s">
        <v>3175</v>
      </c>
      <c r="I87" s="2963">
        <f t="shared" si="4"/>
        <v>100</v>
      </c>
    </row>
    <row r="88" spans="2:9" ht="14.25" thickBot="1">
      <c r="B88" s="3374" t="s">
        <v>3176</v>
      </c>
      <c r="C88" s="3375"/>
      <c r="D88" s="3376">
        <f>'比较法-商业'!E47</f>
        <v>33250</v>
      </c>
      <c r="E88" s="3377"/>
      <c r="F88" s="3376">
        <f>'比较法-商业'!G47</f>
        <v>32419</v>
      </c>
      <c r="G88" s="3377"/>
      <c r="H88" s="3376">
        <f>'比较法-商业'!I47</f>
        <v>34300</v>
      </c>
      <c r="I88" s="3377"/>
    </row>
    <row r="89" spans="2:9" ht="14.25" thickBot="1">
      <c r="B89" s="3374" t="s">
        <v>3177</v>
      </c>
      <c r="C89" s="3375"/>
      <c r="D89" s="3376">
        <f>'比较法-商业'!E48</f>
        <v>33250</v>
      </c>
      <c r="E89" s="3377"/>
      <c r="F89" s="3376">
        <f>'比较法-商业'!G48</f>
        <v>32098</v>
      </c>
      <c r="G89" s="3377"/>
      <c r="H89" s="3376">
        <f>'比较法-商业'!I48</f>
        <v>33960</v>
      </c>
      <c r="I89" s="3377"/>
    </row>
  </sheetData>
  <mergeCells count="29">
    <mergeCell ref="B2:C4"/>
    <mergeCell ref="B5:C5"/>
    <mergeCell ref="B6:C6"/>
    <mergeCell ref="B19:B29"/>
    <mergeCell ref="B10:B18"/>
    <mergeCell ref="B7:B9"/>
    <mergeCell ref="B33:C33"/>
    <mergeCell ref="B34:C34"/>
    <mergeCell ref="B35:C35"/>
    <mergeCell ref="B36:B38"/>
    <mergeCell ref="B48:B58"/>
    <mergeCell ref="B39:B47"/>
    <mergeCell ref="D63:E63"/>
    <mergeCell ref="F63:G63"/>
    <mergeCell ref="H63:I63"/>
    <mergeCell ref="B64:C64"/>
    <mergeCell ref="B66:B67"/>
    <mergeCell ref="B65:C65"/>
    <mergeCell ref="B63:C63"/>
    <mergeCell ref="B68:B76"/>
    <mergeCell ref="B77:B87"/>
    <mergeCell ref="B88:C88"/>
    <mergeCell ref="D88:E88"/>
    <mergeCell ref="H88:I88"/>
    <mergeCell ref="B89:C89"/>
    <mergeCell ref="D89:E89"/>
    <mergeCell ref="F89:G89"/>
    <mergeCell ref="H89:I89"/>
    <mergeCell ref="F88:G88"/>
  </mergeCells>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J103"/>
  <sheetViews>
    <sheetView workbookViewId="0">
      <selection activeCell="B103" sqref="B2:F103"/>
    </sheetView>
  </sheetViews>
  <sheetFormatPr defaultRowHeight="13.5"/>
  <cols>
    <col min="1" max="2" width="9" style="3024"/>
    <col min="3" max="3" width="63.625" style="3024" customWidth="1"/>
    <col min="4" max="4" width="39.5" style="3024" customWidth="1"/>
    <col min="5" max="5" width="13.75" style="3024" customWidth="1"/>
    <col min="6" max="6" width="9" style="3024"/>
    <col min="7" max="7" width="12.5" style="3024" customWidth="1"/>
    <col min="8" max="9" width="9" style="3024"/>
    <col min="10" max="10" width="11.625" style="3024" customWidth="1"/>
    <col min="11" max="16384" width="9" style="3024"/>
  </cols>
  <sheetData>
    <row r="1" spans="1:10" ht="22.5">
      <c r="A1" s="3392" t="s">
        <v>3415</v>
      </c>
      <c r="B1" s="3392"/>
      <c r="C1" s="3392"/>
      <c r="D1" s="3392"/>
      <c r="E1" s="3392"/>
      <c r="F1" s="3392"/>
      <c r="G1" s="3392"/>
    </row>
    <row r="2" spans="1:10" s="3026" customFormat="1" ht="27">
      <c r="A2" s="3011"/>
      <c r="B2" s="3025" t="s">
        <v>3207</v>
      </c>
      <c r="C2" s="3028" t="s">
        <v>3208</v>
      </c>
      <c r="D2" s="3029" t="s">
        <v>3414</v>
      </c>
      <c r="E2" s="3030" t="s">
        <v>3205</v>
      </c>
      <c r="F2" s="3030" t="s">
        <v>3206</v>
      </c>
      <c r="G2" s="3011" t="s">
        <v>3211</v>
      </c>
      <c r="I2" s="3026" t="s">
        <v>3205</v>
      </c>
      <c r="J2" s="3026" t="s">
        <v>3206</v>
      </c>
    </row>
    <row r="3" spans="1:10" s="3026" customFormat="1" ht="14.25">
      <c r="A3" s="3011"/>
      <c r="B3" s="3011">
        <v>1</v>
      </c>
      <c r="C3" s="3031" t="s">
        <v>3215</v>
      </c>
      <c r="D3" s="3032" t="s">
        <v>3416</v>
      </c>
      <c r="E3" s="3030">
        <v>139.15</v>
      </c>
      <c r="F3" s="3030">
        <v>58.69</v>
      </c>
      <c r="G3" s="3011"/>
    </row>
    <row r="4" spans="1:10">
      <c r="A4" s="3393" t="s">
        <v>3191</v>
      </c>
      <c r="B4" s="3011">
        <v>2</v>
      </c>
      <c r="C4" s="3033" t="s">
        <v>3213</v>
      </c>
      <c r="D4" s="3032" t="s">
        <v>3418</v>
      </c>
      <c r="E4" s="3030">
        <v>3161.6</v>
      </c>
      <c r="F4" s="3030">
        <v>1333.57</v>
      </c>
      <c r="G4" s="3011"/>
      <c r="H4" s="3027" t="s">
        <v>3214</v>
      </c>
      <c r="I4" s="3024">
        <v>286.79000000000002</v>
      </c>
      <c r="J4" s="3024">
        <v>19.510000000000002</v>
      </c>
    </row>
    <row r="5" spans="1:10">
      <c r="A5" s="3393"/>
      <c r="B5" s="3011">
        <v>3</v>
      </c>
      <c r="C5" s="3033" t="s">
        <v>3216</v>
      </c>
      <c r="D5" s="3032" t="s">
        <v>3419</v>
      </c>
      <c r="E5" s="3030">
        <v>177.71</v>
      </c>
      <c r="F5" s="3030">
        <v>74.959999999999994</v>
      </c>
      <c r="G5" s="3011"/>
      <c r="H5" s="3027" t="s">
        <v>3217</v>
      </c>
    </row>
    <row r="6" spans="1:10">
      <c r="A6" s="3393"/>
      <c r="B6" s="3011">
        <v>4</v>
      </c>
      <c r="C6" s="3033" t="s">
        <v>3218</v>
      </c>
      <c r="D6" s="3032" t="s">
        <v>3420</v>
      </c>
      <c r="E6" s="3030">
        <v>169.6</v>
      </c>
      <c r="F6" s="3030">
        <v>71.540000000000006</v>
      </c>
      <c r="G6" s="3011"/>
      <c r="H6" s="3027" t="s">
        <v>3219</v>
      </c>
    </row>
    <row r="7" spans="1:10">
      <c r="A7" s="3393"/>
      <c r="B7" s="3011">
        <v>5</v>
      </c>
      <c r="C7" s="3033" t="s">
        <v>3220</v>
      </c>
      <c r="D7" s="3032" t="s">
        <v>3421</v>
      </c>
      <c r="E7" s="3030">
        <v>180.67</v>
      </c>
      <c r="F7" s="3030">
        <v>76.209999999999994</v>
      </c>
      <c r="G7" s="3011"/>
      <c r="H7" s="3027" t="s">
        <v>3221</v>
      </c>
    </row>
    <row r="8" spans="1:10">
      <c r="A8" s="3393"/>
      <c r="B8" s="3011">
        <v>6</v>
      </c>
      <c r="C8" s="3033" t="s">
        <v>3222</v>
      </c>
      <c r="D8" s="3032" t="s">
        <v>3422</v>
      </c>
      <c r="E8" s="3030">
        <v>279.05</v>
      </c>
      <c r="F8" s="3030">
        <v>117.7</v>
      </c>
      <c r="G8" s="3011"/>
      <c r="H8" s="3027" t="s">
        <v>3223</v>
      </c>
    </row>
    <row r="9" spans="1:10">
      <c r="A9" s="3393"/>
      <c r="B9" s="3011">
        <v>7</v>
      </c>
      <c r="C9" s="3033" t="s">
        <v>3224</v>
      </c>
      <c r="D9" s="3032" t="s">
        <v>3423</v>
      </c>
      <c r="E9" s="3030">
        <v>44.57</v>
      </c>
      <c r="F9" s="3030">
        <v>18.8</v>
      </c>
      <c r="G9" s="3011"/>
      <c r="H9" s="3027" t="s">
        <v>3225</v>
      </c>
    </row>
    <row r="10" spans="1:10">
      <c r="A10" s="3393"/>
      <c r="B10" s="3011">
        <v>8</v>
      </c>
      <c r="C10" s="3033" t="s">
        <v>3226</v>
      </c>
      <c r="D10" s="3032" t="s">
        <v>3424</v>
      </c>
      <c r="E10" s="3030">
        <v>62.19</v>
      </c>
      <c r="F10" s="3030">
        <v>26.23</v>
      </c>
      <c r="G10" s="3011"/>
      <c r="H10" s="3027" t="s">
        <v>3227</v>
      </c>
    </row>
    <row r="11" spans="1:10">
      <c r="A11" s="3393"/>
      <c r="B11" s="3011">
        <v>9</v>
      </c>
      <c r="C11" s="3033" t="s">
        <v>3228</v>
      </c>
      <c r="D11" s="3032" t="s">
        <v>3425</v>
      </c>
      <c r="E11" s="3030">
        <v>50.02</v>
      </c>
      <c r="F11" s="3030">
        <v>21.1</v>
      </c>
      <c r="G11" s="3011"/>
      <c r="H11" s="3027" t="s">
        <v>3229</v>
      </c>
    </row>
    <row r="12" spans="1:10">
      <c r="A12" s="3393"/>
      <c r="B12" s="3011">
        <v>10</v>
      </c>
      <c r="C12" s="3033" t="s">
        <v>3230</v>
      </c>
      <c r="D12" s="3032" t="s">
        <v>3426</v>
      </c>
      <c r="E12" s="3030">
        <v>50.02</v>
      </c>
      <c r="F12" s="3030">
        <v>21.1</v>
      </c>
      <c r="G12" s="3011"/>
      <c r="H12" s="3027" t="s">
        <v>3231</v>
      </c>
    </row>
    <row r="13" spans="1:10">
      <c r="A13" s="3393"/>
      <c r="B13" s="3011">
        <v>11</v>
      </c>
      <c r="C13" s="3033" t="s">
        <v>3232</v>
      </c>
      <c r="D13" s="3032" t="s">
        <v>3427</v>
      </c>
      <c r="E13" s="3030">
        <v>50.02</v>
      </c>
      <c r="F13" s="3030">
        <v>21.1</v>
      </c>
      <c r="G13" s="3011"/>
      <c r="H13" s="3027" t="s">
        <v>3233</v>
      </c>
    </row>
    <row r="14" spans="1:10">
      <c r="A14" s="3393"/>
      <c r="B14" s="3011">
        <v>12</v>
      </c>
      <c r="C14" s="3033" t="s">
        <v>3234</v>
      </c>
      <c r="D14" s="3032" t="s">
        <v>3428</v>
      </c>
      <c r="E14" s="3030">
        <v>50.02</v>
      </c>
      <c r="F14" s="3030">
        <v>21.1</v>
      </c>
      <c r="G14" s="3011"/>
      <c r="H14" s="3027" t="s">
        <v>3235</v>
      </c>
    </row>
    <row r="15" spans="1:10">
      <c r="A15" s="3393"/>
      <c r="B15" s="3011">
        <v>13</v>
      </c>
      <c r="C15" s="3033" t="s">
        <v>3236</v>
      </c>
      <c r="D15" s="3032" t="s">
        <v>3429</v>
      </c>
      <c r="E15" s="3030">
        <v>50.02</v>
      </c>
      <c r="F15" s="3030">
        <v>21.1</v>
      </c>
      <c r="G15" s="3011"/>
      <c r="H15" s="3027" t="s">
        <v>3237</v>
      </c>
    </row>
    <row r="16" spans="1:10">
      <c r="A16" s="3393"/>
      <c r="B16" s="3011">
        <v>14</v>
      </c>
      <c r="C16" s="3033" t="s">
        <v>3238</v>
      </c>
      <c r="D16" s="3032" t="s">
        <v>3430</v>
      </c>
      <c r="E16" s="3030">
        <v>50.02</v>
      </c>
      <c r="F16" s="3030">
        <v>21.1</v>
      </c>
      <c r="G16" s="3011"/>
      <c r="H16" s="3027" t="s">
        <v>3239</v>
      </c>
    </row>
    <row r="17" spans="1:10">
      <c r="A17" s="3393"/>
      <c r="B17" s="3011">
        <v>15</v>
      </c>
      <c r="C17" s="3033" t="s">
        <v>3240</v>
      </c>
      <c r="D17" s="3032" t="s">
        <v>3431</v>
      </c>
      <c r="E17" s="3030">
        <v>31.36</v>
      </c>
      <c r="F17" s="3030">
        <v>13.23</v>
      </c>
      <c r="G17" s="3011"/>
      <c r="H17" s="3027" t="s">
        <v>3241</v>
      </c>
    </row>
    <row r="18" spans="1:10">
      <c r="A18" s="3393"/>
      <c r="B18" s="3011">
        <v>16</v>
      </c>
      <c r="C18" s="3033" t="s">
        <v>3242</v>
      </c>
      <c r="D18" s="3032" t="s">
        <v>3432</v>
      </c>
      <c r="E18" s="3030">
        <v>35.159999999999997</v>
      </c>
      <c r="F18" s="3030">
        <v>14.83</v>
      </c>
      <c r="G18" s="3011"/>
      <c r="H18" s="3027" t="s">
        <v>3243</v>
      </c>
    </row>
    <row r="19" spans="1:10">
      <c r="A19" s="3393"/>
      <c r="B19" s="3011">
        <v>17</v>
      </c>
      <c r="C19" s="3033" t="s">
        <v>3244</v>
      </c>
      <c r="D19" s="3032" t="s">
        <v>3516</v>
      </c>
      <c r="E19" s="3030">
        <v>35.159999999999997</v>
      </c>
      <c r="F19" s="3030">
        <v>14.83</v>
      </c>
      <c r="G19" s="3011"/>
      <c r="H19" s="3027" t="s">
        <v>3245</v>
      </c>
    </row>
    <row r="20" spans="1:10">
      <c r="A20" s="3393"/>
      <c r="B20" s="3011">
        <v>18</v>
      </c>
      <c r="C20" s="3033" t="s">
        <v>3246</v>
      </c>
      <c r="D20" s="3032" t="s">
        <v>3515</v>
      </c>
      <c r="E20" s="3030">
        <v>35.159999999999997</v>
      </c>
      <c r="F20" s="3030">
        <v>14.83</v>
      </c>
      <c r="G20" s="3011"/>
      <c r="H20" s="3027" t="s">
        <v>3247</v>
      </c>
    </row>
    <row r="21" spans="1:10">
      <c r="A21" s="3393"/>
      <c r="B21" s="3011">
        <v>19</v>
      </c>
      <c r="C21" s="3033" t="s">
        <v>3248</v>
      </c>
      <c r="D21" s="3032" t="s">
        <v>3514</v>
      </c>
      <c r="E21" s="3030">
        <v>35.159999999999997</v>
      </c>
      <c r="F21" s="3030">
        <v>14.83</v>
      </c>
      <c r="G21" s="3011"/>
      <c r="H21" s="3027" t="s">
        <v>3249</v>
      </c>
    </row>
    <row r="22" spans="1:10">
      <c r="A22" s="3393"/>
      <c r="B22" s="3011">
        <v>20</v>
      </c>
      <c r="C22" s="3033" t="s">
        <v>3250</v>
      </c>
      <c r="D22" s="3032" t="s">
        <v>3513</v>
      </c>
      <c r="E22" s="3030">
        <v>51.02</v>
      </c>
      <c r="F22" s="3030">
        <v>21.52</v>
      </c>
      <c r="G22" s="3011"/>
      <c r="H22" s="3027" t="s">
        <v>3251</v>
      </c>
    </row>
    <row r="23" spans="1:10">
      <c r="A23" s="3393"/>
      <c r="B23" s="3011">
        <v>21</v>
      </c>
      <c r="C23" s="3033" t="s">
        <v>3252</v>
      </c>
      <c r="D23" s="3032" t="s">
        <v>3512</v>
      </c>
      <c r="E23" s="3030">
        <v>58.3</v>
      </c>
      <c r="F23" s="3030">
        <v>24.59</v>
      </c>
      <c r="G23" s="3011"/>
      <c r="H23" s="3027" t="s">
        <v>3253</v>
      </c>
      <c r="I23" s="3024">
        <v>3161.6</v>
      </c>
      <c r="J23" s="3024">
        <v>1333.57</v>
      </c>
    </row>
    <row r="24" spans="1:10">
      <c r="A24" s="3393"/>
      <c r="B24" s="3011">
        <v>22</v>
      </c>
      <c r="C24" s="3033" t="s">
        <v>3254</v>
      </c>
      <c r="D24" s="3032" t="s">
        <v>3511</v>
      </c>
      <c r="E24" s="3030">
        <v>58.3</v>
      </c>
      <c r="F24" s="3030">
        <v>24.59</v>
      </c>
      <c r="G24" s="3011"/>
      <c r="H24" s="3027" t="s">
        <v>3255</v>
      </c>
    </row>
    <row r="25" spans="1:10">
      <c r="A25" s="3393"/>
      <c r="B25" s="3011">
        <v>23</v>
      </c>
      <c r="C25" s="3033" t="s">
        <v>3256</v>
      </c>
      <c r="D25" s="3032" t="s">
        <v>3510</v>
      </c>
      <c r="E25" s="3030">
        <v>81.72</v>
      </c>
      <c r="F25" s="3030">
        <v>34.47</v>
      </c>
      <c r="G25" s="3011"/>
      <c r="H25" s="3027" t="s">
        <v>3257</v>
      </c>
    </row>
    <row r="26" spans="1:10">
      <c r="A26" s="3393"/>
      <c r="B26" s="3011">
        <v>24</v>
      </c>
      <c r="C26" s="3033" t="s">
        <v>3258</v>
      </c>
      <c r="D26" s="3032" t="s">
        <v>3509</v>
      </c>
      <c r="E26" s="3030">
        <v>505.92</v>
      </c>
      <c r="F26" s="3030">
        <v>213.4</v>
      </c>
      <c r="G26" s="3011"/>
      <c r="H26" s="3027" t="s">
        <v>3259</v>
      </c>
    </row>
    <row r="27" spans="1:10">
      <c r="A27" s="3393"/>
      <c r="B27" s="3011">
        <v>25</v>
      </c>
      <c r="C27" s="3033" t="s">
        <v>3260</v>
      </c>
      <c r="D27" s="3032" t="s">
        <v>3508</v>
      </c>
      <c r="E27" s="3030">
        <v>59.43</v>
      </c>
      <c r="F27" s="3030">
        <v>25.07</v>
      </c>
      <c r="G27" s="3011"/>
      <c r="H27" s="3027" t="s">
        <v>3261</v>
      </c>
    </row>
    <row r="28" spans="1:10">
      <c r="A28" s="3393"/>
      <c r="B28" s="3011">
        <v>26</v>
      </c>
      <c r="C28" s="3033" t="s">
        <v>3262</v>
      </c>
      <c r="D28" s="3032" t="s">
        <v>3507</v>
      </c>
      <c r="E28" s="3030">
        <v>71.22</v>
      </c>
      <c r="F28" s="3030">
        <v>30.04</v>
      </c>
      <c r="G28" s="3011"/>
      <c r="H28" s="3027" t="s">
        <v>3263</v>
      </c>
    </row>
    <row r="29" spans="1:10">
      <c r="A29" s="3393"/>
      <c r="B29" s="3011">
        <v>27</v>
      </c>
      <c r="C29" s="3033" t="s">
        <v>3264</v>
      </c>
      <c r="D29" s="3032" t="s">
        <v>3506</v>
      </c>
      <c r="E29" s="3030">
        <v>75.760000000000005</v>
      </c>
      <c r="F29" s="3030">
        <v>31.96</v>
      </c>
      <c r="G29" s="3011"/>
      <c r="H29" s="3027" t="s">
        <v>3265</v>
      </c>
    </row>
    <row r="30" spans="1:10">
      <c r="A30" s="3393"/>
      <c r="B30" s="3011">
        <v>28</v>
      </c>
      <c r="C30" s="3033" t="s">
        <v>3266</v>
      </c>
      <c r="D30" s="3032" t="s">
        <v>3505</v>
      </c>
      <c r="E30" s="3030">
        <v>89.15</v>
      </c>
      <c r="F30" s="3030">
        <v>37.6</v>
      </c>
      <c r="G30" s="3011"/>
      <c r="H30" s="3027" t="s">
        <v>3267</v>
      </c>
    </row>
    <row r="31" spans="1:10">
      <c r="A31" s="3393"/>
      <c r="B31" s="3011">
        <v>29</v>
      </c>
      <c r="C31" s="3033" t="s">
        <v>3268</v>
      </c>
      <c r="D31" s="3032" t="s">
        <v>3504</v>
      </c>
      <c r="E31" s="3030">
        <v>89.15</v>
      </c>
      <c r="F31" s="3030">
        <v>37.6</v>
      </c>
      <c r="G31" s="3011"/>
      <c r="H31" s="3027" t="s">
        <v>3269</v>
      </c>
    </row>
    <row r="32" spans="1:10">
      <c r="A32" s="3393"/>
      <c r="B32" s="3011">
        <v>30</v>
      </c>
      <c r="C32" s="3033" t="s">
        <v>3270</v>
      </c>
      <c r="D32" s="3032" t="s">
        <v>3503</v>
      </c>
      <c r="E32" s="3030">
        <v>59.43</v>
      </c>
      <c r="F32" s="3030">
        <v>25.07</v>
      </c>
      <c r="G32" s="3011"/>
      <c r="H32" s="3027" t="s">
        <v>3271</v>
      </c>
    </row>
    <row r="33" spans="1:8">
      <c r="A33" s="3393"/>
      <c r="B33" s="3011">
        <v>31</v>
      </c>
      <c r="C33" s="3033" t="s">
        <v>3272</v>
      </c>
      <c r="D33" s="3032" t="s">
        <v>3502</v>
      </c>
      <c r="E33" s="3030">
        <v>59.43</v>
      </c>
      <c r="F33" s="3030">
        <v>25.07</v>
      </c>
      <c r="G33" s="3011"/>
      <c r="H33" s="3027" t="s">
        <v>3273</v>
      </c>
    </row>
    <row r="34" spans="1:8">
      <c r="A34" s="3393"/>
      <c r="B34" s="3011">
        <v>32</v>
      </c>
      <c r="C34" s="3033" t="s">
        <v>3274</v>
      </c>
      <c r="D34" s="3032" t="s">
        <v>3501</v>
      </c>
      <c r="E34" s="3030">
        <v>59.43</v>
      </c>
      <c r="F34" s="3030">
        <v>25.07</v>
      </c>
      <c r="G34" s="3011"/>
      <c r="H34" s="3027" t="s">
        <v>3275</v>
      </c>
    </row>
    <row r="35" spans="1:8">
      <c r="A35" s="3393"/>
      <c r="B35" s="3011">
        <v>33</v>
      </c>
      <c r="C35" s="3033" t="s">
        <v>3276</v>
      </c>
      <c r="D35" s="3032" t="s">
        <v>3500</v>
      </c>
      <c r="E35" s="3030">
        <v>59.43</v>
      </c>
      <c r="F35" s="3030">
        <v>25.07</v>
      </c>
      <c r="G35" s="3011"/>
      <c r="H35" s="3027" t="s">
        <v>3277</v>
      </c>
    </row>
    <row r="36" spans="1:8">
      <c r="A36" s="3393"/>
      <c r="B36" s="3011">
        <v>34</v>
      </c>
      <c r="C36" s="3033" t="s">
        <v>3278</v>
      </c>
      <c r="D36" s="3032" t="s">
        <v>3499</v>
      </c>
      <c r="E36" s="3030">
        <v>59.43</v>
      </c>
      <c r="F36" s="3030">
        <v>25.07</v>
      </c>
      <c r="G36" s="3011"/>
      <c r="H36" s="3027" t="s">
        <v>3279</v>
      </c>
    </row>
    <row r="37" spans="1:8">
      <c r="A37" s="3393"/>
      <c r="B37" s="3011">
        <v>35</v>
      </c>
      <c r="C37" s="3033" t="s">
        <v>3280</v>
      </c>
      <c r="D37" s="3032" t="s">
        <v>3498</v>
      </c>
      <c r="E37" s="3030">
        <v>59.43</v>
      </c>
      <c r="F37" s="3030">
        <v>25.07</v>
      </c>
      <c r="G37" s="3011"/>
      <c r="H37" s="3027" t="s">
        <v>3281</v>
      </c>
    </row>
    <row r="38" spans="1:8">
      <c r="A38" s="3393"/>
      <c r="B38" s="3011">
        <v>36</v>
      </c>
      <c r="C38" s="3033" t="s">
        <v>3282</v>
      </c>
      <c r="D38" s="3032" t="s">
        <v>3497</v>
      </c>
      <c r="E38" s="3030">
        <v>59.43</v>
      </c>
      <c r="F38" s="3030">
        <v>25.07</v>
      </c>
      <c r="G38" s="3011"/>
      <c r="H38" s="3027" t="s">
        <v>3283</v>
      </c>
    </row>
    <row r="39" spans="1:8">
      <c r="A39" s="3393"/>
      <c r="B39" s="3011">
        <v>37</v>
      </c>
      <c r="C39" s="3033" t="s">
        <v>3284</v>
      </c>
      <c r="D39" s="3032" t="s">
        <v>3496</v>
      </c>
      <c r="E39" s="3030">
        <v>59.43</v>
      </c>
      <c r="F39" s="3030">
        <v>25.07</v>
      </c>
      <c r="G39" s="3011"/>
      <c r="H39" s="3027" t="s">
        <v>3285</v>
      </c>
    </row>
    <row r="40" spans="1:8">
      <c r="A40" s="3393"/>
      <c r="B40" s="3011">
        <v>38</v>
      </c>
      <c r="C40" s="3033" t="s">
        <v>3286</v>
      </c>
      <c r="D40" s="3032" t="s">
        <v>3495</v>
      </c>
      <c r="E40" s="3030">
        <v>145.19999999999999</v>
      </c>
      <c r="F40" s="3030">
        <v>61.25</v>
      </c>
      <c r="G40" s="3011"/>
      <c r="H40" s="3027" t="s">
        <v>3287</v>
      </c>
    </row>
    <row r="41" spans="1:8">
      <c r="A41" s="3393"/>
      <c r="B41" s="3011">
        <v>39</v>
      </c>
      <c r="C41" s="3033" t="s">
        <v>3288</v>
      </c>
      <c r="D41" s="3032" t="s">
        <v>3494</v>
      </c>
      <c r="E41" s="3030">
        <v>50.91</v>
      </c>
      <c r="F41" s="3030">
        <v>21.47</v>
      </c>
      <c r="G41" s="3011"/>
      <c r="H41" s="3027" t="s">
        <v>3289</v>
      </c>
    </row>
    <row r="42" spans="1:8">
      <c r="A42" s="3393"/>
      <c r="B42" s="3011">
        <v>40</v>
      </c>
      <c r="C42" s="3033" t="s">
        <v>3290</v>
      </c>
      <c r="D42" s="3032" t="s">
        <v>3493</v>
      </c>
      <c r="E42" s="3030">
        <v>53.7</v>
      </c>
      <c r="F42" s="3030">
        <v>22.65</v>
      </c>
      <c r="G42" s="3011"/>
      <c r="H42" s="3027" t="s">
        <v>3291</v>
      </c>
    </row>
    <row r="43" spans="1:8">
      <c r="A43" s="3393"/>
      <c r="B43" s="3011">
        <v>41</v>
      </c>
      <c r="C43" s="3033" t="s">
        <v>3292</v>
      </c>
      <c r="D43" s="3032" t="s">
        <v>3492</v>
      </c>
      <c r="E43" s="3030">
        <v>56.48</v>
      </c>
      <c r="F43" s="3030">
        <v>23.82</v>
      </c>
      <c r="G43" s="3011"/>
      <c r="H43" s="3027" t="s">
        <v>3293</v>
      </c>
    </row>
    <row r="44" spans="1:8">
      <c r="A44" s="3393"/>
      <c r="B44" s="3011">
        <v>42</v>
      </c>
      <c r="C44" s="3033" t="s">
        <v>3294</v>
      </c>
      <c r="D44" s="3032" t="s">
        <v>3491</v>
      </c>
      <c r="E44" s="3030">
        <v>59.27</v>
      </c>
      <c r="F44" s="3030">
        <v>25</v>
      </c>
      <c r="G44" s="3011"/>
      <c r="H44" s="3027" t="s">
        <v>3295</v>
      </c>
    </row>
    <row r="45" spans="1:8">
      <c r="A45" s="3393"/>
      <c r="B45" s="3011">
        <v>43</v>
      </c>
      <c r="C45" s="3033" t="s">
        <v>3296</v>
      </c>
      <c r="D45" s="3032" t="s">
        <v>3490</v>
      </c>
      <c r="E45" s="3030">
        <v>62.06</v>
      </c>
      <c r="F45" s="3030">
        <v>26.18</v>
      </c>
      <c r="G45" s="3011"/>
      <c r="H45" s="3027" t="s">
        <v>3297</v>
      </c>
    </row>
    <row r="46" spans="1:8">
      <c r="A46" s="3393"/>
      <c r="B46" s="3011">
        <v>44</v>
      </c>
      <c r="C46" s="3033" t="s">
        <v>3298</v>
      </c>
      <c r="D46" s="3032" t="s">
        <v>3489</v>
      </c>
      <c r="E46" s="3030">
        <v>64.84</v>
      </c>
      <c r="F46" s="3030">
        <v>27.35</v>
      </c>
      <c r="G46" s="3011"/>
      <c r="H46" s="3027" t="s">
        <v>3299</v>
      </c>
    </row>
    <row r="47" spans="1:8">
      <c r="A47" s="3393"/>
      <c r="B47" s="3011">
        <v>45</v>
      </c>
      <c r="C47" s="3033" t="s">
        <v>3300</v>
      </c>
      <c r="D47" s="3032" t="s">
        <v>3488</v>
      </c>
      <c r="E47" s="3030">
        <v>138.03</v>
      </c>
      <c r="F47" s="3030">
        <v>58.22</v>
      </c>
      <c r="G47" s="3011"/>
      <c r="H47" s="3027" t="s">
        <v>3301</v>
      </c>
    </row>
    <row r="48" spans="1:8">
      <c r="A48" s="3393"/>
      <c r="B48" s="3011">
        <v>46</v>
      </c>
      <c r="C48" s="3033" t="s">
        <v>3302</v>
      </c>
      <c r="D48" s="3032" t="s">
        <v>3487</v>
      </c>
      <c r="E48" s="3030">
        <v>35.159999999999997</v>
      </c>
      <c r="F48" s="3030">
        <v>14.83</v>
      </c>
      <c r="G48" s="3011"/>
      <c r="H48" s="3027" t="s">
        <v>3303</v>
      </c>
    </row>
    <row r="49" spans="1:8">
      <c r="A49" s="3393"/>
      <c r="B49" s="3011">
        <v>47</v>
      </c>
      <c r="C49" s="3033" t="s">
        <v>3304</v>
      </c>
      <c r="D49" s="3032" t="s">
        <v>3486</v>
      </c>
      <c r="E49" s="3030">
        <v>35.159999999999997</v>
      </c>
      <c r="F49" s="3030">
        <v>14.83</v>
      </c>
      <c r="G49" s="3011"/>
      <c r="H49" s="3027" t="s">
        <v>3305</v>
      </c>
    </row>
    <row r="50" spans="1:8">
      <c r="A50" s="3393"/>
      <c r="B50" s="3011">
        <v>48</v>
      </c>
      <c r="C50" s="3033" t="s">
        <v>3306</v>
      </c>
      <c r="D50" s="3032" t="s">
        <v>3485</v>
      </c>
      <c r="E50" s="3030">
        <v>35.159999999999997</v>
      </c>
      <c r="F50" s="3030">
        <v>14.83</v>
      </c>
      <c r="G50" s="3011"/>
      <c r="H50" s="3027" t="s">
        <v>3307</v>
      </c>
    </row>
    <row r="51" spans="1:8">
      <c r="A51" s="3393"/>
      <c r="B51" s="3011">
        <v>49</v>
      </c>
      <c r="C51" s="3033" t="s">
        <v>3308</v>
      </c>
      <c r="D51" s="3032" t="s">
        <v>3484</v>
      </c>
      <c r="E51" s="3030">
        <v>35.159999999999997</v>
      </c>
      <c r="F51" s="3030">
        <v>14.83</v>
      </c>
      <c r="G51" s="3011"/>
      <c r="H51" s="3027" t="s">
        <v>3309</v>
      </c>
    </row>
    <row r="52" spans="1:8">
      <c r="A52" s="3393"/>
      <c r="B52" s="3011">
        <v>50</v>
      </c>
      <c r="C52" s="3033" t="s">
        <v>3310</v>
      </c>
      <c r="D52" s="3032" t="s">
        <v>3483</v>
      </c>
      <c r="E52" s="3030">
        <v>35.159999999999997</v>
      </c>
      <c r="F52" s="3030">
        <v>14.83</v>
      </c>
      <c r="G52" s="3011"/>
      <c r="H52" s="3027" t="s">
        <v>3311</v>
      </c>
    </row>
    <row r="53" spans="1:8">
      <c r="A53" s="3393"/>
      <c r="B53" s="3011">
        <v>51</v>
      </c>
      <c r="C53" s="3033" t="s">
        <v>3312</v>
      </c>
      <c r="D53" s="3032" t="s">
        <v>3482</v>
      </c>
      <c r="E53" s="3030">
        <v>35.159999999999997</v>
      </c>
      <c r="F53" s="3030">
        <v>14.83</v>
      </c>
      <c r="G53" s="3011"/>
      <c r="H53" s="3027" t="s">
        <v>3313</v>
      </c>
    </row>
    <row r="54" spans="1:8">
      <c r="A54" s="3393"/>
      <c r="B54" s="3011">
        <v>52</v>
      </c>
      <c r="C54" s="3033" t="s">
        <v>3314</v>
      </c>
      <c r="D54" s="3032" t="s">
        <v>3481</v>
      </c>
      <c r="E54" s="3030">
        <v>102.52</v>
      </c>
      <c r="F54" s="3030">
        <v>43.24</v>
      </c>
      <c r="G54" s="3011"/>
      <c r="H54" s="3027" t="s">
        <v>3315</v>
      </c>
    </row>
    <row r="55" spans="1:8">
      <c r="A55" s="3393"/>
      <c r="B55" s="3011">
        <v>53</v>
      </c>
      <c r="C55" s="3033" t="s">
        <v>3316</v>
      </c>
      <c r="D55" s="3032" t="s">
        <v>3480</v>
      </c>
      <c r="E55" s="3030">
        <v>33.43</v>
      </c>
      <c r="F55" s="3030">
        <v>14.1</v>
      </c>
      <c r="G55" s="3011"/>
      <c r="H55" s="3027" t="s">
        <v>3317</v>
      </c>
    </row>
    <row r="56" spans="1:8">
      <c r="A56" s="3393"/>
      <c r="B56" s="3011">
        <v>54</v>
      </c>
      <c r="C56" s="3033" t="s">
        <v>3318</v>
      </c>
      <c r="D56" s="3032" t="s">
        <v>3479</v>
      </c>
      <c r="E56" s="3030">
        <v>29.72</v>
      </c>
      <c r="F56" s="3030">
        <v>12.54</v>
      </c>
      <c r="G56" s="3011"/>
      <c r="H56" s="3027" t="s">
        <v>3319</v>
      </c>
    </row>
    <row r="57" spans="1:8">
      <c r="A57" s="3393"/>
      <c r="B57" s="3011">
        <v>55</v>
      </c>
      <c r="C57" s="3033" t="s">
        <v>3320</v>
      </c>
      <c r="D57" s="3032" t="s">
        <v>3478</v>
      </c>
      <c r="E57" s="3030">
        <v>29.72</v>
      </c>
      <c r="F57" s="3030">
        <v>12.54</v>
      </c>
      <c r="G57" s="3011"/>
      <c r="H57" s="3027" t="s">
        <v>3321</v>
      </c>
    </row>
    <row r="58" spans="1:8">
      <c r="A58" s="3393"/>
      <c r="B58" s="3011">
        <v>56</v>
      </c>
      <c r="C58" s="3033" t="s">
        <v>3322</v>
      </c>
      <c r="D58" s="3032" t="s">
        <v>3477</v>
      </c>
      <c r="E58" s="3030">
        <v>29.72</v>
      </c>
      <c r="F58" s="3030">
        <v>12.54</v>
      </c>
      <c r="G58" s="3011"/>
      <c r="H58" s="3027" t="s">
        <v>3323</v>
      </c>
    </row>
    <row r="59" spans="1:8">
      <c r="A59" s="3393"/>
      <c r="B59" s="3011">
        <v>57</v>
      </c>
      <c r="C59" s="3033" t="s">
        <v>3324</v>
      </c>
      <c r="D59" s="3032" t="s">
        <v>3476</v>
      </c>
      <c r="E59" s="3030">
        <v>44.57</v>
      </c>
      <c r="F59" s="3030">
        <v>18.8</v>
      </c>
      <c r="G59" s="3011"/>
      <c r="H59" s="3027" t="s">
        <v>3325</v>
      </c>
    </row>
    <row r="60" spans="1:8">
      <c r="A60" s="3393"/>
      <c r="B60" s="3011">
        <v>58</v>
      </c>
      <c r="C60" s="3033" t="s">
        <v>3326</v>
      </c>
      <c r="D60" s="3032" t="s">
        <v>3475</v>
      </c>
      <c r="E60" s="3030">
        <v>44.57</v>
      </c>
      <c r="F60" s="3030">
        <v>18.8</v>
      </c>
      <c r="G60" s="3011"/>
      <c r="H60" s="3027" t="s">
        <v>3327</v>
      </c>
    </row>
    <row r="61" spans="1:8">
      <c r="A61" s="3393"/>
      <c r="B61" s="3011">
        <v>59</v>
      </c>
      <c r="C61" s="3033" t="s">
        <v>3328</v>
      </c>
      <c r="D61" s="3032" t="s">
        <v>3474</v>
      </c>
      <c r="E61" s="3030">
        <v>44.57</v>
      </c>
      <c r="F61" s="3030">
        <v>18.8</v>
      </c>
      <c r="G61" s="3011"/>
      <c r="H61" s="3027" t="s">
        <v>3329</v>
      </c>
    </row>
    <row r="62" spans="1:8">
      <c r="A62" s="3393"/>
      <c r="B62" s="3011">
        <v>60</v>
      </c>
      <c r="C62" s="3033" t="s">
        <v>3330</v>
      </c>
      <c r="D62" s="3032" t="s">
        <v>3473</v>
      </c>
      <c r="E62" s="3030">
        <v>44.57</v>
      </c>
      <c r="F62" s="3030">
        <v>18.8</v>
      </c>
      <c r="G62" s="3011"/>
      <c r="H62" s="3027" t="s">
        <v>3331</v>
      </c>
    </row>
    <row r="63" spans="1:8">
      <c r="A63" s="3393"/>
      <c r="B63" s="3011">
        <v>61</v>
      </c>
      <c r="C63" s="3033" t="s">
        <v>3332</v>
      </c>
      <c r="D63" s="3032" t="s">
        <v>3472</v>
      </c>
      <c r="E63" s="3030">
        <v>44.57</v>
      </c>
      <c r="F63" s="3030">
        <v>18.8</v>
      </c>
      <c r="G63" s="3011"/>
      <c r="H63" s="3027" t="s">
        <v>3333</v>
      </c>
    </row>
    <row r="64" spans="1:8">
      <c r="A64" s="3393"/>
      <c r="B64" s="3011">
        <v>62</v>
      </c>
      <c r="C64" s="3033" t="s">
        <v>3334</v>
      </c>
      <c r="D64" s="3032" t="s">
        <v>3471</v>
      </c>
      <c r="E64" s="3030">
        <v>44.57</v>
      </c>
      <c r="F64" s="3030">
        <v>18.8</v>
      </c>
      <c r="G64" s="3011"/>
      <c r="H64" s="3027" t="s">
        <v>3335</v>
      </c>
    </row>
    <row r="65" spans="1:8">
      <c r="A65" s="3393"/>
      <c r="B65" s="3011">
        <v>63</v>
      </c>
      <c r="C65" s="3033" t="s">
        <v>3336</v>
      </c>
      <c r="D65" s="3032" t="s">
        <v>3470</v>
      </c>
      <c r="E65" s="3030">
        <v>29.72</v>
      </c>
      <c r="F65" s="3030">
        <v>12.54</v>
      </c>
      <c r="G65" s="3011"/>
      <c r="H65" s="3027" t="s">
        <v>3337</v>
      </c>
    </row>
    <row r="66" spans="1:8">
      <c r="A66" s="3393"/>
      <c r="B66" s="3011">
        <v>64</v>
      </c>
      <c r="C66" s="3033" t="s">
        <v>3338</v>
      </c>
      <c r="D66" s="3032" t="s">
        <v>3469</v>
      </c>
      <c r="E66" s="3030">
        <v>29.72</v>
      </c>
      <c r="F66" s="3030">
        <v>12.54</v>
      </c>
      <c r="G66" s="3011"/>
      <c r="H66" s="3027" t="s">
        <v>3339</v>
      </c>
    </row>
    <row r="67" spans="1:8">
      <c r="A67" s="3393"/>
      <c r="B67" s="3011">
        <v>65</v>
      </c>
      <c r="C67" s="3033" t="s">
        <v>3340</v>
      </c>
      <c r="D67" s="3032" t="s">
        <v>3468</v>
      </c>
      <c r="E67" s="3030">
        <v>66.86</v>
      </c>
      <c r="F67" s="3030">
        <v>28.2</v>
      </c>
      <c r="G67" s="3011"/>
      <c r="H67" s="3027" t="s">
        <v>3341</v>
      </c>
    </row>
    <row r="68" spans="1:8">
      <c r="A68" s="3393"/>
      <c r="B68" s="3011">
        <v>66</v>
      </c>
      <c r="C68" s="3033" t="s">
        <v>3342</v>
      </c>
      <c r="D68" s="3032" t="s">
        <v>3467</v>
      </c>
      <c r="E68" s="3030">
        <v>66.86</v>
      </c>
      <c r="F68" s="3030">
        <v>28.2</v>
      </c>
      <c r="G68" s="3011"/>
      <c r="H68" s="3027" t="s">
        <v>3343</v>
      </c>
    </row>
    <row r="69" spans="1:8">
      <c r="A69" s="3393"/>
      <c r="B69" s="3011">
        <v>67</v>
      </c>
      <c r="C69" s="3033" t="s">
        <v>3344</v>
      </c>
      <c r="D69" s="3032" t="s">
        <v>3466</v>
      </c>
      <c r="E69" s="3030">
        <v>54.78</v>
      </c>
      <c r="F69" s="3030">
        <v>23.11</v>
      </c>
      <c r="G69" s="3011"/>
      <c r="H69" s="3027" t="s">
        <v>3345</v>
      </c>
    </row>
    <row r="70" spans="1:8">
      <c r="A70" s="3393"/>
      <c r="B70" s="3011">
        <v>68</v>
      </c>
      <c r="C70" s="3033" t="s">
        <v>3346</v>
      </c>
      <c r="D70" s="3032" t="s">
        <v>3465</v>
      </c>
      <c r="E70" s="3030">
        <v>51.36</v>
      </c>
      <c r="F70" s="3030">
        <v>21.66</v>
      </c>
      <c r="G70" s="3011"/>
      <c r="H70" s="3027" t="s">
        <v>3347</v>
      </c>
    </row>
    <row r="71" spans="1:8">
      <c r="A71" s="3393"/>
      <c r="B71" s="3011">
        <v>69</v>
      </c>
      <c r="C71" s="3033" t="s">
        <v>3348</v>
      </c>
      <c r="D71" s="3032" t="s">
        <v>3464</v>
      </c>
      <c r="E71" s="3030">
        <v>44.57</v>
      </c>
      <c r="F71" s="3030">
        <v>18.8</v>
      </c>
      <c r="G71" s="3011"/>
      <c r="H71" s="3027" t="s">
        <v>3349</v>
      </c>
    </row>
    <row r="72" spans="1:8">
      <c r="A72" s="3393"/>
      <c r="B72" s="3011">
        <v>70</v>
      </c>
      <c r="C72" s="3033" t="s">
        <v>3350</v>
      </c>
      <c r="D72" s="3032" t="s">
        <v>3463</v>
      </c>
      <c r="E72" s="3030">
        <v>452.91</v>
      </c>
      <c r="F72" s="3030">
        <v>191.04</v>
      </c>
      <c r="G72" s="3011"/>
      <c r="H72" s="3027" t="s">
        <v>3351</v>
      </c>
    </row>
    <row r="73" spans="1:8">
      <c r="A73" s="3393"/>
      <c r="B73" s="3011">
        <v>71</v>
      </c>
      <c r="C73" s="3033" t="s">
        <v>3352</v>
      </c>
      <c r="D73" s="3032" t="s">
        <v>3462</v>
      </c>
      <c r="E73" s="3030">
        <v>166.29</v>
      </c>
      <c r="F73" s="3030">
        <v>70.14</v>
      </c>
      <c r="G73" s="3011"/>
      <c r="H73" s="3027" t="s">
        <v>3353</v>
      </c>
    </row>
    <row r="74" spans="1:8">
      <c r="A74" s="3393"/>
      <c r="B74" s="3011">
        <v>72</v>
      </c>
      <c r="C74" s="3033" t="s">
        <v>3354</v>
      </c>
      <c r="D74" s="3032" t="s">
        <v>3461</v>
      </c>
      <c r="E74" s="3030">
        <v>175.09</v>
      </c>
      <c r="F74" s="3030">
        <v>73.849999999999994</v>
      </c>
      <c r="G74" s="3011"/>
      <c r="H74" s="3027" t="s">
        <v>3355</v>
      </c>
    </row>
    <row r="75" spans="1:8">
      <c r="A75" s="3393"/>
      <c r="B75" s="3011">
        <v>73</v>
      </c>
      <c r="C75" s="3033" t="s">
        <v>3356</v>
      </c>
      <c r="D75" s="3032" t="s">
        <v>3460</v>
      </c>
      <c r="E75" s="3030">
        <v>176.31</v>
      </c>
      <c r="F75" s="3030">
        <v>74.37</v>
      </c>
      <c r="G75" s="3011"/>
      <c r="H75" s="3027" t="s">
        <v>3357</v>
      </c>
    </row>
    <row r="76" spans="1:8">
      <c r="A76" s="3393"/>
      <c r="B76" s="3011">
        <v>74</v>
      </c>
      <c r="C76" s="3033" t="s">
        <v>3358</v>
      </c>
      <c r="D76" s="3032" t="s">
        <v>3459</v>
      </c>
      <c r="E76" s="3030">
        <v>175.09</v>
      </c>
      <c r="F76" s="3030">
        <v>73.849999999999994</v>
      </c>
      <c r="G76" s="3011"/>
      <c r="H76" s="3027" t="s">
        <v>3359</v>
      </c>
    </row>
    <row r="77" spans="1:8">
      <c r="A77" s="3393"/>
      <c r="B77" s="3011">
        <v>75</v>
      </c>
      <c r="C77" s="3033" t="s">
        <v>3360</v>
      </c>
      <c r="D77" s="3032" t="s">
        <v>3458</v>
      </c>
      <c r="E77" s="3030">
        <v>142.41999999999999</v>
      </c>
      <c r="F77" s="3030">
        <v>60.07</v>
      </c>
      <c r="G77" s="3011"/>
      <c r="H77" s="3027" t="s">
        <v>3361</v>
      </c>
    </row>
    <row r="78" spans="1:8">
      <c r="A78" s="3393"/>
      <c r="B78" s="3011">
        <v>76</v>
      </c>
      <c r="C78" s="3033" t="s">
        <v>3362</v>
      </c>
      <c r="D78" s="3032" t="s">
        <v>3457</v>
      </c>
      <c r="E78" s="3030">
        <v>70.569999999999993</v>
      </c>
      <c r="F78" s="3030">
        <v>29.77</v>
      </c>
      <c r="G78" s="3011"/>
      <c r="H78" s="3027" t="s">
        <v>3363</v>
      </c>
    </row>
    <row r="79" spans="1:8">
      <c r="A79" s="3393"/>
      <c r="B79" s="3011">
        <v>77</v>
      </c>
      <c r="C79" s="3033" t="s">
        <v>3364</v>
      </c>
      <c r="D79" s="3032" t="s">
        <v>3456</v>
      </c>
      <c r="E79" s="3030">
        <v>114.9</v>
      </c>
      <c r="F79" s="3030">
        <v>48.46</v>
      </c>
      <c r="G79" s="3011"/>
      <c r="H79" s="3027" t="s">
        <v>3365</v>
      </c>
    </row>
    <row r="80" spans="1:8">
      <c r="A80" s="3393"/>
      <c r="B80" s="3011">
        <v>78</v>
      </c>
      <c r="C80" s="3033" t="s">
        <v>3366</v>
      </c>
      <c r="D80" s="3032" t="s">
        <v>3455</v>
      </c>
      <c r="E80" s="3030">
        <v>114.9</v>
      </c>
      <c r="F80" s="3030">
        <v>48.46</v>
      </c>
      <c r="G80" s="3011"/>
      <c r="H80" s="3027" t="s">
        <v>3367</v>
      </c>
    </row>
    <row r="81" spans="1:10">
      <c r="A81" s="3393"/>
      <c r="B81" s="3011">
        <v>79</v>
      </c>
      <c r="C81" s="3033" t="s">
        <v>3368</v>
      </c>
      <c r="D81" s="3032" t="s">
        <v>3454</v>
      </c>
      <c r="E81" s="3030">
        <v>114.9</v>
      </c>
      <c r="F81" s="3030">
        <v>48.46</v>
      </c>
      <c r="G81" s="3011"/>
      <c r="H81" s="3027" t="s">
        <v>3369</v>
      </c>
    </row>
    <row r="82" spans="1:10">
      <c r="A82" s="3393"/>
      <c r="B82" s="3011">
        <v>80</v>
      </c>
      <c r="C82" s="3033" t="s">
        <v>3370</v>
      </c>
      <c r="D82" s="3032" t="s">
        <v>3453</v>
      </c>
      <c r="E82" s="3030">
        <v>300.63</v>
      </c>
      <c r="F82" s="3030">
        <v>126.81</v>
      </c>
      <c r="G82" s="3011"/>
      <c r="H82" s="3027" t="s">
        <v>3371</v>
      </c>
    </row>
    <row r="83" spans="1:10">
      <c r="A83" s="3393"/>
      <c r="B83" s="3011">
        <v>81</v>
      </c>
      <c r="C83" s="3033" t="s">
        <v>3372</v>
      </c>
      <c r="D83" s="3032" t="s">
        <v>3452</v>
      </c>
      <c r="E83" s="3030">
        <v>121.13</v>
      </c>
      <c r="F83" s="3030">
        <v>5.87</v>
      </c>
      <c r="G83" s="3011"/>
      <c r="H83" s="3027" t="s">
        <v>3373</v>
      </c>
    </row>
    <row r="84" spans="1:10">
      <c r="A84" s="3393"/>
      <c r="B84" s="3011">
        <v>82</v>
      </c>
      <c r="C84" s="3033" t="s">
        <v>3374</v>
      </c>
      <c r="D84" s="3032" t="s">
        <v>3451</v>
      </c>
      <c r="E84" s="3030">
        <v>75.989999999999995</v>
      </c>
      <c r="F84" s="3030">
        <v>3.68</v>
      </c>
      <c r="G84" s="3011"/>
      <c r="H84" s="3027" t="s">
        <v>3375</v>
      </c>
    </row>
    <row r="85" spans="1:10">
      <c r="A85" s="3393"/>
      <c r="B85" s="3011">
        <v>83</v>
      </c>
      <c r="C85" s="3033" t="s">
        <v>3376</v>
      </c>
      <c r="D85" s="3032" t="s">
        <v>3450</v>
      </c>
      <c r="E85" s="3030">
        <v>100.74</v>
      </c>
      <c r="F85" s="3030">
        <v>4.88</v>
      </c>
      <c r="G85" s="3011"/>
      <c r="H85" s="3027" t="s">
        <v>3377</v>
      </c>
    </row>
    <row r="86" spans="1:10">
      <c r="A86" s="3393"/>
      <c r="B86" s="3011">
        <v>84</v>
      </c>
      <c r="C86" s="3033" t="s">
        <v>3378</v>
      </c>
      <c r="D86" s="3032" t="s">
        <v>3449</v>
      </c>
      <c r="E86" s="3030">
        <v>167.19</v>
      </c>
      <c r="F86" s="3030">
        <v>8.1</v>
      </c>
      <c r="G86" s="3011"/>
      <c r="H86" s="3027" t="s">
        <v>3379</v>
      </c>
    </row>
    <row r="87" spans="1:10">
      <c r="A87" s="3393"/>
      <c r="B87" s="3011">
        <v>85</v>
      </c>
      <c r="C87" s="3033" t="s">
        <v>3380</v>
      </c>
      <c r="D87" s="3032" t="s">
        <v>3448</v>
      </c>
      <c r="E87" s="3030">
        <v>125.68</v>
      </c>
      <c r="F87" s="3030">
        <v>6.09</v>
      </c>
      <c r="G87" s="3011"/>
      <c r="H87" s="3027" t="s">
        <v>3381</v>
      </c>
    </row>
    <row r="88" spans="1:10">
      <c r="A88" s="3393"/>
      <c r="B88" s="3011">
        <v>86</v>
      </c>
      <c r="C88" s="3033" t="s">
        <v>3382</v>
      </c>
      <c r="D88" s="3032" t="s">
        <v>3447</v>
      </c>
      <c r="E88" s="3030">
        <v>100.74</v>
      </c>
      <c r="F88" s="3030">
        <v>4.88</v>
      </c>
      <c r="G88" s="3011"/>
      <c r="H88" s="3027" t="s">
        <v>3383</v>
      </c>
    </row>
    <row r="89" spans="1:10">
      <c r="A89" s="3393"/>
      <c r="B89" s="3011">
        <v>87</v>
      </c>
      <c r="C89" s="3033" t="s">
        <v>3384</v>
      </c>
      <c r="D89" s="3032" t="s">
        <v>3446</v>
      </c>
      <c r="E89" s="3030">
        <v>75.989999999999995</v>
      </c>
      <c r="F89" s="3030">
        <v>3.68</v>
      </c>
      <c r="G89" s="3011"/>
      <c r="H89" s="3027" t="s">
        <v>3385</v>
      </c>
    </row>
    <row r="90" spans="1:10">
      <c r="A90" s="3393"/>
      <c r="B90" s="3011">
        <v>88</v>
      </c>
      <c r="C90" s="3033" t="s">
        <v>3386</v>
      </c>
      <c r="D90" s="3032" t="s">
        <v>3445</v>
      </c>
      <c r="E90" s="3030">
        <v>119.84</v>
      </c>
      <c r="F90" s="3030">
        <v>5.8</v>
      </c>
      <c r="G90" s="3011"/>
      <c r="H90" s="3027" t="s">
        <v>3387</v>
      </c>
    </row>
    <row r="91" spans="1:10">
      <c r="A91" s="3393"/>
      <c r="B91" s="3011">
        <v>89</v>
      </c>
      <c r="C91" s="3033" t="s">
        <v>3388</v>
      </c>
      <c r="D91" s="3032" t="s">
        <v>3444</v>
      </c>
      <c r="E91" s="3030">
        <v>286.79000000000002</v>
      </c>
      <c r="F91" s="3030">
        <v>19.510000000000002</v>
      </c>
      <c r="G91" s="3011"/>
      <c r="H91" s="3027" t="s">
        <v>3389</v>
      </c>
    </row>
    <row r="92" spans="1:10">
      <c r="A92" s="3393"/>
      <c r="B92" s="3011">
        <v>90</v>
      </c>
      <c r="C92" s="3033" t="s">
        <v>3390</v>
      </c>
      <c r="D92" s="3032" t="s">
        <v>3443</v>
      </c>
      <c r="E92" s="3030">
        <v>225.24</v>
      </c>
      <c r="F92" s="3030">
        <v>15.33</v>
      </c>
      <c r="G92" s="3011"/>
      <c r="H92" s="3027" t="s">
        <v>3391</v>
      </c>
    </row>
    <row r="93" spans="1:10">
      <c r="A93" s="3393"/>
      <c r="B93" s="3011">
        <v>91</v>
      </c>
      <c r="C93" s="3033" t="s">
        <v>3392</v>
      </c>
      <c r="D93" s="3032" t="s">
        <v>3442</v>
      </c>
      <c r="E93" s="3030">
        <v>265.33999999999997</v>
      </c>
      <c r="F93" s="3030">
        <v>18.05</v>
      </c>
      <c r="G93" s="3011"/>
      <c r="H93" s="3027" t="s">
        <v>3393</v>
      </c>
      <c r="I93" s="3024">
        <v>166.29</v>
      </c>
      <c r="J93" s="3024">
        <v>70.14</v>
      </c>
    </row>
    <row r="94" spans="1:10">
      <c r="A94" s="3393"/>
      <c r="B94" s="3011">
        <v>92</v>
      </c>
      <c r="C94" s="3033" t="s">
        <v>3394</v>
      </c>
      <c r="D94" s="3032" t="s">
        <v>3441</v>
      </c>
      <c r="E94" s="3030">
        <v>270.51</v>
      </c>
      <c r="F94" s="3030">
        <v>18.41</v>
      </c>
      <c r="G94" s="3011"/>
      <c r="H94" s="3027" t="s">
        <v>3395</v>
      </c>
    </row>
    <row r="95" spans="1:10">
      <c r="A95" s="3393"/>
      <c r="B95" s="3011">
        <v>93</v>
      </c>
      <c r="C95" s="3033" t="s">
        <v>3396</v>
      </c>
      <c r="D95" s="3032" t="s">
        <v>3440</v>
      </c>
      <c r="E95" s="3030">
        <v>288.14999999999998</v>
      </c>
      <c r="F95" s="3030">
        <v>19.61</v>
      </c>
      <c r="G95" s="3011"/>
      <c r="H95" s="3027" t="s">
        <v>3397</v>
      </c>
    </row>
    <row r="96" spans="1:10">
      <c r="A96" s="3393"/>
      <c r="B96" s="3011">
        <v>94</v>
      </c>
      <c r="C96" s="3033" t="s">
        <v>3398</v>
      </c>
      <c r="D96" s="3032" t="s">
        <v>3439</v>
      </c>
      <c r="E96" s="3030">
        <v>153.97999999999999</v>
      </c>
      <c r="F96" s="3030">
        <v>10.48</v>
      </c>
      <c r="G96" s="3011"/>
      <c r="H96" s="3027" t="s">
        <v>3399</v>
      </c>
    </row>
    <row r="97" spans="1:8">
      <c r="A97" s="3393"/>
      <c r="B97" s="3011">
        <v>95</v>
      </c>
      <c r="C97" s="3033" t="s">
        <v>3400</v>
      </c>
      <c r="D97" s="3032" t="s">
        <v>3438</v>
      </c>
      <c r="E97" s="3030">
        <v>124.19</v>
      </c>
      <c r="F97" s="3030">
        <v>8.4499999999999993</v>
      </c>
      <c r="G97" s="3011"/>
      <c r="H97" s="3027" t="s">
        <v>3401</v>
      </c>
    </row>
    <row r="98" spans="1:8">
      <c r="A98" s="3393"/>
      <c r="B98" s="3011">
        <v>96</v>
      </c>
      <c r="C98" s="3033" t="s">
        <v>3402</v>
      </c>
      <c r="D98" s="3032" t="s">
        <v>3437</v>
      </c>
      <c r="E98" s="3030">
        <v>181.08</v>
      </c>
      <c r="F98" s="3030">
        <v>12.32</v>
      </c>
      <c r="G98" s="3011"/>
      <c r="H98" s="3027" t="s">
        <v>3403</v>
      </c>
    </row>
    <row r="99" spans="1:8">
      <c r="A99" s="3393"/>
      <c r="B99" s="3011">
        <v>97</v>
      </c>
      <c r="C99" s="3033" t="s">
        <v>3404</v>
      </c>
      <c r="D99" s="3032" t="s">
        <v>3436</v>
      </c>
      <c r="E99" s="3030">
        <v>181.08</v>
      </c>
      <c r="F99" s="3030">
        <v>12.32</v>
      </c>
      <c r="G99" s="3011"/>
      <c r="H99" s="3027" t="s">
        <v>3405</v>
      </c>
    </row>
    <row r="100" spans="1:8">
      <c r="A100" s="3393"/>
      <c r="B100" s="3011">
        <v>98</v>
      </c>
      <c r="C100" s="3033" t="s">
        <v>3406</v>
      </c>
      <c r="D100" s="3032" t="s">
        <v>3435</v>
      </c>
      <c r="E100" s="3030">
        <v>124.22</v>
      </c>
      <c r="F100" s="3030">
        <v>8.4499999999999993</v>
      </c>
      <c r="G100" s="3011"/>
      <c r="H100" s="3027" t="s">
        <v>3407</v>
      </c>
    </row>
    <row r="101" spans="1:8">
      <c r="A101" s="3393"/>
      <c r="B101" s="3011">
        <v>99</v>
      </c>
      <c r="C101" s="3033" t="s">
        <v>3408</v>
      </c>
      <c r="D101" s="3032" t="s">
        <v>3434</v>
      </c>
      <c r="E101" s="3030">
        <v>153.97999999999999</v>
      </c>
      <c r="F101" s="3030">
        <v>10.48</v>
      </c>
      <c r="G101" s="3011"/>
      <c r="H101" s="3027" t="s">
        <v>3409</v>
      </c>
    </row>
    <row r="102" spans="1:8">
      <c r="A102" s="3393"/>
      <c r="B102" s="3011">
        <v>100</v>
      </c>
      <c r="C102" s="3033" t="s">
        <v>3410</v>
      </c>
      <c r="D102" s="3032" t="s">
        <v>3433</v>
      </c>
      <c r="E102" s="3030">
        <v>181.08</v>
      </c>
      <c r="F102" s="3030">
        <v>12.32</v>
      </c>
      <c r="G102" s="3011"/>
      <c r="H102" s="3027" t="s">
        <v>3411</v>
      </c>
    </row>
    <row r="103" spans="1:8">
      <c r="B103" s="3035" t="s">
        <v>3412</v>
      </c>
      <c r="C103" s="3033"/>
      <c r="D103" s="3034"/>
      <c r="E103" s="3030">
        <f>SUM(E3:E102)</f>
        <v>13306.869999999999</v>
      </c>
      <c r="F103" s="3030">
        <f>SUM(F4:F102)</f>
        <v>4361.2799999999988</v>
      </c>
      <c r="G103" s="3011"/>
    </row>
  </sheetData>
  <mergeCells count="2">
    <mergeCell ref="A1:G1"/>
    <mergeCell ref="A4:A102"/>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52" t="str">
        <f>IF(项目基本情况!B9="房地产市场价值","估价结果一览表","结果表-2")</f>
        <v>结果表-2</v>
      </c>
      <c r="B1" s="3052"/>
      <c r="C1" s="3052"/>
      <c r="D1" s="3052"/>
      <c r="E1" s="3052"/>
      <c r="F1" s="3052"/>
      <c r="G1" s="3052"/>
      <c r="H1" s="3052"/>
      <c r="I1" s="3052"/>
    </row>
    <row r="2" spans="1:9" ht="30" customHeight="1" thickTop="1">
      <c r="A2" s="3053" t="s">
        <v>1640</v>
      </c>
      <c r="B2" s="3053" t="s">
        <v>1641</v>
      </c>
      <c r="C2" s="3053" t="s">
        <v>1642</v>
      </c>
      <c r="D2" s="3053" t="str">
        <f>结果表!D116</f>
        <v>出让国有建设用地使用权价值</v>
      </c>
      <c r="E2" s="3053"/>
      <c r="F2" s="3053" t="str">
        <f>结果表!F116</f>
        <v>在建建筑物价值</v>
      </c>
      <c r="G2" s="3053"/>
      <c r="H2" s="3053" t="str">
        <f>IF(项目基本情况!B9="房地产市场价值","房地产市场价值","房地产价值")</f>
        <v>房地产价值</v>
      </c>
      <c r="I2" s="3053"/>
    </row>
    <row r="3" spans="1:9" ht="15">
      <c r="A3" s="3054"/>
      <c r="B3" s="3054"/>
      <c r="C3" s="3054"/>
      <c r="D3" s="1046" t="s">
        <v>1637</v>
      </c>
      <c r="E3" s="1046" t="s">
        <v>1643</v>
      </c>
      <c r="F3" s="1046" t="s">
        <v>1637</v>
      </c>
      <c r="G3" s="1046" t="s">
        <v>1638</v>
      </c>
      <c r="H3" s="1046" t="s">
        <v>1637</v>
      </c>
      <c r="I3" s="1046" t="s">
        <v>1638</v>
      </c>
    </row>
    <row r="4" spans="1:9" ht="15">
      <c r="A4" s="1975" t="str">
        <f>项目基本情况!S2</f>
        <v>湖北省武汉市房地产</v>
      </c>
      <c r="B4" s="1046">
        <f>项目基本情况!C17</f>
        <v>13306.869999999999</v>
      </c>
      <c r="C4" s="1046">
        <f>项目基本情况!C18</f>
        <v>4361.28</v>
      </c>
      <c r="D4" s="1046" t="e">
        <f ca="1">结果表!D118</f>
        <v>#REF!</v>
      </c>
      <c r="E4" s="1046" t="e">
        <f ca="1">结果表!E118</f>
        <v>#REF!</v>
      </c>
      <c r="F4" s="1046" t="e">
        <f ca="1">结果表!F118</f>
        <v>#REF!</v>
      </c>
      <c r="G4" s="1046" t="e">
        <f ca="1">结果表!G118</f>
        <v>#REF!</v>
      </c>
      <c r="H4" s="1046">
        <f ca="1">结果表!H118</f>
        <v>424</v>
      </c>
      <c r="I4" s="1046">
        <f ca="1">结果表!I118</f>
        <v>30471</v>
      </c>
    </row>
    <row r="5" spans="1:9" ht="30" customHeight="1">
      <c r="A5" s="3054" t="s">
        <v>1639</v>
      </c>
      <c r="B5" s="3054"/>
      <c r="C5" s="3054"/>
      <c r="D5" s="3055" t="e">
        <f ca="1">结果表!D119</f>
        <v>#REF!</v>
      </c>
      <c r="E5" s="3055"/>
      <c r="F5" s="3055" t="e">
        <f ca="1">结果表!F119</f>
        <v>#REF!</v>
      </c>
      <c r="G5" s="3055"/>
      <c r="H5" s="3055" t="str">
        <f ca="1">结果表!H119</f>
        <v>肆佰贰拾肆万元整</v>
      </c>
      <c r="I5" s="3055"/>
    </row>
    <row r="6" spans="1:9" ht="15.75">
      <c r="A6" s="3056" t="str">
        <f>结果表!A120</f>
        <v>估价师知悉的法定优先受偿款</v>
      </c>
      <c r="B6" s="3056"/>
      <c r="C6" s="3056"/>
      <c r="D6" s="3056">
        <f>结果表!D120</f>
        <v>0</v>
      </c>
      <c r="E6" s="3056"/>
      <c r="F6" s="3056"/>
      <c r="G6" s="3056"/>
      <c r="H6" s="3056"/>
      <c r="I6" s="3056"/>
    </row>
    <row r="7" spans="1:9" ht="15">
      <c r="A7" s="3054" t="s">
        <v>1639</v>
      </c>
      <c r="B7" s="3054"/>
      <c r="C7" s="3054"/>
      <c r="D7" s="3057" t="str">
        <f>结果表!D121</f>
        <v>零元整</v>
      </c>
      <c r="E7" s="3058"/>
      <c r="F7" s="3058"/>
      <c r="G7" s="3058"/>
      <c r="H7" s="3058"/>
      <c r="I7" s="3059"/>
    </row>
    <row r="8" spans="1:9" ht="15.75">
      <c r="A8" s="3056" t="str">
        <f>结果表!A122</f>
        <v>房地产抵押价值</v>
      </c>
      <c r="B8" s="3056"/>
      <c r="C8" s="3056"/>
      <c r="D8" s="3056">
        <f ca="1">结果表!D122</f>
        <v>424</v>
      </c>
      <c r="E8" s="3056"/>
      <c r="F8" s="3056"/>
      <c r="G8" s="3056"/>
      <c r="H8" s="3056"/>
      <c r="I8" s="3056"/>
    </row>
    <row r="9" spans="1:9" ht="15">
      <c r="A9" s="3054" t="s">
        <v>1639</v>
      </c>
      <c r="B9" s="3054"/>
      <c r="C9" s="3054"/>
      <c r="D9" s="3055" t="str">
        <f ca="1">结果表!D123</f>
        <v>肆佰贰拾肆万元整</v>
      </c>
      <c r="E9" s="3055"/>
      <c r="F9" s="3055"/>
      <c r="G9" s="3055"/>
      <c r="H9" s="3055"/>
      <c r="I9" s="3055"/>
    </row>
    <row r="10" spans="1:9" ht="15.75">
      <c r="A10" s="3056" t="str">
        <f>结果表!A124</f>
        <v/>
      </c>
      <c r="B10" s="3056"/>
      <c r="C10" s="3056"/>
      <c r="D10" s="3056" t="str">
        <f>结果表!D124</f>
        <v>——</v>
      </c>
      <c r="E10" s="3056"/>
      <c r="F10" s="3056"/>
      <c r="G10" s="3056"/>
      <c r="H10" s="3056"/>
      <c r="I10" s="3056"/>
    </row>
    <row r="11" spans="1:9" ht="15">
      <c r="A11" s="3054" t="s">
        <v>1639</v>
      </c>
      <c r="B11" s="3054"/>
      <c r="C11" s="3054"/>
      <c r="D11" s="3055" t="e">
        <f>结果表!D125</f>
        <v>#VALUE!</v>
      </c>
      <c r="E11" s="3055"/>
      <c r="F11" s="3055"/>
      <c r="G11" s="3055"/>
      <c r="H11" s="3055"/>
      <c r="I11" s="3055"/>
    </row>
    <row r="12" spans="1:9" ht="15.75">
      <c r="A12" s="3056" t="str">
        <f>结果表!A126</f>
        <v/>
      </c>
      <c r="B12" s="3056"/>
      <c r="C12" s="3056"/>
      <c r="D12" s="3056" t="str">
        <f>结果表!D126</f>
        <v>——</v>
      </c>
      <c r="E12" s="3056"/>
      <c r="F12" s="3056"/>
      <c r="G12" s="3056"/>
      <c r="H12" s="3056"/>
      <c r="I12" s="3056"/>
    </row>
    <row r="13" spans="1:9" ht="15.75" thickBot="1">
      <c r="A13" s="3060" t="s">
        <v>1639</v>
      </c>
      <c r="B13" s="3060"/>
      <c r="C13" s="3060"/>
      <c r="D13" s="3061" t="e">
        <f>结果表!D127</f>
        <v>#VALUE!</v>
      </c>
      <c r="E13" s="3061"/>
      <c r="F13" s="3061"/>
      <c r="G13" s="3061"/>
      <c r="H13" s="3061"/>
      <c r="I13" s="3061"/>
    </row>
    <row r="14" spans="1:9" ht="15" thickTop="1">
      <c r="A14" s="3062" t="s">
        <v>1644</v>
      </c>
      <c r="B14" s="3062"/>
      <c r="C14" s="3062"/>
      <c r="D14" s="3062"/>
      <c r="E14" s="3062"/>
      <c r="F14" s="3062"/>
      <c r="G14" s="3062"/>
      <c r="H14" s="3062"/>
      <c r="I14" s="3062"/>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63" t="s">
        <v>1661</v>
      </c>
      <c r="B1" s="3063"/>
      <c r="C1" s="3063"/>
      <c r="D1" s="3063"/>
    </row>
    <row r="2" spans="1:4" ht="18">
      <c r="A2" s="3064" t="s">
        <v>1645</v>
      </c>
      <c r="B2" s="3064"/>
      <c r="C2" s="3064"/>
      <c r="D2" s="3064"/>
    </row>
    <row r="3" spans="1:4" ht="18.75">
      <c r="A3" s="1979" t="s">
        <v>1646</v>
      </c>
      <c r="B3" s="1979" t="s">
        <v>1647</v>
      </c>
      <c r="C3" s="1979" t="s">
        <v>1648</v>
      </c>
      <c r="D3" s="1979" t="s">
        <v>1649</v>
      </c>
    </row>
    <row r="4" spans="1:4" ht="56.25" customHeight="1">
      <c r="A4" s="1980" t="str">
        <f>项目基本情况!B4</f>
        <v>郑燚</v>
      </c>
      <c r="B4" s="1981">
        <f ca="1">项目基本情况!C4</f>
        <v>1120070131</v>
      </c>
      <c r="C4" s="1982"/>
      <c r="D4" s="1983" t="s">
        <v>1650</v>
      </c>
    </row>
    <row r="5" spans="1:4" ht="56.25" customHeight="1">
      <c r="A5" s="1980" t="str">
        <f>项目基本情况!D4</f>
        <v>王萌</v>
      </c>
      <c r="B5" s="1981">
        <f ca="1">项目基本情况!E4</f>
        <v>1120130048</v>
      </c>
      <c r="C5" s="1984"/>
      <c r="D5" s="1983" t="s">
        <v>1650</v>
      </c>
    </row>
    <row r="6" spans="1:4" ht="18">
      <c r="A6" s="3064" t="s">
        <v>1651</v>
      </c>
      <c r="B6" s="3064"/>
      <c r="C6" s="3064"/>
      <c r="D6" s="3064"/>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065" t="s">
        <v>1654</v>
      </c>
      <c r="B11" s="3066"/>
      <c r="C11" s="3066"/>
      <c r="D11" s="3066"/>
    </row>
    <row r="12" spans="1:4" ht="15.75">
      <c r="A12" s="30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7"/>
      <c r="C12" s="3067"/>
      <c r="D12" s="3067"/>
    </row>
    <row r="13" spans="1:4" ht="30" customHeight="1">
      <c r="A13" s="30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7"/>
      <c r="C13" s="3067"/>
      <c r="D13" s="3067"/>
    </row>
    <row r="14" spans="1:4" ht="15.75" customHeight="1">
      <c r="A14" s="3066" t="str">
        <f>IF(项目基本情况!B8="抵押","4.本次评估估价师所知悉的法定优先受偿款情况说明如下：","——")</f>
        <v>4.本次评估估价师所知悉的法定优先受偿款情况说明如下：</v>
      </c>
      <c r="B14" s="3067"/>
      <c r="C14" s="3067"/>
      <c r="D14" s="3067"/>
    </row>
    <row r="15" spans="1:4" ht="42" customHeight="1">
      <c r="A15" s="3066" t="str">
        <f>IF(项目基本情况!B8="抵押","（1）"&amp;CONCATENATE(项目基本情况!L20,项目基本情况!L21,项目基本情况!L22),"——")</f>
        <v>（1）根据估价对象《房屋所有权证》原件、《国有土地使用权》原件，截至价值时点，估价对象抵押权未见登记。</v>
      </c>
      <c r="B15" s="3066"/>
      <c r="C15" s="3066"/>
      <c r="D15" s="3066"/>
    </row>
    <row r="16" spans="1:4" ht="30" customHeight="1">
      <c r="A16" s="3069" t="s">
        <v>1655</v>
      </c>
      <c r="B16" s="3069"/>
      <c r="C16" s="3069"/>
      <c r="D16" s="3069"/>
    </row>
    <row r="17" spans="1:4" ht="144" customHeight="1">
      <c r="A17" s="3069" t="s">
        <v>1656</v>
      </c>
      <c r="B17" s="3069"/>
      <c r="C17" s="3069"/>
      <c r="D17" s="3069"/>
    </row>
    <row r="18" spans="1:4" ht="15.75" customHeight="1">
      <c r="A18" s="3066" t="str">
        <f>IF(项目基本情况!B8="抵押",结果表!K120,"——")</f>
        <v>故，本次评估不存在估价师知悉的法定优先受偿款</v>
      </c>
      <c r="B18" s="3066"/>
      <c r="C18" s="3066"/>
      <c r="D18" s="3066"/>
    </row>
    <row r="19" spans="1:4" ht="46.5" customHeight="1">
      <c r="A19" s="30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6"/>
      <c r="C19" s="3066"/>
      <c r="D19" s="3066"/>
    </row>
    <row r="20" spans="1:4" ht="57.75" customHeight="1">
      <c r="A20" s="30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6"/>
      <c r="C20" s="3066"/>
      <c r="D20" s="3066"/>
    </row>
    <row r="21" spans="1:4" ht="57.75" customHeight="1">
      <c r="A21" s="30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0"/>
      <c r="C21" s="3070"/>
      <c r="D21" s="3070"/>
    </row>
    <row r="22" spans="1:4" ht="18.75" customHeight="1">
      <c r="A22" s="3071" t="s">
        <v>1657</v>
      </c>
      <c r="B22" s="3071"/>
      <c r="C22" s="3071"/>
      <c r="D22" s="3071"/>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68">
        <v>42551</v>
      </c>
      <c r="D31" s="306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77" t="s">
        <v>1668</v>
      </c>
      <c r="B15" s="3072" t="s">
        <v>136</v>
      </c>
      <c r="C15" s="3073"/>
    </row>
    <row r="16" spans="1:7" ht="13.5">
      <c r="A16" s="3078"/>
      <c r="B16" s="3072" t="s">
        <v>69</v>
      </c>
      <c r="C16" s="3073"/>
    </row>
    <row r="17" spans="1:3" ht="13.5">
      <c r="A17" s="3078"/>
      <c r="B17" s="3075" t="s">
        <v>1669</v>
      </c>
      <c r="C17" s="2002" t="s">
        <v>1668</v>
      </c>
    </row>
    <row r="18" spans="1:3" ht="13.5">
      <c r="A18" s="3078"/>
      <c r="B18" s="3075"/>
      <c r="C18" s="2002" t="s">
        <v>1670</v>
      </c>
    </row>
    <row r="19" spans="1:3" ht="13.5">
      <c r="A19" s="3078"/>
      <c r="B19" s="3075"/>
      <c r="C19" s="2002" t="s">
        <v>1671</v>
      </c>
    </row>
    <row r="20" spans="1:3" ht="13.5">
      <c r="A20" s="3079"/>
      <c r="B20" s="3074" t="s">
        <v>1672</v>
      </c>
      <c r="C20" s="3073"/>
    </row>
    <row r="21" spans="1:3" ht="13.5">
      <c r="A21" s="2003" t="s">
        <v>1673</v>
      </c>
      <c r="B21" s="2004"/>
      <c r="C21" s="2005"/>
    </row>
    <row r="22" spans="1:3" ht="13.5">
      <c r="A22" s="3076" t="s">
        <v>1674</v>
      </c>
      <c r="B22" s="3074" t="s">
        <v>1675</v>
      </c>
      <c r="C22" s="3073"/>
    </row>
    <row r="23" spans="1:3" ht="13.5">
      <c r="A23" s="3076"/>
      <c r="B23" s="3074" t="s">
        <v>1676</v>
      </c>
      <c r="C23" s="3073"/>
    </row>
    <row r="24" spans="1:3" ht="13.5">
      <c r="A24" s="3076"/>
      <c r="B24" s="3074" t="s">
        <v>1677</v>
      </c>
      <c r="C24" s="3073"/>
    </row>
    <row r="25" spans="1:3" ht="13.5">
      <c r="A25" s="3076"/>
      <c r="B25" s="3075" t="s">
        <v>1678</v>
      </c>
      <c r="C25" s="2002" t="s">
        <v>1679</v>
      </c>
    </row>
    <row r="26" spans="1:3" ht="13.5">
      <c r="A26" s="3076"/>
      <c r="B26" s="3075"/>
      <c r="C26" s="2002" t="s">
        <v>1680</v>
      </c>
    </row>
    <row r="27" spans="1:3" ht="13.5">
      <c r="A27" s="3076"/>
      <c r="B27" s="3075"/>
      <c r="C27" s="2002" t="s">
        <v>1681</v>
      </c>
    </row>
    <row r="28" spans="1:3" ht="13.5">
      <c r="A28" s="3076"/>
      <c r="B28" s="3075"/>
      <c r="C28" s="2002" t="s">
        <v>1682</v>
      </c>
    </row>
    <row r="29" spans="1:3" ht="13.5">
      <c r="A29" s="3076"/>
      <c r="B29" s="3075"/>
      <c r="C29" s="2002" t="s">
        <v>1683</v>
      </c>
    </row>
    <row r="30" spans="1:3" ht="13.5">
      <c r="A30" s="3076"/>
      <c r="B30" s="3075"/>
      <c r="C30" s="2002" t="s">
        <v>1684</v>
      </c>
    </row>
    <row r="31" spans="1:3" ht="13.5">
      <c r="A31" s="3076"/>
      <c r="B31" s="3075"/>
      <c r="C31" s="2002" t="s">
        <v>1685</v>
      </c>
    </row>
    <row r="32" spans="1:3" ht="13.5">
      <c r="A32" s="3076"/>
      <c r="B32" s="3075"/>
      <c r="C32" s="2002" t="s">
        <v>1686</v>
      </c>
    </row>
    <row r="33" spans="1:3" ht="13.5">
      <c r="A33" s="3076"/>
      <c r="B33" s="3075"/>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43249</v>
      </c>
      <c r="C2" s="1021" t="s">
        <v>826</v>
      </c>
      <c r="D2" s="1021"/>
    </row>
    <row r="3" spans="1:6" ht="24" customHeight="1">
      <c r="A3" s="1022" t="s">
        <v>827</v>
      </c>
      <c r="B3" s="1023" t="s">
        <v>828</v>
      </c>
      <c r="C3" s="2344" t="s">
        <v>829</v>
      </c>
      <c r="D3" s="2347" t="s">
        <v>830</v>
      </c>
      <c r="E3" s="1024" t="s">
        <v>831</v>
      </c>
      <c r="F3" s="1023" t="s">
        <v>829</v>
      </c>
    </row>
    <row r="4" spans="1:6" ht="24" customHeight="1">
      <c r="A4" s="1704" t="s">
        <v>832</v>
      </c>
      <c r="B4" s="1024">
        <f ca="1">IF(C4&lt;B2,"已过期",1119970066)</f>
        <v>1119970066</v>
      </c>
      <c r="C4" s="2345">
        <v>43849</v>
      </c>
      <c r="D4" s="2348" t="s">
        <v>832</v>
      </c>
      <c r="E4" s="1024">
        <f ca="1">IF(F4&lt;B2,"已过期",96010014)</f>
        <v>96010014</v>
      </c>
      <c r="F4" s="1032">
        <v>47118</v>
      </c>
    </row>
    <row r="5" spans="1:6" ht="24" customHeight="1">
      <c r="A5" s="1704" t="s">
        <v>833</v>
      </c>
      <c r="B5" s="1024">
        <f ca="1">IF(C5&lt;B2,"已过期",1119970074)</f>
        <v>1119970074</v>
      </c>
      <c r="C5" s="2345">
        <v>43849</v>
      </c>
      <c r="D5" s="2348" t="s">
        <v>833</v>
      </c>
      <c r="E5" s="1024">
        <f ca="1">IF(F5&lt;B2,"已过期",2002110027)</f>
        <v>2002110027</v>
      </c>
      <c r="F5" s="1032">
        <v>46752</v>
      </c>
    </row>
    <row r="6" spans="1:6" ht="24" customHeight="1">
      <c r="A6" s="1704" t="s">
        <v>834</v>
      </c>
      <c r="B6" s="1024">
        <f ca="1">IF(C6&lt;B2,"已过期",1119970111)</f>
        <v>1119970111</v>
      </c>
      <c r="C6" s="2345">
        <v>43849</v>
      </c>
      <c r="D6" s="2348" t="s">
        <v>834</v>
      </c>
      <c r="E6" s="1024">
        <f ca="1">IF(F6&lt;B2,"已过期",94010078)</f>
        <v>94010078</v>
      </c>
      <c r="F6" s="1032">
        <v>46387</v>
      </c>
    </row>
    <row r="7" spans="1:6" ht="24" customHeight="1">
      <c r="A7" s="1704" t="s">
        <v>835</v>
      </c>
      <c r="B7" s="1024">
        <f ca="1">IF(C7&lt;B2,"已过期",1120050019)</f>
        <v>1120050019</v>
      </c>
      <c r="C7" s="2345">
        <v>43359</v>
      </c>
      <c r="D7" s="2348" t="s">
        <v>835</v>
      </c>
      <c r="E7" s="1024">
        <f ca="1">IF(F7&lt;B2,"已过期",2002110030)</f>
        <v>2002110030</v>
      </c>
      <c r="F7" s="1032">
        <v>46387</v>
      </c>
    </row>
    <row r="8" spans="1:6" ht="24" customHeight="1">
      <c r="A8" s="1704" t="s">
        <v>836</v>
      </c>
      <c r="B8" s="1024">
        <f ca="1">IF(C8&lt;B2,"已过期",1120000080)</f>
        <v>1120000080</v>
      </c>
      <c r="C8" s="2345">
        <v>43849</v>
      </c>
      <c r="D8" s="2348" t="s">
        <v>836</v>
      </c>
      <c r="E8" s="1024">
        <f ca="1">IF(F8&lt;B2,"已过期",2000110082)</f>
        <v>2000110082</v>
      </c>
      <c r="F8" s="1032">
        <v>46387</v>
      </c>
    </row>
    <row r="9" spans="1:6" ht="24" customHeight="1">
      <c r="A9" s="1704" t="s">
        <v>837</v>
      </c>
      <c r="B9" s="1024">
        <f ca="1">IF(C9&lt;B2,"已过期",1419970001)</f>
        <v>1419970001</v>
      </c>
      <c r="C9" s="2345">
        <v>43867</v>
      </c>
      <c r="D9" s="2348" t="s">
        <v>837</v>
      </c>
      <c r="E9" s="1024">
        <f ca="1">IF(F9&lt;B2,"已过期",2002110125)</f>
        <v>2002110125</v>
      </c>
      <c r="F9" s="1032">
        <v>47118</v>
      </c>
    </row>
    <row r="10" spans="1:6" ht="24" customHeight="1">
      <c r="A10" s="1704" t="s">
        <v>838</v>
      </c>
      <c r="B10" s="1024">
        <f ca="1">IF(C10&lt;B2,"已过期",1120060040)</f>
        <v>1120060040</v>
      </c>
      <c r="C10" s="2345">
        <v>43483</v>
      </c>
      <c r="D10" s="2348" t="s">
        <v>838</v>
      </c>
      <c r="E10" s="1024">
        <f ca="1">IF(F10&lt;B2,"已过期",2004110096)</f>
        <v>2004110096</v>
      </c>
      <c r="F10" s="1032">
        <v>47118</v>
      </c>
    </row>
    <row r="11" spans="1:6" ht="24" customHeight="1">
      <c r="A11" s="1704" t="s">
        <v>839</v>
      </c>
      <c r="B11" s="1024">
        <f ca="1">IF(C11&lt;B2,"已过期",1120100036)</f>
        <v>1120100036</v>
      </c>
      <c r="C11" s="2345">
        <v>43622</v>
      </c>
      <c r="D11" s="2348" t="s">
        <v>839</v>
      </c>
      <c r="E11" s="1024">
        <f ca="1">IF(F11&lt;B2,"已过期",2010110070)</f>
        <v>2010110070</v>
      </c>
      <c r="F11" s="1032">
        <v>47907</v>
      </c>
    </row>
    <row r="12" spans="1:6" ht="24" customHeight="1">
      <c r="A12" s="1704"/>
      <c r="B12" s="1024"/>
      <c r="C12" s="2345"/>
      <c r="D12" s="2348"/>
      <c r="E12" s="1024"/>
      <c r="F12" s="1024"/>
    </row>
    <row r="13" spans="1:6" ht="24" customHeight="1">
      <c r="A13" s="1704" t="s">
        <v>840</v>
      </c>
      <c r="B13" s="1024">
        <f ca="1">IF(C13&lt;B2,"已过期",1120070131)</f>
        <v>1120070131</v>
      </c>
      <c r="C13" s="2345">
        <v>43814</v>
      </c>
      <c r="D13" s="2348" t="s">
        <v>840</v>
      </c>
      <c r="E13" s="1024">
        <v>2014110011</v>
      </c>
      <c r="F13" s="1032">
        <v>49302</v>
      </c>
    </row>
    <row r="14" spans="1:6" ht="24" customHeight="1">
      <c r="A14" s="1704" t="s">
        <v>841</v>
      </c>
      <c r="B14" s="1024">
        <f ca="1">IF(C14&lt;B2,"已过期",1120130020)</f>
        <v>1120130020</v>
      </c>
      <c r="C14" s="2345">
        <v>43622</v>
      </c>
      <c r="D14" s="2348"/>
      <c r="E14" s="1024"/>
      <c r="F14" s="1024"/>
    </row>
    <row r="15" spans="1:6" ht="24" customHeight="1">
      <c r="A15" s="1705" t="s">
        <v>1149</v>
      </c>
      <c r="B15" s="1024">
        <v>1120070085</v>
      </c>
      <c r="C15" s="2345">
        <v>43814</v>
      </c>
      <c r="D15" s="2349" t="s">
        <v>1149</v>
      </c>
      <c r="E15" s="1024">
        <v>2004110128</v>
      </c>
      <c r="F15" s="1025">
        <v>47118</v>
      </c>
    </row>
    <row r="16" spans="1:6" ht="24" customHeight="1">
      <c r="A16" s="1704" t="s">
        <v>842</v>
      </c>
      <c r="B16" s="1024">
        <f ca="1">IF(C16&lt;B2,"已过期",1120140022)</f>
        <v>1120140022</v>
      </c>
      <c r="C16" s="2345">
        <v>44029</v>
      </c>
      <c r="D16" s="2348" t="s">
        <v>842</v>
      </c>
      <c r="E16" s="1024">
        <f ca="1">IF(F16&lt;B2,"已过期",2008110059)</f>
        <v>2008110059</v>
      </c>
      <c r="F16" s="1032">
        <v>47177</v>
      </c>
    </row>
    <row r="17" spans="1:7" ht="24" customHeight="1">
      <c r="A17" s="1704"/>
      <c r="B17" s="1024"/>
      <c r="C17" s="2345"/>
      <c r="D17" s="2348"/>
      <c r="E17" s="1024"/>
      <c r="F17" s="1032"/>
    </row>
    <row r="18" spans="1:7" ht="24" customHeight="1">
      <c r="A18" s="1704"/>
      <c r="B18" s="1024"/>
      <c r="C18" s="2345"/>
      <c r="D18" s="2348"/>
      <c r="E18" s="1024"/>
      <c r="F18" s="1032"/>
    </row>
    <row r="19" spans="1:7" ht="24" customHeight="1">
      <c r="A19" s="1704"/>
      <c r="B19" s="1024"/>
      <c r="C19" s="2345"/>
      <c r="D19" s="2348"/>
      <c r="E19" s="1024"/>
      <c r="F19" s="1024"/>
    </row>
    <row r="20" spans="1:7" ht="24" customHeight="1">
      <c r="A20" s="1704"/>
      <c r="B20" s="1024"/>
      <c r="C20" s="2345"/>
      <c r="D20" s="2348"/>
      <c r="E20" s="1024"/>
      <c r="F20" s="1024"/>
    </row>
    <row r="21" spans="1:7" ht="24" customHeight="1">
      <c r="A21" s="1704"/>
      <c r="B21" s="1024"/>
      <c r="C21" s="2345"/>
      <c r="D21" s="2348" t="s">
        <v>843</v>
      </c>
      <c r="E21" s="1024">
        <f ca="1">IF(F21&lt;B2,"已过期",2011110090)</f>
        <v>2011110090</v>
      </c>
      <c r="F21" s="1032">
        <v>48302</v>
      </c>
    </row>
    <row r="22" spans="1:7" ht="24" customHeight="1">
      <c r="A22" s="1704" t="s">
        <v>844</v>
      </c>
      <c r="B22" s="1024">
        <f ca="1">IF(C22&lt;B2,"已过期",1120020033)</f>
        <v>1120020033</v>
      </c>
      <c r="C22" s="2345">
        <v>43304</v>
      </c>
      <c r="D22" s="2348" t="s">
        <v>844</v>
      </c>
      <c r="E22" s="1024">
        <f ca="1">IF(F22&lt;B2,"已过期",2000110137)</f>
        <v>2000110137</v>
      </c>
      <c r="F22" s="1032">
        <v>46387</v>
      </c>
    </row>
    <row r="23" spans="1:7" ht="24" customHeight="1">
      <c r="A23" s="1704" t="s">
        <v>845</v>
      </c>
      <c r="B23" s="1024">
        <f ca="1">IF(C23&lt;B2,"已过期",1120130048)</f>
        <v>1120130048</v>
      </c>
      <c r="C23" s="2345">
        <v>43686</v>
      </c>
      <c r="D23" s="2348"/>
      <c r="E23" s="1024"/>
      <c r="F23" s="1024"/>
    </row>
    <row r="24" spans="1:7" s="1026" customFormat="1" ht="24" customHeight="1">
      <c r="A24" s="1705" t="s">
        <v>1333</v>
      </c>
      <c r="B24" s="1705" t="s">
        <v>1333</v>
      </c>
      <c r="C24" s="2346" t="s">
        <v>1333</v>
      </c>
      <c r="D24" s="2349" t="s">
        <v>1333</v>
      </c>
      <c r="E24" s="1705" t="s">
        <v>1333</v>
      </c>
      <c r="F24" s="1705" t="s">
        <v>1333</v>
      </c>
    </row>
    <row r="25" spans="1:7" ht="24" customHeight="1">
      <c r="A25" s="3080" t="s">
        <v>846</v>
      </c>
      <c r="B25" s="3080"/>
      <c r="C25" s="3080"/>
      <c r="D25" s="3080"/>
      <c r="E25" s="3080"/>
      <c r="F25" s="3080"/>
      <c r="G25" s="3080"/>
    </row>
    <row r="26" spans="1:7" s="1027" customFormat="1" ht="24" customHeight="1">
      <c r="A26" s="3081" t="s">
        <v>847</v>
      </c>
      <c r="B26" s="3081"/>
      <c r="C26" s="3082"/>
      <c r="D26" s="3083" t="s">
        <v>848</v>
      </c>
      <c r="E26" s="3081"/>
      <c r="F26" s="3081"/>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2018-05-29T08:35:30Z</dcterms:modified>
</cp:coreProperties>
</file>