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6665" windowHeight="886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收益法 (倒)" sheetId="77" r:id="rId35"/>
    <sheet name="估算结果一览表" sheetId="78" r:id="rId36"/>
    <sheet name="Sheet1" sheetId="79"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4">'收益法 (倒)'!$A$1:$I$41</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8" i="34" l="1"/>
  <c r="A4" i="78"/>
  <c r="A16" i="78" s="1"/>
  <c r="A3" i="78"/>
  <c r="A15" i="78" s="1"/>
  <c r="AM7" i="1"/>
  <c r="AL7" i="1"/>
  <c r="AK7" i="1"/>
  <c r="W7" i="1"/>
  <c r="V7" i="1"/>
  <c r="Q7" i="1"/>
  <c r="N7" i="1"/>
  <c r="L7" i="1"/>
  <c r="L6" i="1"/>
  <c r="I7" i="1"/>
  <c r="F20" i="6"/>
  <c r="G48" i="34" l="1"/>
  <c r="C37" i="34" l="1"/>
  <c r="C25" i="34"/>
  <c r="I11" i="34"/>
  <c r="G11" i="34"/>
  <c r="E11" i="34"/>
  <c r="I4" i="77"/>
  <c r="E93" i="79"/>
  <c r="G19" i="6"/>
  <c r="K13" i="3"/>
  <c r="D37" i="43" s="1"/>
  <c r="H28" i="77"/>
  <c r="H27" i="77"/>
  <c r="H26" i="77"/>
  <c r="I20" i="77"/>
  <c r="I17" i="77"/>
  <c r="H15" i="77"/>
  <c r="H14" i="77"/>
  <c r="H12" i="77"/>
  <c r="I11" i="77"/>
  <c r="H10" i="77"/>
  <c r="H9" i="77"/>
  <c r="I7" i="77"/>
  <c r="I6" i="77"/>
  <c r="I8" i="77"/>
  <c r="I13" i="3" l="1"/>
  <c r="F15" i="78"/>
  <c r="G16" i="78" s="1"/>
  <c r="D15" i="78"/>
  <c r="C36" i="77"/>
  <c r="E28" i="77"/>
  <c r="C21" i="77"/>
  <c r="E19" i="77" s="1"/>
  <c r="F19" i="77"/>
  <c r="F16" i="77"/>
  <c r="E15" i="77"/>
  <c r="C15" i="77"/>
  <c r="M10" i="77"/>
  <c r="P9" i="77"/>
  <c r="O10" i="77" s="1"/>
  <c r="M4" i="77"/>
  <c r="D29" i="43" l="1"/>
  <c r="F19" i="6"/>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AA6" i="71" s="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AB5" i="71" s="1"/>
  <c r="P13" i="71"/>
  <c r="O13" i="71"/>
  <c r="N13" i="71"/>
  <c r="L3" i="71"/>
  <c r="AH3" i="71" s="1"/>
  <c r="K3" i="71"/>
  <c r="AG3" i="71" s="1"/>
  <c r="J3" i="71"/>
  <c r="AE3" i="71" s="1"/>
  <c r="I3" i="71"/>
  <c r="AH14" i="71"/>
  <c r="AG14" i="71"/>
  <c r="AE14" i="71"/>
  <c r="AF14" i="71"/>
  <c r="AD14" i="71"/>
  <c r="Q14" i="71"/>
  <c r="Q15" i="71"/>
  <c r="P14" i="71"/>
  <c r="P15" i="71"/>
  <c r="AA15" i="71" s="1"/>
  <c r="O14" i="71"/>
  <c r="O15" i="71"/>
  <c r="N14" i="71"/>
  <c r="N15" i="71"/>
  <c r="N16" i="71"/>
  <c r="AH15" i="71"/>
  <c r="AG15" i="71"/>
  <c r="AE15" i="71"/>
  <c r="AF15" i="71"/>
  <c r="AD15" i="71"/>
  <c r="Q16" i="71"/>
  <c r="P16" i="71"/>
  <c r="O16" i="71"/>
  <c r="D18" i="71"/>
  <c r="AH16" i="71"/>
  <c r="AG16" i="71"/>
  <c r="AE16" i="71"/>
  <c r="AF16" i="71" s="1"/>
  <c r="AD16" i="71"/>
  <c r="AD17" i="71"/>
  <c r="AG17" i="71"/>
  <c r="AH17" i="71"/>
  <c r="AE17" i="71"/>
  <c r="AF17" i="71"/>
  <c r="N17" i="71"/>
  <c r="B17" i="71" s="1"/>
  <c r="B16" i="71" s="1"/>
  <c r="B15" i="71" s="1"/>
  <c r="B14" i="71" s="1"/>
  <c r="B13" i="71" s="1"/>
  <c r="B12" i="71" s="1"/>
  <c r="B11" i="71" s="1"/>
  <c r="B10" i="71" s="1"/>
  <c r="Q17" i="71"/>
  <c r="P17" i="71"/>
  <c r="O17" i="71"/>
  <c r="C17" i="71"/>
  <c r="C16" i="71"/>
  <c r="Q18" i="71"/>
  <c r="F17" i="71"/>
  <c r="F16" i="71"/>
  <c r="F15" i="71"/>
  <c r="P18" i="71"/>
  <c r="O18" i="71"/>
  <c r="N18"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B59" i="72" s="1"/>
  <c r="A19" i="62"/>
  <c r="A12" i="62"/>
  <c r="B58" i="72" s="1"/>
  <c r="A120" i="9"/>
  <c r="H2" i="52"/>
  <c r="A1" i="52"/>
  <c r="A3" i="53"/>
  <c r="Q19" i="71"/>
  <c r="P19" i="71"/>
  <c r="O19" i="71"/>
  <c r="N19"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0" i="43" s="1"/>
  <c r="AI12" i="43"/>
  <c r="AH9" i="43"/>
  <c r="AH12" i="43"/>
  <c r="AG9" i="43"/>
  <c r="AG10" i="43" s="1"/>
  <c r="AG12" i="43"/>
  <c r="AF9" i="43"/>
  <c r="AF12" i="43"/>
  <c r="AE9" i="43"/>
  <c r="AE10" i="43" s="1"/>
  <c r="AE12" i="43"/>
  <c r="AD9" i="43"/>
  <c r="AD12" i="43"/>
  <c r="AC9" i="43"/>
  <c r="AC12" i="43"/>
  <c r="AB9" i="43"/>
  <c r="AB12" i="43"/>
  <c r="AA9" i="43"/>
  <c r="AA12" i="43"/>
  <c r="Z9" i="43"/>
  <c r="Z12" i="43"/>
  <c r="AA10" i="43"/>
  <c r="AC10" i="43"/>
  <c r="Z10" i="43"/>
  <c r="AB10" i="43"/>
  <c r="AD10" i="43"/>
  <c r="AF10" i="43"/>
  <c r="AH10" i="43"/>
  <c r="AJ10" i="43"/>
  <c r="K49" i="9"/>
  <c r="E107" i="9"/>
  <c r="A122" i="9"/>
  <c r="A8" i="52" s="1"/>
  <c r="B54" i="72" s="1"/>
  <c r="E111" i="9"/>
  <c r="A126" i="9"/>
  <c r="E109" i="9"/>
  <c r="A124" i="9"/>
  <c r="B44" i="72"/>
  <c r="B42" i="72"/>
  <c r="B69" i="72"/>
  <c r="B68" i="72"/>
  <c r="B63" i="72"/>
  <c r="B62" i="72"/>
  <c r="B65" i="72"/>
  <c r="B60" i="72"/>
  <c r="B10" i="72"/>
  <c r="C53" i="10"/>
  <c r="B51" i="10"/>
  <c r="B19" i="72"/>
  <c r="A18" i="51"/>
  <c r="B13" i="72" s="1"/>
  <c r="B49" i="48"/>
  <c r="B5" i="72" s="1"/>
  <c r="I19" i="43"/>
  <c r="D82" i="71"/>
  <c r="F81" i="71"/>
  <c r="E81" i="71"/>
  <c r="E80" i="71" s="1"/>
  <c r="E79" i="71"/>
  <c r="C81" i="71"/>
  <c r="D81" i="71" s="1"/>
  <c r="B81" i="71"/>
  <c r="F80" i="71"/>
  <c r="F79" i="71"/>
  <c r="B80" i="71"/>
  <c r="B79" i="71" s="1"/>
  <c r="D78" i="71"/>
  <c r="F77" i="71"/>
  <c r="F76" i="71" s="1"/>
  <c r="F75" i="71" s="1"/>
  <c r="E77" i="71"/>
  <c r="E76" i="71" s="1"/>
  <c r="E75" i="71" s="1"/>
  <c r="C77" i="71"/>
  <c r="D77" i="71"/>
  <c r="B77" i="71"/>
  <c r="B76" i="71"/>
  <c r="B75" i="71" s="1"/>
  <c r="D74" i="71"/>
  <c r="Q73" i="71"/>
  <c r="P73" i="71"/>
  <c r="O73" i="71"/>
  <c r="N73" i="71"/>
  <c r="F73" i="71"/>
  <c r="V73" i="71" s="1"/>
  <c r="E73" i="71"/>
  <c r="U73" i="71"/>
  <c r="C73" i="71"/>
  <c r="T73"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s="1"/>
  <c r="E69" i="71"/>
  <c r="E68" i="71" s="1"/>
  <c r="E67" i="71" s="1"/>
  <c r="U69" i="71"/>
  <c r="C69" i="71"/>
  <c r="T69" i="71" s="1"/>
  <c r="B69" i="71"/>
  <c r="S69" i="7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F60" i="71" s="1"/>
  <c r="E61" i="71"/>
  <c r="P61" i="71" s="1"/>
  <c r="C61" i="71"/>
  <c r="D61" i="71" s="1"/>
  <c r="B61" i="71"/>
  <c r="S61" i="71" s="1"/>
  <c r="F59" i="71"/>
  <c r="Q58" i="71" s="1"/>
  <c r="Q59"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F48" i="71" s="1"/>
  <c r="F49" i="71" s="1"/>
  <c r="V49" i="71" s="1"/>
  <c r="P47" i="71"/>
  <c r="O47" i="71"/>
  <c r="N47" i="71"/>
  <c r="C47" i="71"/>
  <c r="C48" i="71" s="1"/>
  <c r="Q46" i="71"/>
  <c r="F47" i="71"/>
  <c r="P46" i="71"/>
  <c r="E47" i="71" s="1"/>
  <c r="E48" i="71" s="1"/>
  <c r="E49" i="71" s="1"/>
  <c r="U49" i="71" s="1"/>
  <c r="O46"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s="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c r="E40" i="71" s="1"/>
  <c r="E41" i="71" s="1"/>
  <c r="U41" i="71" s="1"/>
  <c r="O38" i="71"/>
  <c r="C39" i="71" s="1"/>
  <c r="N38" i="71"/>
  <c r="B39" i="71" s="1"/>
  <c r="B40" i="71"/>
  <c r="B41" i="71"/>
  <c r="S41" i="71" s="1"/>
  <c r="D38" i="71"/>
  <c r="Q37" i="71"/>
  <c r="P37" i="71"/>
  <c r="O37" i="71"/>
  <c r="N37" i="71"/>
  <c r="Q36" i="71"/>
  <c r="P36" i="71"/>
  <c r="O36" i="71"/>
  <c r="N36" i="71"/>
  <c r="Q35" i="71"/>
  <c r="P35" i="71"/>
  <c r="O35" i="71"/>
  <c r="N35" i="71"/>
  <c r="F35" i="71"/>
  <c r="F36" i="71"/>
  <c r="F37" i="71" s="1"/>
  <c r="V37" i="71" s="1"/>
  <c r="Q34" i="71"/>
  <c r="P34" i="71"/>
  <c r="E35" i="71"/>
  <c r="E36" i="71" s="1"/>
  <c r="E37" i="71" s="1"/>
  <c r="U37" i="71" s="1"/>
  <c r="O34" i="71"/>
  <c r="C35" i="71" s="1"/>
  <c r="C36" i="71" s="1"/>
  <c r="C37" i="71" s="1"/>
  <c r="N34" i="71"/>
  <c r="B35" i="71" s="1"/>
  <c r="B36" i="71" s="1"/>
  <c r="B37" i="71" s="1"/>
  <c r="S37" i="71" s="1"/>
  <c r="D34" i="71"/>
  <c r="Q33" i="71"/>
  <c r="P33" i="71"/>
  <c r="O33" i="71"/>
  <c r="N33" i="71"/>
  <c r="AB32" i="71"/>
  <c r="Q32" i="71"/>
  <c r="P32" i="71"/>
  <c r="AA32" i="71"/>
  <c r="O32" i="71"/>
  <c r="Y32" i="71" s="1"/>
  <c r="Z32" i="71" s="1"/>
  <c r="N32" i="71"/>
  <c r="X30" i="71" s="1"/>
  <c r="X32" i="71"/>
  <c r="Q31" i="71"/>
  <c r="AB31" i="71"/>
  <c r="P31" i="71"/>
  <c r="AA28" i="71" s="1"/>
  <c r="O31" i="71"/>
  <c r="Y31" i="71" s="1"/>
  <c r="Z31" i="71" s="1"/>
  <c r="N31" i="71"/>
  <c r="F31" i="71"/>
  <c r="F32" i="71" s="1"/>
  <c r="F33" i="71"/>
  <c r="V33" i="71" s="1"/>
  <c r="Q30" i="71"/>
  <c r="P30" i="71"/>
  <c r="O30" i="71"/>
  <c r="C31" i="71" s="1"/>
  <c r="N30" i="71"/>
  <c r="D30" i="71"/>
  <c r="Q29" i="71"/>
  <c r="AB29" i="71"/>
  <c r="P29" i="71"/>
  <c r="O29" i="71"/>
  <c r="N29" i="71"/>
  <c r="X29" i="71" s="1"/>
  <c r="Q28" i="71"/>
  <c r="P28" i="71"/>
  <c r="O28" i="71"/>
  <c r="Y27" i="71" s="1"/>
  <c r="Z27" i="71" s="1"/>
  <c r="Y28" i="71"/>
  <c r="Z28" i="71" s="1"/>
  <c r="N28" i="71"/>
  <c r="Q27" i="71"/>
  <c r="AB27" i="71"/>
  <c r="P27" i="71"/>
  <c r="O27" i="71"/>
  <c r="N27" i="71"/>
  <c r="Q26" i="71"/>
  <c r="F27" i="71" s="1"/>
  <c r="F28" i="71" s="1"/>
  <c r="F29" i="71" s="1"/>
  <c r="V29" i="71" s="1"/>
  <c r="P26" i="71"/>
  <c r="O26" i="71"/>
  <c r="N26" i="71"/>
  <c r="D26" i="71"/>
  <c r="Q25" i="71"/>
  <c r="P25" i="71"/>
  <c r="O25" i="71"/>
  <c r="Y25" i="71" s="1"/>
  <c r="Z25" i="71" s="1"/>
  <c r="N25" i="71"/>
  <c r="Q24" i="71"/>
  <c r="AB24" i="71" s="1"/>
  <c r="P24" i="71"/>
  <c r="O24" i="71"/>
  <c r="Y24" i="71"/>
  <c r="Z24" i="71" s="1"/>
  <c r="N24" i="71"/>
  <c r="Q23" i="71"/>
  <c r="AB23" i="71"/>
  <c r="P23" i="71"/>
  <c r="O23" i="71"/>
  <c r="N23" i="71"/>
  <c r="X23" i="71" s="1"/>
  <c r="Q22" i="71"/>
  <c r="AB22" i="71" s="1"/>
  <c r="P22" i="71"/>
  <c r="O22" i="71"/>
  <c r="N22" i="71"/>
  <c r="X21" i="71" s="1"/>
  <c r="D22" i="71"/>
  <c r="O21" i="71"/>
  <c r="N21" i="71"/>
  <c r="B23" i="71"/>
  <c r="B24" i="71"/>
  <c r="B25" i="71" s="1"/>
  <c r="S25" i="71" s="1"/>
  <c r="E23" i="71"/>
  <c r="E24" i="71" s="1"/>
  <c r="E25" i="71"/>
  <c r="U25" i="71" s="1"/>
  <c r="B27" i="71"/>
  <c r="B28" i="71"/>
  <c r="B29" i="71" s="1"/>
  <c r="S29" i="71" s="1"/>
  <c r="B31" i="71"/>
  <c r="B32" i="71"/>
  <c r="B33" i="71" s="1"/>
  <c r="S33" i="71" s="1"/>
  <c r="E31" i="71"/>
  <c r="E32" i="71"/>
  <c r="E33" i="71" s="1"/>
  <c r="U33" i="71" s="1"/>
  <c r="N61" i="71"/>
  <c r="C23" i="71"/>
  <c r="D23" i="71" s="1"/>
  <c r="Y22" i="71"/>
  <c r="Z22" i="71" s="1"/>
  <c r="AA23" i="71"/>
  <c r="X24" i="71"/>
  <c r="C27" i="71"/>
  <c r="C28" i="71" s="1"/>
  <c r="C29" i="71" s="1"/>
  <c r="Y26" i="71"/>
  <c r="Z26" i="71" s="1"/>
  <c r="AA27" i="71"/>
  <c r="X28" i="71"/>
  <c r="Y30" i="71"/>
  <c r="Z30" i="71" s="1"/>
  <c r="AB30" i="71"/>
  <c r="AA31" i="71"/>
  <c r="C21" i="71"/>
  <c r="D21" i="71" s="1"/>
  <c r="U21" i="71" s="1"/>
  <c r="Y19" i="71"/>
  <c r="Z19" i="71" s="1"/>
  <c r="X20" i="71"/>
  <c r="D27" i="71"/>
  <c r="P21" i="71"/>
  <c r="E21" i="71" s="1"/>
  <c r="E56" i="71"/>
  <c r="E57" i="71" s="1"/>
  <c r="U57" i="71" s="1"/>
  <c r="U61" i="71"/>
  <c r="E60" i="71"/>
  <c r="P60" i="71" s="1"/>
  <c r="Q21" i="71"/>
  <c r="C52" i="71"/>
  <c r="C53" i="71" s="1"/>
  <c r="C56" i="71"/>
  <c r="D55" i="71"/>
  <c r="N60" i="71"/>
  <c r="Q60" i="71"/>
  <c r="Q61" i="71"/>
  <c r="C64" i="71"/>
  <c r="E64" i="71"/>
  <c r="E63" i="71"/>
  <c r="D65" i="71"/>
  <c r="C68" i="71"/>
  <c r="D69" i="71"/>
  <c r="C72" i="71"/>
  <c r="E72" i="71"/>
  <c r="E71" i="71"/>
  <c r="D73" i="71"/>
  <c r="C76" i="71"/>
  <c r="T21" i="71"/>
  <c r="C20" i="71"/>
  <c r="C19" i="71" s="1"/>
  <c r="D19" i="71" s="1"/>
  <c r="F21" i="71"/>
  <c r="F20" i="71"/>
  <c r="F19" i="71"/>
  <c r="AB21" i="71"/>
  <c r="AA3" i="71"/>
  <c r="AA20" i="71"/>
  <c r="AA21" i="71"/>
  <c r="C57" i="71"/>
  <c r="D57" i="71" s="1"/>
  <c r="D56" i="71"/>
  <c r="D76" i="71"/>
  <c r="C75" i="71"/>
  <c r="D75" i="71"/>
  <c r="D68" i="71"/>
  <c r="C67" i="71"/>
  <c r="D67" i="71" s="1"/>
  <c r="N58" i="71"/>
  <c r="N59" i="71"/>
  <c r="D72" i="71"/>
  <c r="C71" i="71"/>
  <c r="D71" i="71" s="1"/>
  <c r="D64" i="71"/>
  <c r="C63" i="71"/>
  <c r="D6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AA25" i="40"/>
  <c r="Q29" i="39"/>
  <c r="Z29" i="39" s="1"/>
  <c r="D103" i="39"/>
  <c r="E103" i="39"/>
  <c r="F29" i="39"/>
  <c r="AA29" i="39" s="1"/>
  <c r="Q18" i="36"/>
  <c r="Z18" i="36"/>
  <c r="D66" i="36"/>
  <c r="E66" i="36" s="1"/>
  <c r="F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c r="D81" i="21"/>
  <c r="G20" i="20"/>
  <c r="B86" i="43" s="1"/>
  <c r="C22" i="20"/>
  <c r="C25" i="40"/>
  <c r="S25" i="40"/>
  <c r="S29" i="39"/>
  <c r="F94" i="40"/>
  <c r="G94" i="40" s="1"/>
  <c r="H25" i="40"/>
  <c r="J25" i="40"/>
  <c r="F103" i="39"/>
  <c r="G103" i="39" s="1"/>
  <c r="H29" i="39"/>
  <c r="J29" i="39"/>
  <c r="G66" i="36"/>
  <c r="J18" i="36"/>
  <c r="F68" i="35"/>
  <c r="H18" i="35"/>
  <c r="S18" i="35"/>
  <c r="G68" i="35"/>
  <c r="J18" i="35"/>
  <c r="H21" i="37"/>
  <c r="U21" i="37" s="1"/>
  <c r="F21" i="37"/>
  <c r="F84" i="34"/>
  <c r="H21" i="34"/>
  <c r="AB21" i="34" s="1"/>
  <c r="F83" i="33"/>
  <c r="G83" i="33" s="1"/>
  <c r="H21" i="33"/>
  <c r="F21" i="33"/>
  <c r="S21" i="33" s="1"/>
  <c r="E83" i="21"/>
  <c r="S21" i="21"/>
  <c r="H1" i="69"/>
  <c r="AC25" i="40"/>
  <c r="W25" i="40"/>
  <c r="AB25" i="40"/>
  <c r="U25" i="40"/>
  <c r="AB29" i="39"/>
  <c r="U29" i="39"/>
  <c r="AC29" i="39"/>
  <c r="W29" i="39"/>
  <c r="AC18" i="36"/>
  <c r="W18" i="36"/>
  <c r="AB21" i="37"/>
  <c r="AA21" i="37"/>
  <c r="S21" i="37"/>
  <c r="U21" i="33"/>
  <c r="AB21" i="33"/>
  <c r="AA21" i="33"/>
  <c r="AB18" i="35"/>
  <c r="U18" i="35"/>
  <c r="AC18" i="35"/>
  <c r="W18" i="35"/>
  <c r="J21" i="37"/>
  <c r="G84" i="34"/>
  <c r="J21" i="34"/>
  <c r="AC21" i="34" s="1"/>
  <c r="J21" i="33"/>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c r="D99" i="43"/>
  <c r="E99" i="43"/>
  <c r="E108" i="43"/>
  <c r="F99" i="43"/>
  <c r="F108" i="43" s="1"/>
  <c r="G99" i="43"/>
  <c r="G108" i="43"/>
  <c r="H99" i="43"/>
  <c r="H108" i="43" s="1"/>
  <c r="I99" i="43"/>
  <c r="I108" i="43"/>
  <c r="J99" i="43"/>
  <c r="J108" i="43" s="1"/>
  <c r="K99" i="43"/>
  <c r="K108" i="43"/>
  <c r="L99" i="43"/>
  <c r="L108" i="43" s="1"/>
  <c r="M99" i="43"/>
  <c r="M108" i="43"/>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2"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s="1"/>
  <c r="K66" i="43"/>
  <c r="J66" i="43"/>
  <c r="D66" i="43" s="1"/>
  <c r="M65" i="43"/>
  <c r="N65" i="43" s="1"/>
  <c r="K65" i="43"/>
  <c r="J65" i="43" s="1"/>
  <c r="D65" i="43" s="1"/>
  <c r="M64" i="43"/>
  <c r="N64" i="43"/>
  <c r="K64" i="43"/>
  <c r="M63" i="43"/>
  <c r="N63" i="43" s="1"/>
  <c r="K63" i="43"/>
  <c r="J63" i="43" s="1"/>
  <c r="M62" i="43"/>
  <c r="N62" i="43" s="1"/>
  <c r="K62" i="43"/>
  <c r="J62" i="43"/>
  <c r="M61" i="43"/>
  <c r="N61" i="43" s="1"/>
  <c r="K61" i="43"/>
  <c r="J61" i="43" s="1"/>
  <c r="M60" i="43"/>
  <c r="N60" i="43"/>
  <c r="K60" i="43"/>
  <c r="M59" i="43"/>
  <c r="N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B13" i="1" s="1"/>
  <c r="E13" i="1" s="1"/>
  <c r="A6" i="1"/>
  <c r="F3" i="35"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c r="H54" i="40"/>
  <c r="I54" i="40" s="1"/>
  <c r="C54" i="40" s="1"/>
  <c r="H53" i="40"/>
  <c r="I53" i="40" s="1"/>
  <c r="C53" i="40" s="1"/>
  <c r="H52" i="40"/>
  <c r="I52" i="40"/>
  <c r="C52" i="40" s="1"/>
  <c r="H65" i="39"/>
  <c r="I65" i="39"/>
  <c r="C65" i="39" s="1"/>
  <c r="H64" i="39"/>
  <c r="I64" i="39" s="1"/>
  <c r="C64" i="39" s="1"/>
  <c r="H60" i="39"/>
  <c r="I60" i="39"/>
  <c r="C60" i="39" s="1"/>
  <c r="H59" i="39"/>
  <c r="I59" i="39"/>
  <c r="C59" i="39"/>
  <c r="H58" i="39"/>
  <c r="I58" i="39" s="1"/>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D4" i="78"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AB42" i="34" s="1"/>
  <c r="J42" i="34"/>
  <c r="W42" i="34"/>
  <c r="F42" i="34"/>
  <c r="J38" i="34"/>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H40" i="40" s="1"/>
  <c r="B118" i="40"/>
  <c r="J39" i="40" s="1"/>
  <c r="B116" i="40"/>
  <c r="D115" i="40"/>
  <c r="E115" i="40"/>
  <c r="F115" i="40" s="1"/>
  <c r="G115" i="40" s="1"/>
  <c r="H115" i="40" s="1"/>
  <c r="I115" i="40"/>
  <c r="J115" i="40" s="1"/>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c r="G100" i="40" s="1"/>
  <c r="H100" i="40" s="1"/>
  <c r="I100" i="40" s="1"/>
  <c r="J100" i="40" s="1"/>
  <c r="K100" i="40" s="1"/>
  <c r="L100" i="40" s="1"/>
  <c r="M100" i="40" s="1"/>
  <c r="D98" i="40"/>
  <c r="J28" i="40"/>
  <c r="AC28" i="40"/>
  <c r="D96" i="40"/>
  <c r="E96" i="40"/>
  <c r="F96" i="40" s="1"/>
  <c r="G96" i="40" s="1"/>
  <c r="H96" i="40"/>
  <c r="I96" i="40" s="1"/>
  <c r="J96" i="40" s="1"/>
  <c r="K96" i="40" s="1"/>
  <c r="L96" i="40" s="1"/>
  <c r="M96" i="40" s="1"/>
  <c r="B95" i="40"/>
  <c r="D92" i="40"/>
  <c r="E92" i="40" s="1"/>
  <c r="F92" i="40" s="1"/>
  <c r="G92" i="40" s="1"/>
  <c r="D90" i="40"/>
  <c r="E90" i="40"/>
  <c r="F90" i="40" s="1"/>
  <c r="G90" i="40" s="1"/>
  <c r="D88" i="40"/>
  <c r="E88" i="40" s="1"/>
  <c r="F88" i="40" s="1"/>
  <c r="D86" i="40"/>
  <c r="E86" i="40" s="1"/>
  <c r="F86" i="40" s="1"/>
  <c r="G86" i="40"/>
  <c r="D84" i="40"/>
  <c r="E84" i="40" s="1"/>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AB40" i="40"/>
  <c r="F40" i="40"/>
  <c r="Q39" i="40"/>
  <c r="Z39" i="40"/>
  <c r="H39" i="40"/>
  <c r="U39" i="40" s="1"/>
  <c r="Q38" i="40"/>
  <c r="Z38" i="40"/>
  <c r="J38" i="40"/>
  <c r="AC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c r="D120" i="39"/>
  <c r="E120" i="39"/>
  <c r="F120" i="39" s="1"/>
  <c r="G120" i="39" s="1"/>
  <c r="H120" i="39" s="1"/>
  <c r="I120" i="39" s="1"/>
  <c r="J120" i="39" s="1"/>
  <c r="K120" i="39" s="1"/>
  <c r="L120" i="39" s="1"/>
  <c r="M120" i="39" s="1"/>
  <c r="B114" i="39"/>
  <c r="J37" i="39"/>
  <c r="D109" i="39"/>
  <c r="F34" i="39"/>
  <c r="D107" i="39"/>
  <c r="E107" i="39"/>
  <c r="D105" i="39"/>
  <c r="E105" i="39" s="1"/>
  <c r="F105" i="39"/>
  <c r="G105" i="39" s="1"/>
  <c r="H105" i="39"/>
  <c r="I105" i="39" s="1"/>
  <c r="J105" i="39" s="1"/>
  <c r="K105" i="39" s="1"/>
  <c r="L105" i="39" s="1"/>
  <c r="M105" i="39" s="1"/>
  <c r="D101" i="39"/>
  <c r="E101" i="39" s="1"/>
  <c r="F101" i="39" s="1"/>
  <c r="D99" i="39"/>
  <c r="E99" i="39"/>
  <c r="F99" i="39" s="1"/>
  <c r="G99" i="39" s="1"/>
  <c r="Q39" i="39"/>
  <c r="Z39" i="39" s="1"/>
  <c r="Q40" i="39"/>
  <c r="Z40" i="39"/>
  <c r="Q41" i="39"/>
  <c r="Z41" i="39" s="1"/>
  <c r="Q42" i="39"/>
  <c r="Z42" i="39"/>
  <c r="Q43" i="39"/>
  <c r="Z43" i="39" s="1"/>
  <c r="Q44" i="39"/>
  <c r="Z44" i="39"/>
  <c r="Q45" i="39"/>
  <c r="Z45" i="39" s="1"/>
  <c r="Q38" i="39"/>
  <c r="Z38" i="39"/>
  <c r="Q36" i="39"/>
  <c r="Z36" i="39" s="1"/>
  <c r="Q37" i="39"/>
  <c r="Z37" i="39"/>
  <c r="B131" i="39"/>
  <c r="H45" i="39" s="1"/>
  <c r="B129" i="39"/>
  <c r="H44" i="39"/>
  <c r="B127" i="39"/>
  <c r="J43" i="39" s="1"/>
  <c r="D126" i="39"/>
  <c r="E126" i="39"/>
  <c r="F126" i="39"/>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c r="AC23" i="39"/>
  <c r="D95" i="39"/>
  <c r="E95" i="39" s="1"/>
  <c r="F95" i="39" s="1"/>
  <c r="D93" i="39"/>
  <c r="E93" i="39" s="1"/>
  <c r="F93" i="39" s="1"/>
  <c r="G93" i="39" s="1"/>
  <c r="D91" i="39"/>
  <c r="E91" i="39"/>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c r="L83" i="36" s="1"/>
  <c r="M83" i="36" s="1"/>
  <c r="D78" i="36"/>
  <c r="E78" i="36"/>
  <c r="F78" i="36" s="1"/>
  <c r="G78" i="36"/>
  <c r="H78" i="36" s="1"/>
  <c r="I78" i="36" s="1"/>
  <c r="J78" i="36" s="1"/>
  <c r="K78" i="36" s="1"/>
  <c r="L78" i="36" s="1"/>
  <c r="M78" i="36" s="1"/>
  <c r="B75" i="36"/>
  <c r="B73" i="36"/>
  <c r="B71" i="36"/>
  <c r="D70" i="36"/>
  <c r="H22" i="36"/>
  <c r="AB22" i="36"/>
  <c r="D68" i="36"/>
  <c r="E68" i="36" s="1"/>
  <c r="F68" i="36" s="1"/>
  <c r="G68" i="36"/>
  <c r="D64" i="36"/>
  <c r="E64" i="36"/>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AC28" i="36"/>
  <c r="Q27" i="36"/>
  <c r="Z27" i="36"/>
  <c r="Q26" i="36"/>
  <c r="Z26" i="36"/>
  <c r="H26" i="36"/>
  <c r="AB26" i="36"/>
  <c r="Q25" i="36"/>
  <c r="Z25" i="36"/>
  <c r="Q24" i="36"/>
  <c r="Z24" i="36"/>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s="1"/>
  <c r="H9" i="36"/>
  <c r="AB9" i="36" s="1"/>
  <c r="F9" i="36"/>
  <c r="AA9" i="36" s="1"/>
  <c r="J8" i="36"/>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B75" i="35"/>
  <c r="B73" i="35"/>
  <c r="H23" i="35"/>
  <c r="U23" i="35" s="1"/>
  <c r="B57" i="35"/>
  <c r="B61" i="35"/>
  <c r="B59" i="35"/>
  <c r="H12" i="35" s="1"/>
  <c r="B131" i="34"/>
  <c r="B129" i="34"/>
  <c r="B127" i="34"/>
  <c r="B99" i="34"/>
  <c r="H32" i="34" s="1"/>
  <c r="B97" i="34"/>
  <c r="B95" i="34"/>
  <c r="B93" i="34"/>
  <c r="B75" i="34"/>
  <c r="J14" i="34" s="1"/>
  <c r="W14" i="34" s="1"/>
  <c r="B73" i="34"/>
  <c r="B71" i="34"/>
  <c r="B130" i="33"/>
  <c r="B128" i="33"/>
  <c r="J45" i="33" s="1"/>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D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H9" i="34"/>
  <c r="J8" i="34"/>
  <c r="AC8" i="34" s="1"/>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0" i="20"/>
  <c r="B77" i="43" s="1"/>
  <c r="C18" i="20"/>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J44" i="39"/>
  <c r="AC44" i="39" s="1"/>
  <c r="F36" i="39"/>
  <c r="H36" i="39"/>
  <c r="J35" i="39"/>
  <c r="AC35" i="39" s="1"/>
  <c r="F35" i="39"/>
  <c r="AA35" i="39" s="1"/>
  <c r="J36" i="39"/>
  <c r="U9" i="39"/>
  <c r="W40" i="39"/>
  <c r="W25" i="37"/>
  <c r="W31" i="37"/>
  <c r="E103" i="37"/>
  <c r="F103" i="37"/>
  <c r="G103" i="37" s="1"/>
  <c r="H103" i="37" s="1"/>
  <c r="I103" i="37" s="1"/>
  <c r="J103" i="37"/>
  <c r="K103" i="37" s="1"/>
  <c r="L103" i="37" s="1"/>
  <c r="M103" i="37" s="1"/>
  <c r="U14" i="37"/>
  <c r="F29" i="36"/>
  <c r="AA29" i="36"/>
  <c r="F16" i="36"/>
  <c r="AA16" i="36" s="1"/>
  <c r="U9" i="36"/>
  <c r="W28" i="36"/>
  <c r="S30" i="36"/>
  <c r="AA31" i="36"/>
  <c r="AC31" i="36"/>
  <c r="W31" i="36"/>
  <c r="U31" i="36"/>
  <c r="J33" i="36"/>
  <c r="W33" i="36"/>
  <c r="H22" i="35"/>
  <c r="AB22" i="35"/>
  <c r="W28" i="35"/>
  <c r="U31" i="35"/>
  <c r="S31" i="35"/>
  <c r="F36" i="34"/>
  <c r="H39" i="33"/>
  <c r="AB39" i="33" s="1"/>
  <c r="F26" i="33"/>
  <c r="AA26" i="33" s="1"/>
  <c r="U35" i="33"/>
  <c r="S40" i="33"/>
  <c r="W33" i="33"/>
  <c r="S27" i="35"/>
  <c r="F11" i="40"/>
  <c r="AA11" i="40"/>
  <c r="H11" i="40"/>
  <c r="AB11" i="40"/>
  <c r="W8" i="40"/>
  <c r="AB39" i="40"/>
  <c r="AC40" i="40"/>
  <c r="AA9" i="40"/>
  <c r="AC9" i="40"/>
  <c r="U9" i="40"/>
  <c r="S34" i="40"/>
  <c r="W31" i="40"/>
  <c r="U34" i="40"/>
  <c r="U40" i="40"/>
  <c r="F42" i="39"/>
  <c r="AA42" i="39" s="1"/>
  <c r="F41" i="39"/>
  <c r="S41" i="39" s="1"/>
  <c r="H40" i="39"/>
  <c r="AB40" i="39" s="1"/>
  <c r="H39" i="39"/>
  <c r="U39" i="39" s="1"/>
  <c r="S38" i="39"/>
  <c r="H34" i="39"/>
  <c r="U34" i="39" s="1"/>
  <c r="E109"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J27" i="39"/>
  <c r="AC27" i="39"/>
  <c r="F27" i="39"/>
  <c r="F11" i="21"/>
  <c r="S11" i="21" s="1"/>
  <c r="S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6"/>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c r="H101" i="37" s="1"/>
  <c r="I101" i="37" s="1"/>
  <c r="J101" i="37" s="1"/>
  <c r="K101" i="37"/>
  <c r="L101" i="37" s="1"/>
  <c r="M101" i="37" s="1"/>
  <c r="J34" i="37"/>
  <c r="W34" i="37"/>
  <c r="AB34" i="37"/>
  <c r="J33" i="37"/>
  <c r="U42" i="34"/>
  <c r="E114" i="34"/>
  <c r="F114" i="34" s="1"/>
  <c r="G114" i="34" s="1"/>
  <c r="H114" i="34" s="1"/>
  <c r="I114" i="34" s="1"/>
  <c r="J114" i="34" s="1"/>
  <c r="K114" i="34" s="1"/>
  <c r="L114" i="34" s="1"/>
  <c r="M114" i="34" s="1"/>
  <c r="H36" i="34"/>
  <c r="U36" i="34" s="1"/>
  <c r="F28" i="34"/>
  <c r="AA28" i="34" s="1"/>
  <c r="H23" i="34"/>
  <c r="U23" i="34" s="1"/>
  <c r="F19" i="34"/>
  <c r="J28" i="34"/>
  <c r="W28" i="34" s="1"/>
  <c r="F41" i="33"/>
  <c r="S38" i="33"/>
  <c r="E113" i="33"/>
  <c r="F32" i="33"/>
  <c r="AA32" i="33" s="1"/>
  <c r="J19" i="33"/>
  <c r="AC19" i="33" s="1"/>
  <c r="J15" i="33"/>
  <c r="AC15" i="33" s="1"/>
  <c r="F11" i="33"/>
  <c r="AA11" i="33" s="1"/>
  <c r="S26" i="33"/>
  <c r="U40" i="33"/>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F33" i="37"/>
  <c r="AA33" i="37" s="1"/>
  <c r="U34" i="37"/>
  <c r="S34" i="37"/>
  <c r="AA34" i="37"/>
  <c r="J43" i="34"/>
  <c r="W43" i="34" s="1"/>
  <c r="J40" i="34"/>
  <c r="AC40" i="34" s="1"/>
  <c r="H38" i="34"/>
  <c r="AB38" i="34" s="1"/>
  <c r="J36" i="34"/>
  <c r="W36" i="34" s="1"/>
  <c r="F23" i="34"/>
  <c r="AA23" i="34" s="1"/>
  <c r="J19" i="34"/>
  <c r="AC19" i="34" s="1"/>
  <c r="F17" i="34"/>
  <c r="AA17" i="34" s="1"/>
  <c r="F113" i="33"/>
  <c r="G113" i="33" s="1"/>
  <c r="H113" i="33" s="1"/>
  <c r="I113" i="33" s="1"/>
  <c r="J113" i="33"/>
  <c r="K113" i="33" s="1"/>
  <c r="L113" i="33" s="1"/>
  <c r="M113" i="33" s="1"/>
  <c r="H37" i="33"/>
  <c r="AB37" i="33" s="1"/>
  <c r="H15" i="33"/>
  <c r="AB15" i="33" s="1"/>
  <c r="H11" i="33"/>
  <c r="AB11" i="33" s="1"/>
  <c r="F28" i="40"/>
  <c r="AA28" i="40" s="1"/>
  <c r="AA29" i="35"/>
  <c r="AA42" i="34"/>
  <c r="S42" i="34"/>
  <c r="AA38" i="34"/>
  <c r="J11" i="33"/>
  <c r="W11" i="33"/>
  <c r="U23" i="40"/>
  <c r="M123" i="21"/>
  <c r="J42" i="21"/>
  <c r="AC42" i="21"/>
  <c r="H42" i="21"/>
  <c r="U42" i="21"/>
  <c r="F44" i="34"/>
  <c r="J10" i="35"/>
  <c r="W10" i="35"/>
  <c r="J14" i="21"/>
  <c r="W14" i="21" s="1"/>
  <c r="H28" i="21"/>
  <c r="AB28" i="21" s="1"/>
  <c r="F28" i="21"/>
  <c r="AA28" i="21" s="1"/>
  <c r="J28" i="21"/>
  <c r="W28" i="21" s="1"/>
  <c r="H30" i="21"/>
  <c r="U30" i="21"/>
  <c r="F30" i="21"/>
  <c r="S30" i="21" s="1"/>
  <c r="J30" i="21"/>
  <c r="AC30" i="21" s="1"/>
  <c r="J44" i="21"/>
  <c r="AC44" i="21" s="1"/>
  <c r="H44" i="21"/>
  <c r="U44" i="21"/>
  <c r="F44" i="21"/>
  <c r="AA44" i="21" s="1"/>
  <c r="H46" i="21"/>
  <c r="U46" i="21" s="1"/>
  <c r="J46" i="21"/>
  <c r="W46" i="21" s="1"/>
  <c r="F46" i="21"/>
  <c r="AA46" i="21"/>
  <c r="E119" i="21"/>
  <c r="F119" i="21" s="1"/>
  <c r="G119" i="21"/>
  <c r="H119" i="21" s="1"/>
  <c r="I119" i="21" s="1"/>
  <c r="J119" i="21" s="1"/>
  <c r="K119" i="21" s="1"/>
  <c r="L119" i="21"/>
  <c r="M119" i="21" s="1"/>
  <c r="H28" i="33"/>
  <c r="U28" i="33"/>
  <c r="F28" i="33"/>
  <c r="AA28" i="33"/>
  <c r="J28" i="33"/>
  <c r="W28" i="33"/>
  <c r="F33" i="35"/>
  <c r="S33" i="35"/>
  <c r="J33" i="35"/>
  <c r="AC33" i="35"/>
  <c r="F30" i="35"/>
  <c r="S30" i="35"/>
  <c r="E89" i="35"/>
  <c r="F89" i="35"/>
  <c r="G89" i="35" s="1"/>
  <c r="H89" i="35" s="1"/>
  <c r="I89" i="35" s="1"/>
  <c r="J89" i="35" s="1"/>
  <c r="K89" i="35" s="1"/>
  <c r="L89" i="35"/>
  <c r="M89" i="35" s="1"/>
  <c r="H10" i="36"/>
  <c r="AB10" i="36" s="1"/>
  <c r="J14" i="36"/>
  <c r="AC14" i="36"/>
  <c r="H14" i="36"/>
  <c r="U14" i="36" s="1"/>
  <c r="F28" i="36"/>
  <c r="AA28" i="36" s="1"/>
  <c r="J13" i="21"/>
  <c r="AC13" i="21" s="1"/>
  <c r="H27" i="21"/>
  <c r="AB27" i="21"/>
  <c r="F27" i="21"/>
  <c r="AA27" i="21" s="1"/>
  <c r="H29" i="21"/>
  <c r="U29" i="21" s="1"/>
  <c r="J31" i="21"/>
  <c r="AC31" i="21" s="1"/>
  <c r="F31" i="21"/>
  <c r="S31" i="21"/>
  <c r="F45" i="21"/>
  <c r="AA45" i="21" s="1"/>
  <c r="F27" i="33"/>
  <c r="AA27" i="33" s="1"/>
  <c r="H29" i="33"/>
  <c r="U29" i="33"/>
  <c r="H45" i="33"/>
  <c r="U45" i="33"/>
  <c r="W45" i="33"/>
  <c r="F45" i="33"/>
  <c r="AA45" i="33" s="1"/>
  <c r="F14" i="34"/>
  <c r="H14" i="34"/>
  <c r="F32" i="34"/>
  <c r="J32" i="34"/>
  <c r="W32" i="34"/>
  <c r="J26" i="36"/>
  <c r="W26" i="36"/>
  <c r="H28" i="36"/>
  <c r="U28" i="36" s="1"/>
  <c r="H32" i="36"/>
  <c r="AB32" i="36" s="1"/>
  <c r="J32" i="36"/>
  <c r="J11" i="36"/>
  <c r="W11" i="36" s="1"/>
  <c r="AC11" i="36"/>
  <c r="H11" i="36"/>
  <c r="U11" i="36" s="1"/>
  <c r="F11" i="36"/>
  <c r="H13" i="36"/>
  <c r="AB13" i="36" s="1"/>
  <c r="J13" i="36"/>
  <c r="F13" i="36"/>
  <c r="S13" i="36" s="1"/>
  <c r="F89" i="37"/>
  <c r="G89" i="37" s="1"/>
  <c r="H89" i="37"/>
  <c r="I89" i="37" s="1"/>
  <c r="J89" i="37" s="1"/>
  <c r="K89" i="37" s="1"/>
  <c r="L89" i="37" s="1"/>
  <c r="M89" i="37" s="1"/>
  <c r="J29" i="37"/>
  <c r="W29" i="37" s="1"/>
  <c r="F29" i="37"/>
  <c r="S29" i="37" s="1"/>
  <c r="F105" i="37"/>
  <c r="G105" i="37" s="1"/>
  <c r="H36" i="37"/>
  <c r="AB36" i="37" s="1"/>
  <c r="F107" i="37"/>
  <c r="J37" i="37"/>
  <c r="AC37" i="37"/>
  <c r="H37" i="37"/>
  <c r="U37" i="37" s="1"/>
  <c r="H40" i="37"/>
  <c r="U40" i="37" s="1"/>
  <c r="J40" i="37"/>
  <c r="F40" i="37"/>
  <c r="AA40" i="37"/>
  <c r="AC12" i="40"/>
  <c r="H14" i="33"/>
  <c r="U14" i="33" s="1"/>
  <c r="F14" i="33"/>
  <c r="S14" i="33" s="1"/>
  <c r="J14" i="33"/>
  <c r="H30" i="33"/>
  <c r="AB30" i="33" s="1"/>
  <c r="F30" i="33"/>
  <c r="J30" i="33"/>
  <c r="H44" i="33"/>
  <c r="J44" i="33"/>
  <c r="AC44" i="33" s="1"/>
  <c r="F44" i="33"/>
  <c r="S44" i="33" s="1"/>
  <c r="J46" i="33"/>
  <c r="AC46" i="33" s="1"/>
  <c r="F46" i="33"/>
  <c r="AA46" i="33"/>
  <c r="H46" i="33"/>
  <c r="H13" i="34"/>
  <c r="J13" i="34"/>
  <c r="W13" i="34" s="1"/>
  <c r="F13" i="34"/>
  <c r="AA13" i="34" s="1"/>
  <c r="J29" i="34"/>
  <c r="F29" i="34"/>
  <c r="S29" i="34" s="1"/>
  <c r="H29" i="34"/>
  <c r="AB29" i="34" s="1"/>
  <c r="J31" i="34"/>
  <c r="W31" i="34" s="1"/>
  <c r="AC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c r="F28" i="37"/>
  <c r="AA28" i="37" s="1"/>
  <c r="J28" i="37"/>
  <c r="AC28" i="37" s="1"/>
  <c r="H28" i="37"/>
  <c r="H38" i="37"/>
  <c r="AB38" i="37"/>
  <c r="J38" i="37"/>
  <c r="AC38" i="37" s="1"/>
  <c r="F38" i="37"/>
  <c r="S38" i="37" s="1"/>
  <c r="F43" i="39"/>
  <c r="AA43" i="39" s="1"/>
  <c r="H43" i="39"/>
  <c r="J14" i="39"/>
  <c r="F14" i="39"/>
  <c r="H14" i="39"/>
  <c r="AB14" i="39"/>
  <c r="F12" i="40"/>
  <c r="S12" i="40" s="1"/>
  <c r="H12" i="40"/>
  <c r="AB12" i="40" s="1"/>
  <c r="H30" i="40"/>
  <c r="AB30" i="40" s="1"/>
  <c r="F33" i="40"/>
  <c r="AA33" i="40"/>
  <c r="H33" i="40"/>
  <c r="U33" i="40" s="1"/>
  <c r="J35" i="40"/>
  <c r="AC35" i="40" s="1"/>
  <c r="J37" i="40"/>
  <c r="AC37" i="40" s="1"/>
  <c r="H13" i="40"/>
  <c r="U13" i="40"/>
  <c r="J13" i="40"/>
  <c r="W13" i="40" s="1"/>
  <c r="F13" i="40"/>
  <c r="AA13" i="40"/>
  <c r="F14" i="37"/>
  <c r="S14" i="37" s="1"/>
  <c r="F13" i="39"/>
  <c r="W13" i="39"/>
  <c r="H13" i="39"/>
  <c r="H14" i="40"/>
  <c r="AB14" i="40" s="1"/>
  <c r="J14" i="40"/>
  <c r="W14" i="40"/>
  <c r="F14" i="40"/>
  <c r="AA14" i="40" s="1"/>
  <c r="J14" i="37"/>
  <c r="AC14" i="37"/>
  <c r="J27" i="37"/>
  <c r="AC27" i="37" s="1"/>
  <c r="AA13" i="35"/>
  <c r="U31" i="34"/>
  <c r="AA14" i="33"/>
  <c r="J36" i="37"/>
  <c r="AC36" i="37" s="1"/>
  <c r="AB11" i="36"/>
  <c r="J10" i="36"/>
  <c r="AC10" i="36" s="1"/>
  <c r="AB30" i="21"/>
  <c r="AC13" i="36"/>
  <c r="W13" i="36"/>
  <c r="S45" i="33"/>
  <c r="AB45" i="33"/>
  <c r="AC28" i="21"/>
  <c r="BA585" i="3"/>
  <c r="F17" i="21"/>
  <c r="AA17" i="21" s="1"/>
  <c r="H17" i="21"/>
  <c r="AB17" i="21" s="1"/>
  <c r="F15" i="21"/>
  <c r="S15" i="21" s="1"/>
  <c r="AB11" i="21"/>
  <c r="J41" i="39"/>
  <c r="W41" i="39" s="1"/>
  <c r="W44" i="39"/>
  <c r="W35" i="39"/>
  <c r="S35" i="39"/>
  <c r="G544" i="3"/>
  <c r="G535" i="3"/>
  <c r="G527" i="3"/>
  <c r="G523" i="3"/>
  <c r="G518" i="3"/>
  <c r="G514" i="3"/>
  <c r="G510" i="3"/>
  <c r="G508" i="3"/>
  <c r="G504" i="3"/>
  <c r="G500" i="3"/>
  <c r="G496" i="3"/>
  <c r="G584" i="3"/>
  <c r="G580" i="3"/>
  <c r="G568" i="3"/>
  <c r="G564" i="3"/>
  <c r="G554" i="3"/>
  <c r="G550" i="3"/>
  <c r="BL584" i="3"/>
  <c r="BL580" i="3"/>
  <c r="BL568" i="3"/>
  <c r="BL564" i="3"/>
  <c r="BL554" i="3"/>
  <c r="BL538" i="3"/>
  <c r="BL522" i="3"/>
  <c r="BL516" i="3"/>
  <c r="BL512" i="3"/>
  <c r="BL506" i="3"/>
  <c r="BL502" i="3"/>
  <c r="BL498" i="3"/>
  <c r="BL494" i="3"/>
  <c r="BL582" i="3"/>
  <c r="BL578" i="3"/>
  <c r="BL574" i="3"/>
  <c r="BL566" i="3"/>
  <c r="BL562" i="3"/>
  <c r="BL552" i="3"/>
  <c r="G533" i="3"/>
  <c r="G529" i="3"/>
  <c r="G525" i="3"/>
  <c r="BL524" i="3"/>
  <c r="BL518" i="3"/>
  <c r="BL514" i="3"/>
  <c r="BL510" i="3"/>
  <c r="BL504" i="3"/>
  <c r="BL500" i="3"/>
  <c r="BL496" i="3"/>
  <c r="G493" i="3"/>
  <c r="BA584" i="3"/>
  <c r="BA582" i="3"/>
  <c r="AZ582" i="3" s="1"/>
  <c r="BA580" i="3"/>
  <c r="AZ580" i="3" s="1"/>
  <c r="BA578" i="3"/>
  <c r="AZ578" i="3" s="1"/>
  <c r="BA568" i="3"/>
  <c r="AZ568" i="3" s="1"/>
  <c r="BA566" i="3"/>
  <c r="AZ566" i="3" s="1"/>
  <c r="BA564" i="3"/>
  <c r="AZ564" i="3"/>
  <c r="BA562" i="3"/>
  <c r="AZ562" i="3" s="1"/>
  <c r="BA558" i="3"/>
  <c r="BA554" i="3"/>
  <c r="AZ554" i="3" s="1"/>
  <c r="BA552" i="3"/>
  <c r="AZ552" i="3" s="1"/>
  <c r="BA548" i="3"/>
  <c r="AZ548" i="3" s="1"/>
  <c r="BA542" i="3"/>
  <c r="BA534" i="3"/>
  <c r="BA530" i="3"/>
  <c r="BA524" i="3"/>
  <c r="AZ524" i="3" s="1"/>
  <c r="BA522" i="3"/>
  <c r="BA520" i="3"/>
  <c r="AZ520" i="3" s="1"/>
  <c r="BA518" i="3"/>
  <c r="AZ518" i="3" s="1"/>
  <c r="BA516" i="3"/>
  <c r="AZ516" i="3"/>
  <c r="BA514" i="3"/>
  <c r="BA512" i="3"/>
  <c r="AZ512" i="3" s="1"/>
  <c r="BA510" i="3"/>
  <c r="AZ510" i="3" s="1"/>
  <c r="BA508" i="3"/>
  <c r="BA506" i="3"/>
  <c r="BA504" i="3"/>
  <c r="AZ504" i="3" s="1"/>
  <c r="BA502" i="3"/>
  <c r="BA500" i="3"/>
  <c r="BA498" i="3"/>
  <c r="AZ498" i="3" s="1"/>
  <c r="BA496" i="3"/>
  <c r="BA494" i="3"/>
  <c r="BA587" i="3"/>
  <c r="BA583" i="3"/>
  <c r="AZ583" i="3" s="1"/>
  <c r="BA581" i="3"/>
  <c r="BA579" i="3"/>
  <c r="BA573" i="3"/>
  <c r="AZ573" i="3" s="1"/>
  <c r="BA569" i="3"/>
  <c r="BA567" i="3"/>
  <c r="BA565" i="3"/>
  <c r="BA563" i="3"/>
  <c r="BA555" i="3"/>
  <c r="BA553" i="3"/>
  <c r="BA549" i="3"/>
  <c r="BA545" i="3"/>
  <c r="BA537" i="3"/>
  <c r="BA529" i="3"/>
  <c r="BA525" i="3"/>
  <c r="BA523" i="3"/>
  <c r="BA519" i="3"/>
  <c r="AZ519" i="3" s="1"/>
  <c r="BA517" i="3"/>
  <c r="BA515" i="3"/>
  <c r="BA513" i="3"/>
  <c r="BA511" i="3"/>
  <c r="AZ511" i="3" s="1"/>
  <c r="BA507" i="3"/>
  <c r="BA505" i="3"/>
  <c r="BA503" i="3"/>
  <c r="BA501" i="3"/>
  <c r="BA499" i="3"/>
  <c r="BA497" i="3"/>
  <c r="BA495" i="3"/>
  <c r="BA493" i="3"/>
  <c r="AZ493" i="3" s="1"/>
  <c r="G583" i="3"/>
  <c r="G581" i="3"/>
  <c r="G579" i="3"/>
  <c r="G577" i="3"/>
  <c r="G571" i="3"/>
  <c r="G569" i="3"/>
  <c r="G567" i="3"/>
  <c r="G565" i="3"/>
  <c r="G563" i="3"/>
  <c r="AC557" i="3"/>
  <c r="G557" i="3" s="1"/>
  <c r="BQ557" i="3"/>
  <c r="BQ583" i="3"/>
  <c r="BL583" i="3" s="1"/>
  <c r="BQ581" i="3"/>
  <c r="BL581" i="3" s="1"/>
  <c r="AZ581" i="3" s="1"/>
  <c r="BQ579" i="3"/>
  <c r="BL579" i="3" s="1"/>
  <c r="AZ579" i="3" s="1"/>
  <c r="BQ577" i="3"/>
  <c r="BQ575" i="3"/>
  <c r="BQ573" i="3"/>
  <c r="BL573" i="3"/>
  <c r="BQ571" i="3"/>
  <c r="BQ569" i="3"/>
  <c r="BL569" i="3" s="1"/>
  <c r="BQ567" i="3"/>
  <c r="BL567" i="3" s="1"/>
  <c r="AZ567" i="3" s="1"/>
  <c r="BQ565" i="3"/>
  <c r="BL565" i="3"/>
  <c r="BQ563" i="3"/>
  <c r="BL563" i="3" s="1"/>
  <c r="AZ563" i="3" s="1"/>
  <c r="BQ561" i="3"/>
  <c r="BQ559" i="3"/>
  <c r="BL559" i="3"/>
  <c r="G559" i="3"/>
  <c r="G555" i="3"/>
  <c r="G553" i="3"/>
  <c r="G549" i="3"/>
  <c r="G547" i="3"/>
  <c r="G545" i="3"/>
  <c r="G543" i="3"/>
  <c r="G537" i="3"/>
  <c r="BQ555" i="3"/>
  <c r="BL555" i="3" s="1"/>
  <c r="BQ553" i="3"/>
  <c r="BL553" i="3"/>
  <c r="AZ553" i="3" s="1"/>
  <c r="BQ551" i="3"/>
  <c r="BL551" i="3" s="1"/>
  <c r="BQ549" i="3"/>
  <c r="BL549" i="3" s="1"/>
  <c r="AZ549" i="3" s="1"/>
  <c r="BQ547" i="3"/>
  <c r="BQ545" i="3"/>
  <c r="BQ543" i="3"/>
  <c r="BL543" i="3"/>
  <c r="BQ541" i="3"/>
  <c r="BQ539" i="3"/>
  <c r="BQ537" i="3"/>
  <c r="BQ535" i="3"/>
  <c r="BL535" i="3"/>
  <c r="BQ533" i="3"/>
  <c r="BQ531" i="3"/>
  <c r="BQ529" i="3"/>
  <c r="BQ527" i="3"/>
  <c r="BL527" i="3"/>
  <c r="BQ525" i="3"/>
  <c r="BL525" i="3" s="1"/>
  <c r="AZ525" i="3"/>
  <c r="BQ523" i="3"/>
  <c r="BL523" i="3" s="1"/>
  <c r="AZ523" i="3" s="1"/>
  <c r="BA521" i="3"/>
  <c r="AZ521" i="3" s="1"/>
  <c r="AC521" i="3"/>
  <c r="G521" i="3" s="1"/>
  <c r="BQ521" i="3"/>
  <c r="BL521" i="3" s="1"/>
  <c r="BL520" i="3"/>
  <c r="G519" i="3"/>
  <c r="G517" i="3"/>
  <c r="G515" i="3"/>
  <c r="G513" i="3"/>
  <c r="G511" i="3"/>
  <c r="BQ519" i="3"/>
  <c r="BL519" i="3" s="1"/>
  <c r="BQ517" i="3"/>
  <c r="BL517" i="3" s="1"/>
  <c r="BQ515" i="3"/>
  <c r="BL515" i="3"/>
  <c r="AZ515" i="3" s="1"/>
  <c r="BQ513" i="3"/>
  <c r="BL513" i="3" s="1"/>
  <c r="AZ513" i="3"/>
  <c r="BQ511" i="3"/>
  <c r="BL511" i="3" s="1"/>
  <c r="BA509" i="3"/>
  <c r="AC509" i="3"/>
  <c r="BQ509" i="3"/>
  <c r="BL509" i="3" s="1"/>
  <c r="BL508" i="3"/>
  <c r="AZ508" i="3" s="1"/>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S22" i="31" s="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G125" i="33" s="1"/>
  <c r="H43" i="33"/>
  <c r="AB43" i="33" s="1"/>
  <c r="H17" i="37"/>
  <c r="U17" i="37"/>
  <c r="U32" i="33"/>
  <c r="F39" i="33"/>
  <c r="AA39" i="33" s="1"/>
  <c r="F42" i="33"/>
  <c r="AA42" i="33"/>
  <c r="H28" i="34"/>
  <c r="AB28" i="34" s="1"/>
  <c r="F14" i="36"/>
  <c r="AA14" i="36"/>
  <c r="F22" i="36"/>
  <c r="S22" i="36" s="1"/>
  <c r="F26" i="36"/>
  <c r="S26" i="36"/>
  <c r="H35" i="34"/>
  <c r="U35" i="34" s="1"/>
  <c r="F41" i="34"/>
  <c r="S41" i="34" s="1"/>
  <c r="H41" i="34"/>
  <c r="U41" i="34" s="1"/>
  <c r="J41" i="34"/>
  <c r="AC41" i="34" s="1"/>
  <c r="F10" i="35"/>
  <c r="S10" i="35"/>
  <c r="H23" i="37"/>
  <c r="AB23" i="37" s="1"/>
  <c r="J32" i="37"/>
  <c r="AC32" i="37"/>
  <c r="F36" i="37"/>
  <c r="AA36" i="37" s="1"/>
  <c r="F37" i="37"/>
  <c r="AA37" i="37"/>
  <c r="F31" i="40"/>
  <c r="AA31" i="40" s="1"/>
  <c r="H31" i="40"/>
  <c r="U31" i="40"/>
  <c r="F32" i="40"/>
  <c r="S32" i="40" s="1"/>
  <c r="H32" i="40"/>
  <c r="AB32" i="40"/>
  <c r="J36" i="40"/>
  <c r="W36" i="40" s="1"/>
  <c r="H19" i="37"/>
  <c r="AB19" i="37"/>
  <c r="I123" i="33"/>
  <c r="J123" i="33" s="1"/>
  <c r="K123" i="33" s="1"/>
  <c r="L123" i="33" s="1"/>
  <c r="M123" i="33"/>
  <c r="H42" i="33"/>
  <c r="AB42" i="33" s="1"/>
  <c r="J43" i="33"/>
  <c r="AC43" i="33" s="1"/>
  <c r="S28" i="31"/>
  <c r="S27" i="31"/>
  <c r="S26" i="31"/>
  <c r="U14" i="40"/>
  <c r="AC33" i="36"/>
  <c r="U35" i="35"/>
  <c r="W23" i="35"/>
  <c r="W14" i="37"/>
  <c r="AC8" i="37"/>
  <c r="AC45" i="33"/>
  <c r="W44" i="33"/>
  <c r="U11" i="33"/>
  <c r="U19" i="21"/>
  <c r="W44" i="21"/>
  <c r="U26" i="21"/>
  <c r="AC46" i="21"/>
  <c r="U12" i="21"/>
  <c r="F43" i="33"/>
  <c r="AA43" i="33"/>
  <c r="G107" i="37"/>
  <c r="H107" i="37" s="1"/>
  <c r="I107" i="37" s="1"/>
  <c r="J107" i="37" s="1"/>
  <c r="K107" i="37"/>
  <c r="L107" i="37" s="1"/>
  <c r="M107" i="37" s="1"/>
  <c r="H37" i="21"/>
  <c r="U37" i="21"/>
  <c r="S42" i="21"/>
  <c r="H19" i="34"/>
  <c r="AB19" i="34" s="1"/>
  <c r="F36" i="35"/>
  <c r="S36" i="35"/>
  <c r="J9" i="37"/>
  <c r="W9" i="37" s="1"/>
  <c r="H9" i="37"/>
  <c r="AB9" i="37"/>
  <c r="F9" i="37"/>
  <c r="S9" i="37" s="1"/>
  <c r="J12" i="37"/>
  <c r="W12" i="37"/>
  <c r="H12" i="37"/>
  <c r="AB12" i="37" s="1"/>
  <c r="F12" i="37"/>
  <c r="S12" i="37"/>
  <c r="E71" i="37"/>
  <c r="F71" i="37" s="1"/>
  <c r="G71" i="37" s="1"/>
  <c r="F15" i="37"/>
  <c r="AA15" i="37"/>
  <c r="E94" i="37"/>
  <c r="F94" i="37" s="1"/>
  <c r="G94" i="37" s="1"/>
  <c r="F31" i="37"/>
  <c r="S31" i="37" s="1"/>
  <c r="F12" i="39"/>
  <c r="S12" i="39"/>
  <c r="J42" i="39"/>
  <c r="AC42" i="39" s="1"/>
  <c r="H21" i="40"/>
  <c r="AB21" i="40"/>
  <c r="AC12" i="37"/>
  <c r="H94" i="37"/>
  <c r="I94" i="37"/>
  <c r="J94" i="37" s="1"/>
  <c r="K94" i="37" s="1"/>
  <c r="L94" i="37" s="1"/>
  <c r="M94" i="37" s="1"/>
  <c r="H31" i="37"/>
  <c r="U31" i="37"/>
  <c r="J15" i="37"/>
  <c r="W15" i="37"/>
  <c r="U12" i="37"/>
  <c r="AT6" i="3"/>
  <c r="AA25" i="21"/>
  <c r="C12" i="43"/>
  <c r="H19" i="40"/>
  <c r="U19" i="40" s="1"/>
  <c r="G88" i="40"/>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c r="H15" i="39"/>
  <c r="U15" i="39" s="1"/>
  <c r="J15" i="39"/>
  <c r="W15" i="39"/>
  <c r="H41" i="39"/>
  <c r="AB41" i="39" s="1"/>
  <c r="W27" i="39"/>
  <c r="AB34" i="39"/>
  <c r="U40" i="39"/>
  <c r="S42" i="39"/>
  <c r="AA41" i="39"/>
  <c r="W9" i="39"/>
  <c r="W8" i="39"/>
  <c r="J19" i="40"/>
  <c r="AC19" i="40"/>
  <c r="J50" i="40"/>
  <c r="H103" i="9"/>
  <c r="D8" i="53" s="1"/>
  <c r="B16" i="53"/>
  <c r="B33" i="72"/>
  <c r="C7" i="37"/>
  <c r="C7" i="34"/>
  <c r="C7" i="36"/>
  <c r="A118" i="9"/>
  <c r="A4" i="52"/>
  <c r="B41" i="72" s="1"/>
  <c r="J11" i="39"/>
  <c r="W11" i="39" s="1"/>
  <c r="F11" i="39"/>
  <c r="AA11" i="39" s="1"/>
  <c r="A12" i="52"/>
  <c r="B56" i="72" s="1"/>
  <c r="S11" i="39"/>
  <c r="G4" i="4"/>
  <c r="I4" i="4"/>
  <c r="A2" i="9"/>
  <c r="AZ20" i="3"/>
  <c r="AZ24" i="3"/>
  <c r="AZ28" i="3"/>
  <c r="AZ32" i="3"/>
  <c r="AZ497" i="3"/>
  <c r="AZ494" i="3"/>
  <c r="AZ502" i="3"/>
  <c r="AZ514" i="3"/>
  <c r="AZ522" i="3"/>
  <c r="G546" i="3"/>
  <c r="G524" i="3"/>
  <c r="G303" i="3"/>
  <c r="BL304" i="3"/>
  <c r="G305" i="3"/>
  <c r="BL306" i="3"/>
  <c r="BA308" i="3"/>
  <c r="AZ308" i="3"/>
  <c r="BA309" i="3"/>
  <c r="AZ309" i="3" s="1"/>
  <c r="BL309" i="3"/>
  <c r="G310" i="3"/>
  <c r="BA311" i="3"/>
  <c r="G319" i="3"/>
  <c r="BL320" i="3"/>
  <c r="G321" i="3"/>
  <c r="BL322" i="3"/>
  <c r="BA324" i="3"/>
  <c r="AZ324" i="3"/>
  <c r="BA325" i="3"/>
  <c r="BL325" i="3"/>
  <c r="G326" i="3"/>
  <c r="BA327" i="3"/>
  <c r="G335" i="3"/>
  <c r="BL336" i="3"/>
  <c r="G337" i="3"/>
  <c r="BL338" i="3"/>
  <c r="BA340" i="3"/>
  <c r="AZ340" i="3"/>
  <c r="BA341" i="3"/>
  <c r="AZ341" i="3" s="1"/>
  <c r="BL341" i="3"/>
  <c r="BA343" i="3"/>
  <c r="BA345" i="3"/>
  <c r="BL355" i="3"/>
  <c r="G356" i="3"/>
  <c r="BL357" i="3"/>
  <c r="BA359" i="3"/>
  <c r="AZ359" i="3"/>
  <c r="BA360" i="3"/>
  <c r="AZ360" i="3" s="1"/>
  <c r="BL360" i="3"/>
  <c r="G361" i="3"/>
  <c r="BA362" i="3"/>
  <c r="G370" i="3"/>
  <c r="BL371" i="3"/>
  <c r="G372" i="3"/>
  <c r="BL373" i="3"/>
  <c r="AZ373" i="3" s="1"/>
  <c r="BA375" i="3"/>
  <c r="AZ375" i="3"/>
  <c r="BA376" i="3"/>
  <c r="BL376" i="3"/>
  <c r="G377" i="3"/>
  <c r="BA378" i="3"/>
  <c r="BL378" i="3"/>
  <c r="AZ378" i="3" s="1"/>
  <c r="G379" i="3"/>
  <c r="BA380" i="3"/>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AZ128" i="3" s="1"/>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G161" i="3"/>
  <c r="BA163" i="3"/>
  <c r="AZ163" i="3"/>
  <c r="BL164" i="3"/>
  <c r="AZ164" i="3" s="1"/>
  <c r="G165" i="3"/>
  <c r="BA167" i="3"/>
  <c r="BL168" i="3"/>
  <c r="G169" i="3"/>
  <c r="BA171" i="3"/>
  <c r="AZ171" i="3"/>
  <c r="BL172" i="3"/>
  <c r="AZ172" i="3"/>
  <c r="G173" i="3"/>
  <c r="BA175" i="3"/>
  <c r="AZ175" i="3" s="1"/>
  <c r="BL176" i="3"/>
  <c r="AZ176" i="3" s="1"/>
  <c r="G177" i="3"/>
  <c r="BA179" i="3"/>
  <c r="AZ179" i="3" s="1"/>
  <c r="BL180" i="3"/>
  <c r="AZ180" i="3"/>
  <c r="G181" i="3"/>
  <c r="BA183" i="3"/>
  <c r="BL184" i="3"/>
  <c r="AZ184" i="3" s="1"/>
  <c r="G185" i="3"/>
  <c r="BA187" i="3"/>
  <c r="BL188" i="3"/>
  <c r="AZ188" i="3" s="1"/>
  <c r="G189" i="3"/>
  <c r="BA191" i="3"/>
  <c r="AZ191" i="3"/>
  <c r="BL192" i="3"/>
  <c r="G193" i="3"/>
  <c r="BA195" i="3"/>
  <c r="AZ195" i="3"/>
  <c r="BL196" i="3"/>
  <c r="AZ196" i="3" s="1"/>
  <c r="G197" i="3"/>
  <c r="BA199" i="3"/>
  <c r="AZ199" i="3"/>
  <c r="BL200" i="3"/>
  <c r="G201" i="3"/>
  <c r="BA203" i="3"/>
  <c r="BL204" i="3"/>
  <c r="AZ204" i="3"/>
  <c r="AZ39" i="3"/>
  <c r="AZ43" i="3"/>
  <c r="AZ51" i="3"/>
  <c r="AZ59" i="3"/>
  <c r="AZ63" i="3"/>
  <c r="AZ67" i="3"/>
  <c r="AZ71" i="3"/>
  <c r="AZ75" i="3"/>
  <c r="AZ79" i="3"/>
  <c r="AZ83" i="3"/>
  <c r="AZ136" i="3"/>
  <c r="AZ144" i="3"/>
  <c r="AZ160" i="3"/>
  <c r="AZ168" i="3"/>
  <c r="AZ200" i="3"/>
  <c r="AZ85" i="3"/>
  <c r="AZ89" i="3"/>
  <c r="AZ97" i="3"/>
  <c r="AZ101" i="3"/>
  <c r="AZ105" i="3"/>
  <c r="AZ109"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BA328" i="3"/>
  <c r="BA329" i="3"/>
  <c r="BL329" i="3"/>
  <c r="AZ329" i="3"/>
  <c r="G330" i="3"/>
  <c r="G333" i="3"/>
  <c r="BL334" i="3"/>
  <c r="BA336" i="3"/>
  <c r="AZ336" i="3" s="1"/>
  <c r="BA337" i="3"/>
  <c r="BL337" i="3"/>
  <c r="AZ337" i="3" s="1"/>
  <c r="G338" i="3"/>
  <c r="G341" i="3"/>
  <c r="BA342" i="3"/>
  <c r="AZ342" i="3" s="1"/>
  <c r="BL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AZ369" i="3" s="1"/>
  <c r="BA371" i="3"/>
  <c r="AZ371" i="3"/>
  <c r="BA372" i="3"/>
  <c r="AZ372" i="3"/>
  <c r="BL372" i="3"/>
  <c r="G373" i="3"/>
  <c r="G376" i="3"/>
  <c r="BL377" i="3"/>
  <c r="BL379" i="3"/>
  <c r="BA381" i="3"/>
  <c r="AZ381" i="3"/>
  <c r="BA382" i="3"/>
  <c r="AZ382" i="3" s="1"/>
  <c r="BL382" i="3"/>
  <c r="G383" i="3"/>
  <c r="G386" i="3"/>
  <c r="BL387" i="3"/>
  <c r="AZ387" i="3" s="1"/>
  <c r="BA389" i="3"/>
  <c r="BA390" i="3"/>
  <c r="AZ390" i="3" s="1"/>
  <c r="BL390" i="3"/>
  <c r="G391" i="3"/>
  <c r="G394" i="3"/>
  <c r="AZ138" i="3"/>
  <c r="AZ142" i="3"/>
  <c r="AZ146" i="3"/>
  <c r="AZ150" i="3"/>
  <c r="AZ154" i="3"/>
  <c r="AZ158" i="3"/>
  <c r="AZ162" i="3"/>
  <c r="AZ166" i="3"/>
  <c r="AZ182" i="3"/>
  <c r="AZ186" i="3"/>
  <c r="AZ190" i="3"/>
  <c r="AZ198"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c r="G316" i="3"/>
  <c r="BA318" i="3"/>
  <c r="BL319" i="3"/>
  <c r="AZ319" i="3" s="1"/>
  <c r="G320" i="3"/>
  <c r="BA322" i="3"/>
  <c r="AZ322" i="3"/>
  <c r="BL323" i="3"/>
  <c r="G324" i="3"/>
  <c r="BA326" i="3"/>
  <c r="AZ326" i="3"/>
  <c r="BL327" i="3"/>
  <c r="G328" i="3"/>
  <c r="BA330" i="3"/>
  <c r="AZ330" i="3"/>
  <c r="BL331" i="3"/>
  <c r="AZ331" i="3"/>
  <c r="G332" i="3"/>
  <c r="BA334" i="3"/>
  <c r="AZ334" i="3" s="1"/>
  <c r="BL335" i="3"/>
  <c r="AZ335" i="3" s="1"/>
  <c r="G336" i="3"/>
  <c r="BA338" i="3"/>
  <c r="BL339" i="3"/>
  <c r="G340" i="3"/>
  <c r="BL343" i="3"/>
  <c r="G344" i="3"/>
  <c r="G348" i="3"/>
  <c r="G355" i="3"/>
  <c r="AZ209" i="3"/>
  <c r="AZ214" i="3"/>
  <c r="AZ218" i="3"/>
  <c r="AZ222" i="3"/>
  <c r="G342" i="3"/>
  <c r="BL345" i="3"/>
  <c r="AZ345" i="3"/>
  <c r="G346" i="3"/>
  <c r="BL349" i="3"/>
  <c r="AZ349" i="3"/>
  <c r="BL352" i="3"/>
  <c r="G353" i="3"/>
  <c r="BA357" i="3"/>
  <c r="AZ357" i="3"/>
  <c r="BL358" i="3"/>
  <c r="AZ358" i="3"/>
  <c r="G359" i="3"/>
  <c r="BA361" i="3"/>
  <c r="AZ361" i="3"/>
  <c r="BL362" i="3"/>
  <c r="AZ362" i="3" s="1"/>
  <c r="G363" i="3"/>
  <c r="BA365" i="3"/>
  <c r="AZ365" i="3"/>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O5" i="3"/>
  <c r="BM5" i="3"/>
  <c r="F29" i="6" s="1"/>
  <c r="BJ5" i="3"/>
  <c r="BH5" i="3"/>
  <c r="BF5" i="3"/>
  <c r="AZ317" i="3"/>
  <c r="AZ325" i="3"/>
  <c r="AC5" i="3"/>
  <c r="AZ506" i="3"/>
  <c r="AZ496" i="3"/>
  <c r="G548" i="3"/>
  <c r="G520" i="3"/>
  <c r="G502" i="3"/>
  <c r="BS5" i="3"/>
  <c r="BN5" i="3"/>
  <c r="AZ343" i="3"/>
  <c r="BK5" i="3"/>
  <c r="BG5" i="3"/>
  <c r="BE5" i="3"/>
  <c r="BC5" i="3"/>
  <c r="G17" i="3"/>
  <c r="BA17" i="3"/>
  <c r="BT5" i="3"/>
  <c r="AZ350" i="3"/>
  <c r="AZ356" i="3"/>
  <c r="AZ368" i="3"/>
  <c r="BA15" i="3"/>
  <c r="AZ15" i="3" s="1"/>
  <c r="BB5" i="3"/>
  <c r="E8" i="6" s="1"/>
  <c r="BR5" i="3"/>
  <c r="G28" i="6"/>
  <c r="AZ380" i="3"/>
  <c r="AZ384" i="3"/>
  <c r="AZ388" i="3"/>
  <c r="AZ392" i="3"/>
  <c r="AZ396" i="3"/>
  <c r="AZ394" i="3"/>
  <c r="AZ509" i="3"/>
  <c r="G509" i="3"/>
  <c r="BL493" i="3"/>
  <c r="AZ491" i="3"/>
  <c r="AZ376"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Z501" i="3"/>
  <c r="W37" i="37"/>
  <c r="S15" i="37"/>
  <c r="U13" i="37"/>
  <c r="U12" i="40"/>
  <c r="AA12" i="40"/>
  <c r="J37" i="33"/>
  <c r="W37" i="33"/>
  <c r="F106" i="33"/>
  <c r="G106" i="33"/>
  <c r="H106" i="33"/>
  <c r="I106" i="33" s="1"/>
  <c r="J106" i="33" s="1"/>
  <c r="K106" i="33" s="1"/>
  <c r="L106" i="33" s="1"/>
  <c r="M106" i="33" s="1"/>
  <c r="J34" i="33"/>
  <c r="W34" i="33"/>
  <c r="F33" i="34"/>
  <c r="S33" i="34" s="1"/>
  <c r="W12" i="36"/>
  <c r="AC12" i="36"/>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G96" i="37" s="1"/>
  <c r="H96" i="37" s="1"/>
  <c r="I96" i="37" s="1"/>
  <c r="H27" i="40"/>
  <c r="U27" i="40" s="1"/>
  <c r="J27" i="40"/>
  <c r="AC27" i="40"/>
  <c r="F27" i="40"/>
  <c r="S27" i="40" s="1"/>
  <c r="J30" i="40"/>
  <c r="AC30" i="40"/>
  <c r="F30" i="40"/>
  <c r="AA30" i="40" s="1"/>
  <c r="AC21" i="40"/>
  <c r="S11" i="40"/>
  <c r="E98" i="40"/>
  <c r="F98" i="40"/>
  <c r="G98" i="40"/>
  <c r="H98" i="40" s="1"/>
  <c r="I98" i="40" s="1"/>
  <c r="J98" i="40" s="1"/>
  <c r="K98" i="40" s="1"/>
  <c r="L98" i="40" s="1"/>
  <c r="M98" i="40" s="1"/>
  <c r="F10" i="33"/>
  <c r="S10" i="33"/>
  <c r="F34" i="33"/>
  <c r="S34" i="33" s="1"/>
  <c r="H34" i="33"/>
  <c r="U34" i="33"/>
  <c r="F35" i="33"/>
  <c r="S35" i="33" s="1"/>
  <c r="J39" i="34"/>
  <c r="W39" i="34" s="1"/>
  <c r="F40" i="34"/>
  <c r="S40" i="34" s="1"/>
  <c r="H44" i="34"/>
  <c r="AB44" i="34" s="1"/>
  <c r="AC38" i="39"/>
  <c r="F39" i="39"/>
  <c r="S39" i="39" s="1"/>
  <c r="J39" i="39"/>
  <c r="AC39" i="39"/>
  <c r="E97" i="39"/>
  <c r="F97" i="39" s="1"/>
  <c r="G97"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72" i="3"/>
  <c r="AZ77" i="3"/>
  <c r="AZ82" i="3"/>
  <c r="AZ86" i="3"/>
  <c r="AZ94" i="3"/>
  <c r="AZ102" i="3"/>
  <c r="AZ110" i="3"/>
  <c r="F23" i="39"/>
  <c r="H27" i="36"/>
  <c r="U27" i="36"/>
  <c r="F27" i="36"/>
  <c r="AA27" i="36" s="1"/>
  <c r="H33" i="34"/>
  <c r="U33" i="34" s="1"/>
  <c r="F32" i="37"/>
  <c r="S32" i="37" s="1"/>
  <c r="AA32" i="37"/>
  <c r="J96" i="37"/>
  <c r="K96" i="37" s="1"/>
  <c r="L96" i="37" s="1"/>
  <c r="M96" i="37" s="1"/>
  <c r="F20" i="36"/>
  <c r="J33" i="34"/>
  <c r="AC33" i="34" s="1"/>
  <c r="H23" i="39"/>
  <c r="U23" i="39"/>
  <c r="D48" i="9"/>
  <c r="M52" i="9" s="1"/>
  <c r="H86" i="43"/>
  <c r="H82" i="43"/>
  <c r="H87" i="43"/>
  <c r="K9" i="1"/>
  <c r="M9" i="1" s="1"/>
  <c r="AE9" i="1"/>
  <c r="D93" i="9"/>
  <c r="K6" i="1"/>
  <c r="AB34" i="36"/>
  <c r="U34" i="36"/>
  <c r="AB33" i="36"/>
  <c r="U33" i="36"/>
  <c r="AC12" i="39"/>
  <c r="W12" i="39"/>
  <c r="AC39" i="40"/>
  <c r="W39" i="40"/>
  <c r="AZ401" i="3"/>
  <c r="AZ412" i="3"/>
  <c r="AZ417" i="3"/>
  <c r="AZ428" i="3"/>
  <c r="AZ433" i="3"/>
  <c r="AZ465" i="3"/>
  <c r="W12" i="33"/>
  <c r="AC12" i="33"/>
  <c r="AA32" i="36"/>
  <c r="S32" i="36"/>
  <c r="AZ551" i="3"/>
  <c r="AZ408" i="3"/>
  <c r="AZ437" i="3"/>
  <c r="AZ441" i="3"/>
  <c r="AZ457" i="3"/>
  <c r="AZ473" i="3"/>
  <c r="AZ490" i="3"/>
  <c r="BL14" i="3"/>
  <c r="AZ266" i="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 i="3"/>
  <c r="AZ26" i="3"/>
  <c r="AZ35" i="3"/>
  <c r="AZ41" i="3"/>
  <c r="S12" i="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E26" i="66"/>
  <c r="AC34" i="33"/>
  <c r="AA34" i="33"/>
  <c r="B41" i="1"/>
  <c r="J100" i="43"/>
  <c r="AB37" i="40"/>
  <c r="S35" i="40"/>
  <c r="AC36" i="40"/>
  <c r="W38" i="40"/>
  <c r="AA32" i="40"/>
  <c r="S17" i="40"/>
  <c r="S23" i="40"/>
  <c r="AC17" i="40"/>
  <c r="AC15" i="40"/>
  <c r="AB27" i="40"/>
  <c r="S30" i="40"/>
  <c r="AA19" i="40"/>
  <c r="S28" i="40"/>
  <c r="AA27" i="40"/>
  <c r="U21" i="40"/>
  <c r="AB19" i="40"/>
  <c r="W42" i="39"/>
  <c r="U37" i="39"/>
  <c r="W39" i="39"/>
  <c r="S43" i="39"/>
  <c r="S37" i="39"/>
  <c r="U35" i="39"/>
  <c r="F32" i="39"/>
  <c r="AA32" i="39" s="1"/>
  <c r="F107" i="39"/>
  <c r="G107" i="39" s="1"/>
  <c r="U25" i="39"/>
  <c r="AB27" i="39"/>
  <c r="S25" i="39"/>
  <c r="J21" i="39"/>
  <c r="F21" i="39"/>
  <c r="AA21" i="39" s="1"/>
  <c r="G95" i="39"/>
  <c r="H21" i="39"/>
  <c r="W19" i="39"/>
  <c r="U19" i="39"/>
  <c r="S17" i="39"/>
  <c r="AC15" i="39"/>
  <c r="S15" i="39"/>
  <c r="AB15" i="39"/>
  <c r="AA12" i="39"/>
  <c r="S9" i="39"/>
  <c r="U14" i="39"/>
  <c r="AC13" i="39"/>
  <c r="S23" i="36"/>
  <c r="U13" i="36"/>
  <c r="AC27" i="36"/>
  <c r="AB27" i="36"/>
  <c r="U26" i="36"/>
  <c r="S33" i="36"/>
  <c r="AA26" i="36"/>
  <c r="AA34" i="36"/>
  <c r="S29" i="36"/>
  <c r="AC26" i="36"/>
  <c r="AA22" i="36"/>
  <c r="W14" i="36"/>
  <c r="AB14" i="36"/>
  <c r="U22" i="36"/>
  <c r="S16" i="36"/>
  <c r="AA25"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c r="J26" i="35"/>
  <c r="H26" i="35"/>
  <c r="AB40" i="37"/>
  <c r="S25" i="37"/>
  <c r="W27" i="37"/>
  <c r="AC9" i="37"/>
  <c r="AC29" i="37"/>
  <c r="U29" i="37"/>
  <c r="AB31" i="37"/>
  <c r="W30" i="37"/>
  <c r="S36" i="37"/>
  <c r="AA38" i="37"/>
  <c r="U32" i="37"/>
  <c r="W38" i="37"/>
  <c r="AC35" i="37"/>
  <c r="S30" i="37"/>
  <c r="S37" i="37"/>
  <c r="AC15" i="37"/>
  <c r="J17" i="37"/>
  <c r="W17" i="37"/>
  <c r="G73" i="37"/>
  <c r="F17" i="37"/>
  <c r="AA17" i="37" s="1"/>
  <c r="AB17" i="37"/>
  <c r="F75" i="37"/>
  <c r="G75" i="37" s="1"/>
  <c r="F19" i="37"/>
  <c r="F79" i="37"/>
  <c r="F23" i="37"/>
  <c r="S23" i="37"/>
  <c r="U23" i="37"/>
  <c r="U15" i="37"/>
  <c r="AC13" i="37"/>
  <c r="U9" i="37"/>
  <c r="AA13" i="37"/>
  <c r="AA12" i="37"/>
  <c r="AA9" i="37"/>
  <c r="H10" i="37"/>
  <c r="U10" i="37" s="1"/>
  <c r="H60" i="37"/>
  <c r="F63" i="37"/>
  <c r="F11" i="37"/>
  <c r="S11" i="37"/>
  <c r="AB8" i="34"/>
  <c r="AA33" i="34"/>
  <c r="AC42" i="34"/>
  <c r="AB35" i="34"/>
  <c r="AA45" i="34"/>
  <c r="U28" i="34"/>
  <c r="S17" i="34"/>
  <c r="AA29" i="34"/>
  <c r="S13" i="34"/>
  <c r="H67" i="34"/>
  <c r="H10" i="34"/>
  <c r="AB10" i="34" s="1"/>
  <c r="F11" i="34"/>
  <c r="S11" i="34" s="1"/>
  <c r="W42" i="33"/>
  <c r="AA35" i="33"/>
  <c r="S27" i="33"/>
  <c r="S32" i="33"/>
  <c r="AB29" i="33"/>
  <c r="W38" i="33"/>
  <c r="H41" i="33"/>
  <c r="F121" i="33"/>
  <c r="G121" i="33"/>
  <c r="H121" i="33"/>
  <c r="I121" i="33" s="1"/>
  <c r="J121" i="33" s="1"/>
  <c r="K121" i="33" s="1"/>
  <c r="L121" i="33"/>
  <c r="M121" i="33" s="1"/>
  <c r="U42" i="33"/>
  <c r="S42" i="33"/>
  <c r="F36" i="33"/>
  <c r="S36" i="33" s="1"/>
  <c r="G111" i="33"/>
  <c r="G108" i="33"/>
  <c r="H108" i="33"/>
  <c r="I108" i="33"/>
  <c r="J108" i="33" s="1"/>
  <c r="K108" i="33" s="1"/>
  <c r="L108" i="33" s="1"/>
  <c r="M108"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U23" i="33" s="1"/>
  <c r="F81" i="33"/>
  <c r="F19" i="33"/>
  <c r="S19" i="33"/>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c r="F23" i="21"/>
  <c r="S23" i="21" s="1"/>
  <c r="E85" i="21"/>
  <c r="AC11" i="21"/>
  <c r="AB8" i="21"/>
  <c r="S8" i="21"/>
  <c r="M3" i="43"/>
  <c r="C6" i="43" s="1"/>
  <c r="M1" i="43"/>
  <c r="N8" i="43"/>
  <c r="D120" i="9"/>
  <c r="D121" i="9" s="1"/>
  <c r="D7" i="52" s="1"/>
  <c r="C18" i="9"/>
  <c r="D18" i="9" s="1"/>
  <c r="F34" i="67"/>
  <c r="F62" i="67" s="1"/>
  <c r="M20" i="67"/>
  <c r="F34" i="15"/>
  <c r="F62" i="15" s="1"/>
  <c r="G13" i="3"/>
  <c r="BA13" i="3"/>
  <c r="BL17" i="3"/>
  <c r="AZ17" i="3"/>
  <c r="BL13" i="3"/>
  <c r="J56" i="9"/>
  <c r="J57" i="9" s="1"/>
  <c r="J59" i="9" s="1"/>
  <c r="J61" i="9" s="1"/>
  <c r="A24" i="51"/>
  <c r="B18" i="72" s="1"/>
  <c r="U29" i="34"/>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E48" i="43"/>
  <c r="B46" i="43"/>
  <c r="E70" i="43"/>
  <c r="B68" i="43" s="1"/>
  <c r="F100" i="43"/>
  <c r="H17" i="43"/>
  <c r="H85" i="43"/>
  <c r="H81" i="43"/>
  <c r="H84" i="43"/>
  <c r="H88" i="43"/>
  <c r="H78" i="43"/>
  <c r="H71" i="43"/>
  <c r="C17" i="43"/>
  <c r="F33" i="43"/>
  <c r="K17" i="43"/>
  <c r="F34" i="43"/>
  <c r="N6" i="43"/>
  <c r="N3" i="43"/>
  <c r="F59" i="43" s="1"/>
  <c r="F38" i="43"/>
  <c r="F37" i="43"/>
  <c r="M9" i="43"/>
  <c r="N5" i="43"/>
  <c r="M12" i="43"/>
  <c r="B19" i="53"/>
  <c r="B37" i="72" s="1"/>
  <c r="C7" i="39"/>
  <c r="C68" i="39"/>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T35" i="4"/>
  <c r="A19" i="51"/>
  <c r="B14" i="72" s="1"/>
  <c r="C46" i="36"/>
  <c r="C59" i="34"/>
  <c r="D59" i="34" s="1"/>
  <c r="E59" i="34" s="1"/>
  <c r="C52" i="37"/>
  <c r="A4" i="51"/>
  <c r="B6" i="72" s="1"/>
  <c r="C4" i="12"/>
  <c r="H55" i="43"/>
  <c r="H72" i="43"/>
  <c r="L20" i="6"/>
  <c r="B6" i="1"/>
  <c r="E6" i="1" s="1"/>
  <c r="S8" i="1"/>
  <c r="AQ8"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S9" i="36"/>
  <c r="AB20" i="35"/>
  <c r="AC25" i="35"/>
  <c r="U25" i="35"/>
  <c r="W33" i="35"/>
  <c r="AA30" i="35"/>
  <c r="S35" i="35"/>
  <c r="W35" i="35"/>
  <c r="AA16" i="35"/>
  <c r="AA35" i="37"/>
  <c r="W36" i="37"/>
  <c r="S28" i="37"/>
  <c r="W32" i="37"/>
  <c r="U36" i="37"/>
  <c r="S40" i="37"/>
  <c r="U38" i="37"/>
  <c r="AB37" i="37"/>
  <c r="S33" i="37"/>
  <c r="AC34" i="37"/>
  <c r="AA11" i="37"/>
  <c r="U19" i="37"/>
  <c r="AA29" i="37"/>
  <c r="AA8" i="37"/>
  <c r="U8" i="37"/>
  <c r="AA40" i="34"/>
  <c r="U19" i="34"/>
  <c r="W19" i="34"/>
  <c r="AC45" i="34"/>
  <c r="AA31" i="34"/>
  <c r="AB47" i="34"/>
  <c r="AB36" i="34"/>
  <c r="W33" i="34"/>
  <c r="AC14" i="34"/>
  <c r="AC32" i="34"/>
  <c r="AC29" i="34"/>
  <c r="W29" i="34"/>
  <c r="S32" i="34"/>
  <c r="AA32" i="34"/>
  <c r="U38" i="34"/>
  <c r="AA19" i="34"/>
  <c r="S19" i="34"/>
  <c r="AA36" i="34"/>
  <c r="S36" i="34"/>
  <c r="AA8" i="34"/>
  <c r="S8" i="34"/>
  <c r="AB9" i="34"/>
  <c r="U9" i="34"/>
  <c r="U32" i="34"/>
  <c r="AB32" i="34"/>
  <c r="U14" i="34"/>
  <c r="AB14" i="34"/>
  <c r="AB28" i="33"/>
  <c r="AC37" i="33"/>
  <c r="W46" i="33"/>
  <c r="U39" i="33"/>
  <c r="U38" i="33"/>
  <c r="S33" i="33"/>
  <c r="AB34" i="33"/>
  <c r="U44" i="33"/>
  <c r="AB44" i="33"/>
  <c r="S30" i="33"/>
  <c r="AA30" i="33"/>
  <c r="AC14" i="33"/>
  <c r="W14" i="33"/>
  <c r="AC30" i="33"/>
  <c r="W30" i="33"/>
  <c r="U15" i="33"/>
  <c r="S11" i="33"/>
  <c r="U37" i="33"/>
  <c r="AC28" i="33"/>
  <c r="S28" i="33"/>
  <c r="W9" i="33"/>
  <c r="W8" i="33"/>
  <c r="S44" i="21"/>
  <c r="AB42" i="21"/>
  <c r="U28" i="21"/>
  <c r="AA11" i="21"/>
  <c r="S45" i="21"/>
  <c r="I101" i="21"/>
  <c r="J101" i="21"/>
  <c r="K101" i="21"/>
  <c r="L101" i="21" s="1"/>
  <c r="M101" i="21" s="1"/>
  <c r="F33" i="21"/>
  <c r="J33" i="21"/>
  <c r="H33" i="21"/>
  <c r="AB33" i="21" s="1"/>
  <c r="F37" i="21"/>
  <c r="AA37" i="21"/>
  <c r="AA26" i="21"/>
  <c r="AB46" i="21"/>
  <c r="U40" i="21"/>
  <c r="AB31" i="21"/>
  <c r="U31" i="21"/>
  <c r="AC15" i="21"/>
  <c r="U13" i="21"/>
  <c r="AB13" i="21"/>
  <c r="W8" i="21"/>
  <c r="S35" i="21"/>
  <c r="AB37" i="21"/>
  <c r="J37" i="21"/>
  <c r="W37" i="21" s="1"/>
  <c r="H15" i="21"/>
  <c r="U15" i="21"/>
  <c r="J17" i="21"/>
  <c r="AC17" i="21" s="1"/>
  <c r="AC19" i="21"/>
  <c r="W39" i="21"/>
  <c r="AC14" i="21"/>
  <c r="W30" i="21"/>
  <c r="S46" i="21"/>
  <c r="H45" i="21"/>
  <c r="U45" i="21" s="1"/>
  <c r="F29" i="21"/>
  <c r="S29" i="21"/>
  <c r="F13" i="21"/>
  <c r="AA13" i="21" s="1"/>
  <c r="AC38" i="21"/>
  <c r="H32" i="21"/>
  <c r="H9" i="21"/>
  <c r="U9" i="21" s="1"/>
  <c r="J9" i="21"/>
  <c r="J32" i="21"/>
  <c r="F32" i="2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13" i="1"/>
  <c r="E7" i="70"/>
  <c r="AA39" i="40"/>
  <c r="S39" i="40"/>
  <c r="S12" i="33"/>
  <c r="AA12" i="33"/>
  <c r="J32" i="39"/>
  <c r="H107" i="39"/>
  <c r="I107" i="39" s="1"/>
  <c r="J107" i="39" s="1"/>
  <c r="K107" i="39" s="1"/>
  <c r="L107" i="39"/>
  <c r="M107" i="39" s="1"/>
  <c r="H32" i="39"/>
  <c r="AB21" i="39"/>
  <c r="U21" i="39"/>
  <c r="S21" i="39"/>
  <c r="AC21" i="39"/>
  <c r="W21" i="39"/>
  <c r="S26" i="35"/>
  <c r="U9" i="35"/>
  <c r="AB9" i="35"/>
  <c r="AA9" i="35"/>
  <c r="S9" i="35"/>
  <c r="AC26" i="35"/>
  <c r="W26" i="35"/>
  <c r="AB26" i="35"/>
  <c r="U26" i="35"/>
  <c r="AC17" i="37"/>
  <c r="S17" i="37"/>
  <c r="J19" i="37"/>
  <c r="S19" i="37"/>
  <c r="AA19" i="37"/>
  <c r="AA23" i="37"/>
  <c r="J23" i="37"/>
  <c r="G79" i="37"/>
  <c r="J10" i="37"/>
  <c r="I60" i="37"/>
  <c r="G63" i="37"/>
  <c r="H11" i="37"/>
  <c r="AB11" i="37" s="1"/>
  <c r="AB10" i="37"/>
  <c r="H11" i="34"/>
  <c r="J10" i="34"/>
  <c r="AC10" i="34" s="1"/>
  <c r="I67" i="34"/>
  <c r="AB41" i="33"/>
  <c r="U41" i="33"/>
  <c r="W35" i="33"/>
  <c r="AC35" i="33"/>
  <c r="H111" i="33"/>
  <c r="I111" i="33"/>
  <c r="J111" i="33"/>
  <c r="K111" i="33"/>
  <c r="L111" i="33" s="1"/>
  <c r="M111" i="33" s="1"/>
  <c r="J36" i="33"/>
  <c r="H36" i="33"/>
  <c r="U36" i="33" s="1"/>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W25" i="33" s="1"/>
  <c r="AB23" i="33"/>
  <c r="F23" i="33"/>
  <c r="G85" i="33"/>
  <c r="AC23" i="33"/>
  <c r="W23" i="33"/>
  <c r="AA19" i="33"/>
  <c r="H19" i="33"/>
  <c r="AB19" i="33" s="1"/>
  <c r="G81" i="33"/>
  <c r="G79" i="33"/>
  <c r="H17" i="33"/>
  <c r="F17" i="33"/>
  <c r="S17" i="33" s="1"/>
  <c r="W17" i="33"/>
  <c r="AC17" i="33"/>
  <c r="AB10" i="33"/>
  <c r="AC10" i="33"/>
  <c r="W10" i="33"/>
  <c r="AC37" i="21"/>
  <c r="U33" i="21"/>
  <c r="S37" i="21"/>
  <c r="AA23" i="21"/>
  <c r="AB15" i="21"/>
  <c r="J23" i="21"/>
  <c r="AC23" i="21" s="1"/>
  <c r="F85" i="21"/>
  <c r="G85" i="21" s="1"/>
  <c r="H23" i="21"/>
  <c r="S13" i="21"/>
  <c r="D6" i="52"/>
  <c r="R22" i="31"/>
  <c r="L27" i="6"/>
  <c r="AP7" i="1"/>
  <c r="AC33" i="21"/>
  <c r="W33" i="21"/>
  <c r="S33" i="21"/>
  <c r="AA33" i="21"/>
  <c r="W32" i="21"/>
  <c r="AC32" i="21"/>
  <c r="AB9" i="21"/>
  <c r="AA32" i="21"/>
  <c r="S32" i="21"/>
  <c r="W9" i="21"/>
  <c r="AC9" i="21"/>
  <c r="AB32" i="21"/>
  <c r="U32" i="21"/>
  <c r="AA10" i="21"/>
  <c r="E6" i="70"/>
  <c r="A18" i="62"/>
  <c r="B64" i="72" s="1"/>
  <c r="U32" i="39"/>
  <c r="AB32" i="39"/>
  <c r="AC32" i="39"/>
  <c r="W32" i="39"/>
  <c r="W19" i="37"/>
  <c r="AC19" i="37"/>
  <c r="W23" i="37"/>
  <c r="AC23" i="37"/>
  <c r="H63" i="37"/>
  <c r="I63" i="37"/>
  <c r="J63" i="37" s="1"/>
  <c r="K63" i="37" s="1"/>
  <c r="L63" i="37" s="1"/>
  <c r="M63" i="37" s="1"/>
  <c r="J11" i="37"/>
  <c r="W10" i="37"/>
  <c r="AC10" i="37"/>
  <c r="U11" i="34"/>
  <c r="AB11" i="34"/>
  <c r="J11" i="34"/>
  <c r="W11" i="34" s="1"/>
  <c r="AC36" i="33"/>
  <c r="W36" i="33"/>
  <c r="AB36" i="33"/>
  <c r="W27" i="33"/>
  <c r="AC27" i="33"/>
  <c r="AA23" i="33"/>
  <c r="S23" i="33"/>
  <c r="AA17" i="33"/>
  <c r="U17" i="33"/>
  <c r="AB17" i="33"/>
  <c r="U23" i="21"/>
  <c r="AB23" i="21"/>
  <c r="W23" i="21"/>
  <c r="AC11" i="37"/>
  <c r="W11" i="37"/>
  <c r="F34" i="11"/>
  <c r="C36" i="11" s="1"/>
  <c r="F11" i="12"/>
  <c r="C23" i="12" s="1"/>
  <c r="R8" i="1"/>
  <c r="AE7" i="1"/>
  <c r="AE8" i="1"/>
  <c r="AE6" i="1"/>
  <c r="AG6" i="1"/>
  <c r="H109" i="9"/>
  <c r="M49" i="9" s="1"/>
  <c r="D124" i="9"/>
  <c r="H14" i="74" s="1"/>
  <c r="D16" i="53"/>
  <c r="B34" i="72" s="1"/>
  <c r="J7" i="33"/>
  <c r="W7" i="33" s="1"/>
  <c r="F7" i="33"/>
  <c r="S7" i="33" s="1"/>
  <c r="H7" i="33"/>
  <c r="H112" i="9"/>
  <c r="D21" i="53"/>
  <c r="B39" i="72"/>
  <c r="H111" i="9"/>
  <c r="D126" i="9" s="1"/>
  <c r="AD3" i="71"/>
  <c r="D63" i="40"/>
  <c r="D65" i="40" s="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AC7" i="33"/>
  <c r="V48" i="33" s="1"/>
  <c r="I48" i="33" s="1"/>
  <c r="D58" i="21"/>
  <c r="E58" i="21" s="1"/>
  <c r="C15" i="71"/>
  <c r="D15" i="71"/>
  <c r="D16" i="71"/>
  <c r="D17" i="71"/>
  <c r="U17" i="71" s="1"/>
  <c r="S17" i="71"/>
  <c r="T17" i="71"/>
  <c r="AB15" i="71"/>
  <c r="X13" i="71"/>
  <c r="X12" i="71"/>
  <c r="AA13" i="71"/>
  <c r="AA12" i="71"/>
  <c r="X16" i="71"/>
  <c r="Y12" i="71"/>
  <c r="Z12" i="71" s="1"/>
  <c r="AB13" i="71"/>
  <c r="AB12" i="71"/>
  <c r="S13" i="71"/>
  <c r="F14" i="71"/>
  <c r="F13" i="71" s="1"/>
  <c r="F12" i="71" s="1"/>
  <c r="F11" i="71" s="1"/>
  <c r="F10" i="71" s="1"/>
  <c r="Y13" i="71"/>
  <c r="Z13" i="71" s="1"/>
  <c r="X3" i="71"/>
  <c r="C14" i="71"/>
  <c r="D14" i="71" s="1"/>
  <c r="F58" i="21"/>
  <c r="G58" i="21" s="1"/>
  <c r="H58" i="21" s="1"/>
  <c r="I58" i="21" s="1"/>
  <c r="J58" i="21" s="1"/>
  <c r="C13" i="71"/>
  <c r="C12" i="71" s="1"/>
  <c r="C11" i="71" s="1"/>
  <c r="C10" i="71" s="1"/>
  <c r="F34" i="68"/>
  <c r="L48" i="15"/>
  <c r="E2" i="69"/>
  <c r="F26" i="15"/>
  <c r="F35" i="15"/>
  <c r="M9" i="15"/>
  <c r="F40" i="67"/>
  <c r="AO12" i="1"/>
  <c r="AO13" i="1"/>
  <c r="F40" i="15"/>
  <c r="C76" i="67"/>
  <c r="E2" i="68"/>
  <c r="D7" i="73"/>
  <c r="F38" i="67"/>
  <c r="M22" i="67"/>
  <c r="D3" i="73"/>
  <c r="D34" i="9"/>
  <c r="J15" i="15"/>
  <c r="M28" i="15"/>
  <c r="B13" i="76"/>
  <c r="F37" i="67"/>
  <c r="M8" i="15"/>
  <c r="F6" i="15"/>
  <c r="F7" i="73"/>
  <c r="F36" i="67"/>
  <c r="M23" i="67"/>
  <c r="D4" i="73"/>
  <c r="AO10" i="1"/>
  <c r="AO8" i="1"/>
  <c r="AO7" i="1"/>
  <c r="E12" i="76"/>
  <c r="B12" i="76"/>
  <c r="M24" i="67"/>
  <c r="C76" i="15"/>
  <c r="E13" i="76"/>
  <c r="F8" i="67"/>
  <c r="F26" i="67"/>
  <c r="M26" i="67"/>
  <c r="F6" i="73"/>
  <c r="F9" i="15"/>
  <c r="D35" i="9"/>
  <c r="B8" i="76"/>
  <c r="F9" i="67"/>
  <c r="F7" i="15"/>
  <c r="B11" i="76"/>
  <c r="F5" i="73"/>
  <c r="F13" i="15"/>
  <c r="M8" i="67"/>
  <c r="F38" i="15"/>
  <c r="F37" i="15"/>
  <c r="M9" i="67"/>
  <c r="E7" i="76"/>
  <c r="D2" i="33"/>
  <c r="F41" i="15"/>
  <c r="E10" i="76"/>
  <c r="F43" i="67"/>
  <c r="E11" i="76"/>
  <c r="F4" i="73"/>
  <c r="M21" i="67"/>
  <c r="F3" i="73"/>
  <c r="F42" i="67"/>
  <c r="F7" i="67"/>
  <c r="F8" i="15"/>
  <c r="M6" i="15"/>
  <c r="L48" i="67"/>
  <c r="AO6" i="1"/>
  <c r="E9" i="76"/>
  <c r="AO9" i="1"/>
  <c r="F35" i="67"/>
  <c r="M24" i="15"/>
  <c r="D2" i="34"/>
  <c r="M29" i="67"/>
  <c r="M29" i="15"/>
  <c r="B9" i="76"/>
  <c r="F42" i="15"/>
  <c r="M28" i="67"/>
  <c r="F16" i="67"/>
  <c r="J15" i="67"/>
  <c r="B7" i="76"/>
  <c r="E8" i="76"/>
  <c r="F36" i="15"/>
  <c r="F41" i="67"/>
  <c r="M21" i="15"/>
  <c r="M26" i="15"/>
  <c r="D2" i="21"/>
  <c r="D2" i="35"/>
  <c r="F6" i="67"/>
  <c r="M6" i="67"/>
  <c r="F20" i="31"/>
  <c r="AO11" i="1"/>
  <c r="D2" i="36"/>
  <c r="D2" i="37"/>
  <c r="F13" i="67"/>
  <c r="F43" i="15"/>
  <c r="B10" i="76"/>
  <c r="M23" i="15"/>
  <c r="D6" i="73"/>
  <c r="M27" i="67"/>
  <c r="M27" i="15"/>
  <c r="D5" i="73"/>
  <c r="L47" i="67"/>
  <c r="D12" i="52" l="1"/>
  <c r="I14" i="74"/>
  <c r="D127" i="9"/>
  <c r="D13" i="52" s="1"/>
  <c r="L65" i="9"/>
  <c r="M65" i="9" s="1"/>
  <c r="L64" i="9"/>
  <c r="M64" i="9" s="1"/>
  <c r="L67" i="9"/>
  <c r="M67" i="9" s="1"/>
  <c r="L68" i="9"/>
  <c r="M68" i="9" s="1"/>
  <c r="L63" i="9"/>
  <c r="M63" i="9" s="1"/>
  <c r="M69" i="9" s="1"/>
  <c r="N69" i="9" s="1"/>
  <c r="L66" i="9"/>
  <c r="M66" i="9" s="1"/>
  <c r="C9" i="71"/>
  <c r="D10" i="71"/>
  <c r="D125" i="9"/>
  <c r="D11" i="52" s="1"/>
  <c r="D10" i="52"/>
  <c r="AB12" i="39"/>
  <c r="U12" i="39"/>
  <c r="D13" i="71"/>
  <c r="U13" i="71" s="1"/>
  <c r="D19" i="53"/>
  <c r="H110" i="9"/>
  <c r="D18" i="53" s="1"/>
  <c r="B35" i="72" s="1"/>
  <c r="U19" i="33"/>
  <c r="AC25" i="33"/>
  <c r="D12" i="71"/>
  <c r="E63" i="40"/>
  <c r="T13" i="71"/>
  <c r="E68" i="39"/>
  <c r="AA7" i="33"/>
  <c r="R48" i="33" s="1"/>
  <c r="D17" i="53"/>
  <c r="B36" i="72" s="1"/>
  <c r="W10" i="34"/>
  <c r="U11" i="37"/>
  <c r="AB45" i="21"/>
  <c r="S32" i="39"/>
  <c r="S27" i="36"/>
  <c r="D11" i="71"/>
  <c r="AA20" i="36"/>
  <c r="S20" i="36"/>
  <c r="AA23" i="39"/>
  <c r="S23" i="39"/>
  <c r="AZ327" i="3"/>
  <c r="AZ555" i="3"/>
  <c r="AZ569" i="3"/>
  <c r="H14" i="21"/>
  <c r="F14" i="21"/>
  <c r="E78" i="34"/>
  <c r="F78" i="34" s="1"/>
  <c r="G78" i="34" s="1"/>
  <c r="J15" i="34"/>
  <c r="F15" i="34"/>
  <c r="H15" i="34"/>
  <c r="AB15" i="34" s="1"/>
  <c r="H13" i="33"/>
  <c r="F13" i="33"/>
  <c r="H31" i="33"/>
  <c r="F31" i="33"/>
  <c r="F12" i="34"/>
  <c r="J12" i="34"/>
  <c r="H12" i="34"/>
  <c r="F30" i="34"/>
  <c r="H30" i="34"/>
  <c r="H46" i="34"/>
  <c r="F46" i="34"/>
  <c r="J46" i="34"/>
  <c r="H11" i="35"/>
  <c r="F11" i="35"/>
  <c r="AA31" i="37"/>
  <c r="U35" i="40"/>
  <c r="AZ14" i="3"/>
  <c r="AZ377" i="3"/>
  <c r="AZ545" i="3"/>
  <c r="U28" i="37"/>
  <c r="AB28" i="37"/>
  <c r="S14" i="34"/>
  <c r="AA14" i="34"/>
  <c r="AB33" i="37"/>
  <c r="U33" i="37"/>
  <c r="AA41" i="33"/>
  <c r="S41" i="33"/>
  <c r="AC16" i="35"/>
  <c r="W16" i="35"/>
  <c r="AC36" i="39"/>
  <c r="W36" i="39"/>
  <c r="S36" i="39"/>
  <c r="AA36" i="39"/>
  <c r="U38" i="21"/>
  <c r="AB38" i="21"/>
  <c r="BA586" i="3"/>
  <c r="AZ586" i="3" s="1"/>
  <c r="AA40" i="21"/>
  <c r="S40" i="21"/>
  <c r="B74" i="43"/>
  <c r="C27" i="39"/>
  <c r="AB8" i="33"/>
  <c r="U8" i="33"/>
  <c r="U12" i="33"/>
  <c r="AB12" i="33"/>
  <c r="J27" i="34"/>
  <c r="F27" i="34"/>
  <c r="H27" i="34"/>
  <c r="J24" i="36"/>
  <c r="H24" i="36"/>
  <c r="F24" i="36"/>
  <c r="AB30" i="37"/>
  <c r="U30" i="37"/>
  <c r="H27" i="37"/>
  <c r="F27" i="37"/>
  <c r="J39" i="37"/>
  <c r="H39" i="37"/>
  <c r="F39" i="37"/>
  <c r="W17" i="21"/>
  <c r="AB45" i="34"/>
  <c r="F53" i="9"/>
  <c r="H22" i="77"/>
  <c r="U30" i="33"/>
  <c r="AC11" i="39"/>
  <c r="BQ5" i="3"/>
  <c r="F28" i="6" s="1"/>
  <c r="AZ338" i="3"/>
  <c r="AZ565" i="3"/>
  <c r="AZ534" i="3"/>
  <c r="AA14" i="37"/>
  <c r="AC14" i="39"/>
  <c r="W14" i="39"/>
  <c r="U13" i="34"/>
  <c r="AB13" i="34"/>
  <c r="S11" i="36"/>
  <c r="AA11" i="36"/>
  <c r="W32" i="36"/>
  <c r="AC32" i="36"/>
  <c r="J31" i="33"/>
  <c r="J13" i="33"/>
  <c r="U12" i="35"/>
  <c r="AB12" i="35"/>
  <c r="BA557" i="3"/>
  <c r="AZ557" i="3" s="1"/>
  <c r="BA556" i="3"/>
  <c r="AZ556" i="3" s="1"/>
  <c r="BA547" i="3"/>
  <c r="AZ547" i="3" s="1"/>
  <c r="BL546" i="3"/>
  <c r="BA546" i="3"/>
  <c r="AZ546" i="3" s="1"/>
  <c r="BL545" i="3"/>
  <c r="BA544" i="3"/>
  <c r="BA543" i="3"/>
  <c r="AZ543" i="3" s="1"/>
  <c r="BL542" i="3"/>
  <c r="AZ542" i="3" s="1"/>
  <c r="BL541" i="3"/>
  <c r="BA541" i="3"/>
  <c r="AZ541" i="3" s="1"/>
  <c r="BL540" i="3"/>
  <c r="BA540" i="3"/>
  <c r="AZ540" i="3" s="1"/>
  <c r="BL539" i="3"/>
  <c r="BA539" i="3"/>
  <c r="AZ539" i="3" s="1"/>
  <c r="BL537" i="3"/>
  <c r="AZ537" i="3" s="1"/>
  <c r="BL536" i="3"/>
  <c r="BA536" i="3"/>
  <c r="BA535" i="3"/>
  <c r="AZ535" i="3" s="1"/>
  <c r="BL534" i="3"/>
  <c r="BL533" i="3"/>
  <c r="BA533" i="3"/>
  <c r="BL532" i="3"/>
  <c r="BI5" i="3"/>
  <c r="BA532" i="3"/>
  <c r="BL531" i="3"/>
  <c r="BA531" i="3"/>
  <c r="AZ531" i="3" s="1"/>
  <c r="BL530" i="3"/>
  <c r="AZ530" i="3" s="1"/>
  <c r="BD5" i="3"/>
  <c r="H5" i="3"/>
  <c r="BL529" i="3"/>
  <c r="AZ529" i="3" s="1"/>
  <c r="BL528" i="3"/>
  <c r="BP5" i="3"/>
  <c r="BA528" i="3"/>
  <c r="BA527" i="3"/>
  <c r="AZ527" i="3" s="1"/>
  <c r="BL526" i="3"/>
  <c r="BA526" i="3"/>
  <c r="AZ526" i="3" s="1"/>
  <c r="AB35" i="37"/>
  <c r="AA39" i="39"/>
  <c r="H56" i="43"/>
  <c r="H53" i="43"/>
  <c r="W35" i="40"/>
  <c r="AZ507" i="3"/>
  <c r="AZ517" i="3"/>
  <c r="AC40" i="37"/>
  <c r="W40" i="37"/>
  <c r="J11" i="35"/>
  <c r="J30" i="34"/>
  <c r="BL585" i="3"/>
  <c r="AZ585" i="3" s="1"/>
  <c r="AC8" i="35"/>
  <c r="W8" i="35"/>
  <c r="S12" i="35"/>
  <c r="AA12" i="35"/>
  <c r="J24" i="35"/>
  <c r="H24" i="35"/>
  <c r="F24" i="35"/>
  <c r="AC8" i="36"/>
  <c r="W8" i="36"/>
  <c r="BL577" i="3"/>
  <c r="BA577" i="3"/>
  <c r="BL576" i="3"/>
  <c r="BA576" i="3"/>
  <c r="AZ576" i="3" s="1"/>
  <c r="BL575" i="3"/>
  <c r="BA575" i="3"/>
  <c r="BA574" i="3"/>
  <c r="AZ574" i="3" s="1"/>
  <c r="BL572" i="3"/>
  <c r="BA572" i="3"/>
  <c r="AZ572" i="3" s="1"/>
  <c r="BL571" i="3"/>
  <c r="BA571" i="3"/>
  <c r="AZ571" i="3" s="1"/>
  <c r="BL570" i="3"/>
  <c r="BA570" i="3"/>
  <c r="AZ570" i="3" s="1"/>
  <c r="BL561" i="3"/>
  <c r="BA561" i="3"/>
  <c r="AZ561" i="3" s="1"/>
  <c r="BL560" i="3"/>
  <c r="BA560" i="3"/>
  <c r="AZ560" i="3" s="1"/>
  <c r="BA559" i="3"/>
  <c r="AZ559" i="3" s="1"/>
  <c r="BL558" i="3"/>
  <c r="AZ558" i="3" s="1"/>
  <c r="K5" i="4"/>
  <c r="B47" i="48" s="1"/>
  <c r="U43" i="33"/>
  <c r="AC33" i="37"/>
  <c r="W33" i="37"/>
  <c r="AC45" i="39"/>
  <c r="W45" i="39"/>
  <c r="U34" i="21"/>
  <c r="AB34" i="21"/>
  <c r="G587" i="3"/>
  <c r="BL587" i="3"/>
  <c r="AZ587" i="3" s="1"/>
  <c r="B71" i="43"/>
  <c r="C21" i="39"/>
  <c r="AB33" i="33"/>
  <c r="U33" i="33"/>
  <c r="AC39" i="33"/>
  <c r="W39" i="33"/>
  <c r="J9" i="34"/>
  <c r="F9" i="34"/>
  <c r="AA9" i="34" s="1"/>
  <c r="E80" i="34"/>
  <c r="F80" i="34" s="1"/>
  <c r="G80" i="34" s="1"/>
  <c r="H17" i="34"/>
  <c r="U17" i="34" s="1"/>
  <c r="J17" i="34"/>
  <c r="E86" i="34"/>
  <c r="F86" i="34" s="1"/>
  <c r="G86" i="34" s="1"/>
  <c r="J23" i="34"/>
  <c r="E118" i="34"/>
  <c r="F118" i="34" s="1"/>
  <c r="G118" i="34" s="1"/>
  <c r="H40" i="34"/>
  <c r="U40" i="34" s="1"/>
  <c r="J29" i="33"/>
  <c r="F29" i="33"/>
  <c r="H34" i="35"/>
  <c r="J34" i="35"/>
  <c r="F34" i="35"/>
  <c r="AC22" i="35"/>
  <c r="W22" i="35"/>
  <c r="AA10" i="37"/>
  <c r="S10" i="37"/>
  <c r="AA40" i="40"/>
  <c r="S40" i="40"/>
  <c r="BL544" i="3"/>
  <c r="AA44" i="33"/>
  <c r="AA44" i="34"/>
  <c r="S44" i="34"/>
  <c r="AB36" i="39"/>
  <c r="U36" i="39"/>
  <c r="J26" i="33"/>
  <c r="H26" i="33"/>
  <c r="E88" i="34"/>
  <c r="J25" i="34" s="1"/>
  <c r="E107" i="34"/>
  <c r="F107" i="34" s="1"/>
  <c r="G107" i="34" s="1"/>
  <c r="H107" i="34" s="1"/>
  <c r="I107" i="34" s="1"/>
  <c r="J107" i="34" s="1"/>
  <c r="K107" i="34" s="1"/>
  <c r="L107" i="34" s="1"/>
  <c r="M107" i="34" s="1"/>
  <c r="F35" i="34"/>
  <c r="AA35" i="34" s="1"/>
  <c r="E124" i="34"/>
  <c r="H43" i="34"/>
  <c r="AB8" i="35"/>
  <c r="U8" i="35"/>
  <c r="U8" i="36"/>
  <c r="AB8" i="36"/>
  <c r="H23" i="36"/>
  <c r="J23" i="36"/>
  <c r="J26" i="37"/>
  <c r="F26" i="37"/>
  <c r="H26" i="37"/>
  <c r="H31" i="39"/>
  <c r="F31" i="39"/>
  <c r="AA34" i="39"/>
  <c r="S34" i="39"/>
  <c r="AC32" i="40"/>
  <c r="W32" i="40"/>
  <c r="W38" i="34"/>
  <c r="AC38" i="34"/>
  <c r="AB46" i="33"/>
  <c r="U46" i="33"/>
  <c r="S9" i="33"/>
  <c r="J44" i="34"/>
  <c r="E126" i="34"/>
  <c r="F126" i="34" s="1"/>
  <c r="G126" i="34" s="1"/>
  <c r="H36" i="35"/>
  <c r="J36" i="35"/>
  <c r="W27" i="35"/>
  <c r="AC27" i="35"/>
  <c r="AZ438" i="3"/>
  <c r="AZ442" i="3"/>
  <c r="AZ445" i="3"/>
  <c r="AZ446" i="3"/>
  <c r="AZ449" i="3"/>
  <c r="AZ450" i="3"/>
  <c r="AZ453" i="3"/>
  <c r="AZ454" i="3"/>
  <c r="AZ459" i="3"/>
  <c r="AZ460" i="3"/>
  <c r="AZ464" i="3"/>
  <c r="AZ467" i="3"/>
  <c r="AZ489" i="3"/>
  <c r="BL550" i="3"/>
  <c r="AZ550" i="3" s="1"/>
  <c r="AZ400" i="3"/>
  <c r="AZ413" i="3"/>
  <c r="AZ420" i="3"/>
  <c r="AZ424" i="3"/>
  <c r="AZ435" i="3"/>
  <c r="AZ485" i="3"/>
  <c r="AZ475" i="3"/>
  <c r="AZ483" i="3"/>
  <c r="AZ486" i="3"/>
  <c r="AZ487" i="3"/>
  <c r="F38" i="40"/>
  <c r="H38" i="40"/>
  <c r="AZ403" i="3"/>
  <c r="AZ404" i="3"/>
  <c r="AZ407" i="3"/>
  <c r="AZ422" i="3"/>
  <c r="AZ439" i="3"/>
  <c r="AZ444" i="3"/>
  <c r="AZ448" i="3"/>
  <c r="AZ452" i="3"/>
  <c r="AZ474" i="3"/>
  <c r="AZ481" i="3"/>
  <c r="AZ482" i="3"/>
  <c r="G14" i="3"/>
  <c r="D3" i="78"/>
  <c r="D17" i="78" s="1"/>
  <c r="D18" i="78" s="1"/>
  <c r="I3" i="77"/>
  <c r="C34" i="34"/>
  <c r="AZ246" i="3"/>
  <c r="AZ258" i="3"/>
  <c r="AZ289" i="3"/>
  <c r="AZ300" i="3"/>
  <c r="AZ141" i="3"/>
  <c r="AZ185" i="3"/>
  <c r="BA352" i="3"/>
  <c r="AZ352" i="3" s="1"/>
  <c r="AZ276" i="3"/>
  <c r="AZ118" i="3"/>
  <c r="BL328" i="3"/>
  <c r="AZ328" i="3" s="1"/>
  <c r="BA339" i="3"/>
  <c r="AZ339" i="3" s="1"/>
  <c r="BL354" i="3"/>
  <c r="AZ354" i="3" s="1"/>
  <c r="AZ216" i="3"/>
  <c r="AZ219" i="3"/>
  <c r="AZ225" i="3"/>
  <c r="AZ262" i="3"/>
  <c r="AZ270" i="3"/>
  <c r="AZ302" i="3"/>
  <c r="AZ145" i="3"/>
  <c r="BA323" i="3"/>
  <c r="AZ323" i="3" s="1"/>
  <c r="BL333" i="3"/>
  <c r="AZ333" i="3" s="1"/>
  <c r="BL348" i="3"/>
  <c r="AZ348" i="3" s="1"/>
  <c r="AZ395" i="3"/>
  <c r="AZ208" i="3"/>
  <c r="AZ211" i="3"/>
  <c r="AZ217" i="3"/>
  <c r="AZ220" i="3"/>
  <c r="AZ221" i="3"/>
  <c r="AZ236" i="3"/>
  <c r="AZ260" i="3"/>
  <c r="AZ278" i="3"/>
  <c r="AZ284" i="3"/>
  <c r="AZ126" i="3"/>
  <c r="AZ129" i="3"/>
  <c r="G164" i="3"/>
  <c r="BA169" i="3"/>
  <c r="AZ169" i="3" s="1"/>
  <c r="BA170" i="3"/>
  <c r="AZ170" i="3" s="1"/>
  <c r="BL174" i="3"/>
  <c r="AZ174" i="3" s="1"/>
  <c r="BL177" i="3"/>
  <c r="AZ177" i="3" s="1"/>
  <c r="BL183" i="3"/>
  <c r="AZ183" i="3" s="1"/>
  <c r="BL194" i="3"/>
  <c r="AZ194" i="3" s="1"/>
  <c r="BL203" i="3"/>
  <c r="AZ203" i="3" s="1"/>
  <c r="AZ22" i="3"/>
  <c r="AZ23" i="3"/>
  <c r="AZ30" i="3"/>
  <c r="BL167" i="3"/>
  <c r="AZ167" i="3" s="1"/>
  <c r="BL178" i="3"/>
  <c r="AZ178" i="3" s="1"/>
  <c r="BL187" i="3"/>
  <c r="AZ187" i="3" s="1"/>
  <c r="BA192" i="3"/>
  <c r="AZ192" i="3" s="1"/>
  <c r="BA197" i="3"/>
  <c r="AZ197" i="3" s="1"/>
  <c r="AZ18" i="3"/>
  <c r="AZ54" i="3"/>
  <c r="AZ205" i="3"/>
  <c r="AZ38" i="3"/>
  <c r="BA45" i="3"/>
  <c r="AZ45" i="3" s="1"/>
  <c r="G49" i="3"/>
  <c r="BL55" i="3"/>
  <c r="AZ55" i="3" s="1"/>
  <c r="BL58" i="3"/>
  <c r="G59" i="3"/>
  <c r="BA61" i="3"/>
  <c r="AZ61" i="3" s="1"/>
  <c r="BL66" i="3"/>
  <c r="G67" i="3"/>
  <c r="BA69" i="3"/>
  <c r="AZ69" i="3" s="1"/>
  <c r="G75" i="3"/>
  <c r="BL76" i="3"/>
  <c r="AZ76" i="3" s="1"/>
  <c r="BA88" i="3"/>
  <c r="AZ88" i="3" s="1"/>
  <c r="AZ95" i="3"/>
  <c r="BL99" i="3"/>
  <c r="D64" i="43"/>
  <c r="J64" i="43"/>
  <c r="D31" i="71"/>
  <c r="C32" i="71"/>
  <c r="BL40" i="3"/>
  <c r="BL47" i="3"/>
  <c r="AZ47" i="3" s="1"/>
  <c r="BA53" i="3"/>
  <c r="AZ53" i="3" s="1"/>
  <c r="G57" i="3"/>
  <c r="BA58" i="3"/>
  <c r="AZ58" i="3" s="1"/>
  <c r="BL60" i="3"/>
  <c r="G65" i="3"/>
  <c r="BA66" i="3"/>
  <c r="AZ66" i="3" s="1"/>
  <c r="G70" i="3"/>
  <c r="BA74" i="3"/>
  <c r="AZ74" i="3" s="1"/>
  <c r="AZ78" i="3"/>
  <c r="G89" i="3"/>
  <c r="BL90" i="3"/>
  <c r="AZ90" i="3" s="1"/>
  <c r="BL93" i="3"/>
  <c r="AZ93" i="3" s="1"/>
  <c r="AZ99" i="3"/>
  <c r="AZ104" i="3"/>
  <c r="BL107" i="3"/>
  <c r="AZ107" i="3" s="1"/>
  <c r="D60" i="43"/>
  <c r="J60" i="43"/>
  <c r="BL50" i="3"/>
  <c r="AZ50" i="3" s="1"/>
  <c r="BA56" i="3"/>
  <c r="AZ56" i="3" s="1"/>
  <c r="AZ60" i="3"/>
  <c r="BA64" i="3"/>
  <c r="AZ64" i="3" s="1"/>
  <c r="AZ81" i="3"/>
  <c r="AZ112" i="3"/>
  <c r="D59" i="43"/>
  <c r="D108" i="43"/>
  <c r="D100" i="43"/>
  <c r="T53" i="71"/>
  <c r="D53" i="71"/>
  <c r="D29" i="71"/>
  <c r="T29" i="71"/>
  <c r="D39" i="71"/>
  <c r="C40" i="71"/>
  <c r="D40" i="71" s="1"/>
  <c r="D61" i="43"/>
  <c r="I10" i="66"/>
  <c r="W21" i="33"/>
  <c r="AC21" i="33"/>
  <c r="B75" i="43"/>
  <c r="C29" i="39"/>
  <c r="B55" i="43"/>
  <c r="E20" i="71"/>
  <c r="E19" i="71" s="1"/>
  <c r="V21" i="71"/>
  <c r="C45" i="71"/>
  <c r="D44" i="71"/>
  <c r="C49" i="71"/>
  <c r="D48" i="71"/>
  <c r="D37" i="71"/>
  <c r="T37" i="71"/>
  <c r="S18" i="36"/>
  <c r="AB16" i="71"/>
  <c r="AA17" i="71"/>
  <c r="E17" i="71"/>
  <c r="AA16" i="71"/>
  <c r="Y10" i="71"/>
  <c r="Z10" i="71" s="1"/>
  <c r="AB10" i="71"/>
  <c r="D20" i="71"/>
  <c r="AB20" i="71"/>
  <c r="C60" i="71"/>
  <c r="D47" i="71"/>
  <c r="X18" i="71"/>
  <c r="Y21" i="71"/>
  <c r="Z21" i="71" s="1"/>
  <c r="X17" i="71"/>
  <c r="AB17" i="71"/>
  <c r="X14" i="71"/>
  <c r="AA14" i="71"/>
  <c r="Y11" i="71"/>
  <c r="Z11" i="71" s="1"/>
  <c r="AB11" i="71"/>
  <c r="X10" i="71"/>
  <c r="X5" i="71"/>
  <c r="D28" i="71"/>
  <c r="D36" i="71"/>
  <c r="E59" i="71"/>
  <c r="D52" i="71"/>
  <c r="AA19" i="71"/>
  <c r="AB19" i="71"/>
  <c r="C80" i="71"/>
  <c r="O61" i="71"/>
  <c r="D43" i="71"/>
  <c r="D35" i="71"/>
  <c r="C24" i="71"/>
  <c r="X31" i="71"/>
  <c r="AA29" i="71"/>
  <c r="AB26" i="71"/>
  <c r="AA25" i="71"/>
  <c r="AA30" i="71"/>
  <c r="AA22" i="71"/>
  <c r="X22" i="71"/>
  <c r="B21" i="71"/>
  <c r="X19" i="71"/>
  <c r="Y20" i="71"/>
  <c r="Z20" i="71" s="1"/>
  <c r="Y23" i="71"/>
  <c r="Z23" i="71" s="1"/>
  <c r="AA24" i="71"/>
  <c r="AB25" i="71"/>
  <c r="Y29" i="71"/>
  <c r="Z29" i="71" s="1"/>
  <c r="V61" i="71"/>
  <c r="Y17" i="71"/>
  <c r="Z17" i="71" s="1"/>
  <c r="Y15" i="71"/>
  <c r="Z15" i="71" s="1"/>
  <c r="Y18" i="71"/>
  <c r="Z18" i="71" s="1"/>
  <c r="Y14" i="71"/>
  <c r="Z14" i="71" s="1"/>
  <c r="AA11" i="71"/>
  <c r="Y6" i="71"/>
  <c r="Z6" i="71" s="1"/>
  <c r="Y5" i="71"/>
  <c r="Z5" i="71" s="1"/>
  <c r="U18" i="36"/>
  <c r="AA18" i="71"/>
  <c r="AB18" i="71"/>
  <c r="T61" i="71"/>
  <c r="X25" i="71"/>
  <c r="F23" i="71"/>
  <c r="F24" i="71" s="1"/>
  <c r="F25" i="71" s="1"/>
  <c r="V25" i="71" s="1"/>
  <c r="E27" i="71"/>
  <c r="E28" i="71" s="1"/>
  <c r="E29" i="71" s="1"/>
  <c r="U29" i="71" s="1"/>
  <c r="AA26" i="71"/>
  <c r="X26" i="71"/>
  <c r="X27" i="71"/>
  <c r="AB28" i="71"/>
  <c r="Y16" i="71"/>
  <c r="Z16" i="71" s="1"/>
  <c r="X15" i="71"/>
  <c r="X11" i="71"/>
  <c r="AA8" i="71"/>
  <c r="AA5" i="71"/>
  <c r="AA7" i="71"/>
  <c r="AA10" i="71"/>
  <c r="Y7" i="71"/>
  <c r="Z7" i="71" s="1"/>
  <c r="AB8" i="71"/>
  <c r="AB6" i="71"/>
  <c r="AB14" i="71"/>
  <c r="X8" i="71"/>
  <c r="AB7" i="71"/>
  <c r="X6" i="71"/>
  <c r="X7" i="71"/>
  <c r="T8" i="1"/>
  <c r="I20" i="43"/>
  <c r="I5" i="77"/>
  <c r="G6" i="1"/>
  <c r="AR8" i="1"/>
  <c r="F112" i="34"/>
  <c r="H37" i="34"/>
  <c r="F37" i="34"/>
  <c r="F39" i="34"/>
  <c r="S39" i="34" s="1"/>
  <c r="W21" i="34"/>
  <c r="AC43" i="34"/>
  <c r="W40" i="34"/>
  <c r="U21" i="34"/>
  <c r="AB17" i="34"/>
  <c r="J35" i="34"/>
  <c r="W35" i="34" s="1"/>
  <c r="AB33" i="34"/>
  <c r="F25" i="34"/>
  <c r="U15" i="34"/>
  <c r="AB40" i="34"/>
  <c r="AA41" i="34"/>
  <c r="AA39" i="34"/>
  <c r="S21" i="34"/>
  <c r="W47" i="34"/>
  <c r="U44" i="34"/>
  <c r="AB41" i="34"/>
  <c r="W41" i="34"/>
  <c r="U39" i="34"/>
  <c r="AC39" i="34"/>
  <c r="AC36" i="34"/>
  <c r="S35" i="34"/>
  <c r="S28" i="34"/>
  <c r="S23" i="34"/>
  <c r="AB23" i="34"/>
  <c r="B66" i="43"/>
  <c r="S9" i="34"/>
  <c r="W8" i="34"/>
  <c r="AC11" i="34"/>
  <c r="AA11" i="34"/>
  <c r="U10" i="34"/>
  <c r="S10" i="34"/>
  <c r="E59" i="43"/>
  <c r="B57" i="43" s="1"/>
  <c r="C24" i="43"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40" i="68"/>
  <c r="C21" i="68"/>
  <c r="C40" i="69"/>
  <c r="C21" i="69"/>
  <c r="D22" i="67"/>
  <c r="D23" i="67"/>
  <c r="D19" i="12"/>
  <c r="C19" i="12" s="1"/>
  <c r="E15" i="6"/>
  <c r="E60" i="40" s="1"/>
  <c r="E2" i="70"/>
  <c r="Q16" i="1"/>
  <c r="F28" i="12" s="1"/>
  <c r="H16" i="1"/>
  <c r="F27" i="6"/>
  <c r="E56" i="39"/>
  <c r="E51" i="40"/>
  <c r="P7" i="1"/>
  <c r="O14" i="1"/>
  <c r="P14" i="1" s="1"/>
  <c r="O11" i="1"/>
  <c r="P11" i="1" s="1"/>
  <c r="O12" i="1"/>
  <c r="P12" i="1" s="1"/>
  <c r="O9" i="1"/>
  <c r="P9" i="1" s="1"/>
  <c r="O8"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K58" i="21"/>
  <c r="L58" i="21" s="1"/>
  <c r="M58" i="21" s="1"/>
  <c r="N58" i="21" s="1"/>
  <c r="O58" i="21" s="1"/>
  <c r="I52" i="33"/>
  <c r="J52" i="33" s="1"/>
  <c r="F59" i="34"/>
  <c r="G59" i="34" s="1"/>
  <c r="H59" i="34" s="1"/>
  <c r="I59" i="34" s="1"/>
  <c r="J59" i="34" s="1"/>
  <c r="K59" i="34" s="1"/>
  <c r="L59" i="34" s="1"/>
  <c r="M59" i="34" s="1"/>
  <c r="N59" i="34" s="1"/>
  <c r="O59" i="34" s="1"/>
  <c r="AB7" i="33"/>
  <c r="T48" i="33" s="1"/>
  <c r="G48" i="33" s="1"/>
  <c r="U7" i="33"/>
  <c r="D46" i="36"/>
  <c r="R49" i="33"/>
  <c r="E48" i="33"/>
  <c r="D48" i="35"/>
  <c r="D52" i="37"/>
  <c r="G16" i="1"/>
  <c r="F10" i="40" s="1"/>
  <c r="H62" i="43"/>
  <c r="H65" i="43"/>
  <c r="H63" i="43"/>
  <c r="H67" i="43"/>
  <c r="H60" i="43"/>
  <c r="H66" i="43"/>
  <c r="H64" i="43"/>
  <c r="H59" i="43"/>
  <c r="H61" i="43"/>
  <c r="H50" i="43"/>
  <c r="G17" i="43"/>
  <c r="C16" i="43" s="1"/>
  <c r="D5" i="43" s="1"/>
  <c r="H75" i="43"/>
  <c r="F31" i="67"/>
  <c r="F31" i="15"/>
  <c r="K4" i="4"/>
  <c r="B46" i="48" s="1"/>
  <c r="B4" i="72" s="1"/>
  <c r="B4" i="62"/>
  <c r="B71" i="72" s="1"/>
  <c r="D9" i="53"/>
  <c r="B25" i="72" s="1"/>
  <c r="B24" i="72"/>
  <c r="K120" i="9"/>
  <c r="Y9" i="71"/>
  <c r="Z9" i="71" s="1"/>
  <c r="Y8" i="71"/>
  <c r="Z8" i="71" s="1"/>
  <c r="AA9" i="71"/>
  <c r="AB3" i="71"/>
  <c r="B9" i="71"/>
  <c r="X9" i="71"/>
  <c r="AB9" i="71"/>
  <c r="Y3" i="71"/>
  <c r="D9" i="71"/>
  <c r="U9" i="71" s="1"/>
  <c r="F9" i="71"/>
  <c r="F8" i="71" s="1"/>
  <c r="F7" i="71" s="1"/>
  <c r="F6" i="71" s="1"/>
  <c r="F5" i="71" s="1"/>
  <c r="AF3" i="71"/>
  <c r="P22" i="43"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17" i="15"/>
  <c r="C14" i="15"/>
  <c r="M22" i="15"/>
  <c r="C14" i="67"/>
  <c r="C17" i="67"/>
  <c r="L47" i="15"/>
  <c r="C36" i="69"/>
  <c r="D9" i="68"/>
  <c r="F16" i="15"/>
  <c r="D9" i="69"/>
  <c r="C16" i="67"/>
  <c r="C36" i="68"/>
  <c r="G1" i="73"/>
  <c r="L58" i="15" l="1"/>
  <c r="Q60" i="15" s="1"/>
  <c r="N59" i="15"/>
  <c r="M59" i="15"/>
  <c r="L59" i="15"/>
  <c r="Q61" i="15" s="1"/>
  <c r="AC25" i="34"/>
  <c r="W25" i="34"/>
  <c r="C29" i="12"/>
  <c r="D28" i="12" s="1"/>
  <c r="D60" i="71"/>
  <c r="C59" i="71"/>
  <c r="O60" i="71"/>
  <c r="C33" i="71"/>
  <c r="D32" i="71"/>
  <c r="C8" i="77"/>
  <c r="C11" i="77"/>
  <c r="U31" i="39"/>
  <c r="AB31" i="39"/>
  <c r="AC23" i="36"/>
  <c r="W23" i="36"/>
  <c r="U26" i="33"/>
  <c r="AB26" i="33"/>
  <c r="U34" i="35"/>
  <c r="AB34" i="35"/>
  <c r="AC24" i="35"/>
  <c r="W24" i="35"/>
  <c r="H25" i="77"/>
  <c r="C22" i="77"/>
  <c r="AA27" i="37"/>
  <c r="S27" i="37"/>
  <c r="AA24" i="36"/>
  <c r="S24" i="36"/>
  <c r="AA27" i="34"/>
  <c r="S27" i="34"/>
  <c r="S46" i="34"/>
  <c r="AA46" i="34"/>
  <c r="U12" i="34"/>
  <c r="AB12" i="34"/>
  <c r="U31" i="33"/>
  <c r="AB31" i="33"/>
  <c r="S15" i="34"/>
  <c r="AA15" i="34"/>
  <c r="U14" i="21"/>
  <c r="AB14" i="21"/>
  <c r="F68" i="39"/>
  <c r="E70" i="39"/>
  <c r="Z3" i="71"/>
  <c r="C19" i="43"/>
  <c r="B8" i="71"/>
  <c r="B7" i="71" s="1"/>
  <c r="B6" i="71" s="1"/>
  <c r="B5" i="71" s="1"/>
  <c r="S9" i="71"/>
  <c r="C48" i="69"/>
  <c r="C30" i="69"/>
  <c r="AC35" i="34"/>
  <c r="D49" i="71"/>
  <c r="T49" i="71"/>
  <c r="AC44" i="34"/>
  <c r="W44" i="34"/>
  <c r="AB26" i="37"/>
  <c r="U26" i="37"/>
  <c r="AB23" i="36"/>
  <c r="U23" i="36"/>
  <c r="W26" i="33"/>
  <c r="AC26" i="33"/>
  <c r="S29" i="33"/>
  <c r="AA29" i="33"/>
  <c r="AC23" i="34"/>
  <c r="W23" i="34"/>
  <c r="AZ544" i="3"/>
  <c r="F30" i="6"/>
  <c r="F31" i="6" s="1"/>
  <c r="E28" i="6"/>
  <c r="S39" i="37"/>
  <c r="AA39" i="37"/>
  <c r="U27" i="37"/>
  <c r="AB27" i="37"/>
  <c r="AB24" i="36"/>
  <c r="U24" i="36"/>
  <c r="W27" i="34"/>
  <c r="AC27" i="34"/>
  <c r="S11" i="35"/>
  <c r="AA11" i="35"/>
  <c r="U46" i="34"/>
  <c r="AB46" i="34"/>
  <c r="W12" i="34"/>
  <c r="AC12" i="34"/>
  <c r="S13" i="33"/>
  <c r="AA13" i="33"/>
  <c r="W15" i="34"/>
  <c r="AC15" i="34"/>
  <c r="F63" i="40"/>
  <c r="E65" i="40"/>
  <c r="J7" i="34"/>
  <c r="F27" i="11"/>
  <c r="B20" i="71"/>
  <c r="B19" i="71" s="1"/>
  <c r="S21" i="71"/>
  <c r="C25" i="71"/>
  <c r="D24" i="71"/>
  <c r="C79" i="71"/>
  <c r="D79" i="71" s="1"/>
  <c r="D80" i="71"/>
  <c r="P58" i="71"/>
  <c r="P59" i="71"/>
  <c r="E16" i="71"/>
  <c r="E15" i="71" s="1"/>
  <c r="E14" i="71" s="1"/>
  <c r="E13" i="71" s="1"/>
  <c r="V17" i="71"/>
  <c r="AB38" i="40"/>
  <c r="U38" i="40"/>
  <c r="AC36" i="35"/>
  <c r="W36" i="35"/>
  <c r="AA26" i="37"/>
  <c r="S26" i="37"/>
  <c r="AB43" i="34"/>
  <c r="U43" i="34"/>
  <c r="AA34" i="35"/>
  <c r="S34" i="35"/>
  <c r="W29" i="33"/>
  <c r="AC29" i="33"/>
  <c r="AZ575" i="3"/>
  <c r="AZ577" i="3"/>
  <c r="AA24" i="35"/>
  <c r="S24" i="35"/>
  <c r="W30" i="34"/>
  <c r="AC30" i="34"/>
  <c r="BA5" i="3"/>
  <c r="E27" i="6" s="1"/>
  <c r="AZ528" i="3"/>
  <c r="AZ533" i="3"/>
  <c r="AZ536" i="3"/>
  <c r="AC13" i="33"/>
  <c r="W13" i="33"/>
  <c r="G5" i="3"/>
  <c r="B3" i="3" s="1"/>
  <c r="E75" i="3" s="1"/>
  <c r="AB39" i="37"/>
  <c r="U39" i="37"/>
  <c r="AC24" i="36"/>
  <c r="W24" i="36"/>
  <c r="U11" i="35"/>
  <c r="AB11" i="35"/>
  <c r="U30" i="34"/>
  <c r="AB30" i="34"/>
  <c r="S12" i="34"/>
  <c r="AA12" i="34"/>
  <c r="U13" i="33"/>
  <c r="AB13" i="33"/>
  <c r="D20" i="53"/>
  <c r="B40" i="72" s="1"/>
  <c r="B38" i="72"/>
  <c r="C8" i="71"/>
  <c r="T9" i="71"/>
  <c r="T45" i="71"/>
  <c r="D45" i="71"/>
  <c r="I21" i="66"/>
  <c r="D1" i="66" s="1"/>
  <c r="E10" i="66" s="1"/>
  <c r="E70" i="3"/>
  <c r="BL5" i="3"/>
  <c r="E67" i="3"/>
  <c r="AZ40" i="3"/>
  <c r="AZ5" i="3" s="1"/>
  <c r="E164" i="3"/>
  <c r="J34" i="34"/>
  <c r="F34" i="34"/>
  <c r="H34" i="34"/>
  <c r="S38" i="40"/>
  <c r="AA38" i="40"/>
  <c r="AB36" i="35"/>
  <c r="U36" i="35"/>
  <c r="AA31" i="39"/>
  <c r="S31" i="39"/>
  <c r="AC26" i="37"/>
  <c r="W26" i="37"/>
  <c r="F124" i="34"/>
  <c r="G124" i="34" s="1"/>
  <c r="H124" i="34" s="1"/>
  <c r="I124" i="34" s="1"/>
  <c r="J124" i="34" s="1"/>
  <c r="K124" i="34" s="1"/>
  <c r="L124" i="34" s="1"/>
  <c r="M124" i="34" s="1"/>
  <c r="F43" i="34"/>
  <c r="F88" i="34"/>
  <c r="G88" i="34" s="1"/>
  <c r="H88" i="34" s="1"/>
  <c r="I88" i="34" s="1"/>
  <c r="J88" i="34" s="1"/>
  <c r="K88" i="34" s="1"/>
  <c r="L88" i="34" s="1"/>
  <c r="M88" i="34" s="1"/>
  <c r="H25" i="34"/>
  <c r="W34" i="35"/>
  <c r="AC34" i="35"/>
  <c r="W17" i="34"/>
  <c r="AC17" i="34"/>
  <c r="AC9" i="34"/>
  <c r="W9" i="34"/>
  <c r="E587" i="3"/>
  <c r="AB24" i="35"/>
  <c r="U24" i="35"/>
  <c r="AC11" i="35"/>
  <c r="W11" i="35"/>
  <c r="E11" i="6"/>
  <c r="G29" i="6"/>
  <c r="E13" i="6"/>
  <c r="E14" i="6"/>
  <c r="E10" i="6"/>
  <c r="E12" i="6"/>
  <c r="AZ532" i="3"/>
  <c r="W31" i="33"/>
  <c r="AC31" i="33"/>
  <c r="AC39" i="37"/>
  <c r="W39" i="37"/>
  <c r="AB27" i="34"/>
  <c r="U27" i="34"/>
  <c r="W46" i="34"/>
  <c r="AC46" i="34"/>
  <c r="S30" i="34"/>
  <c r="AA30" i="34"/>
  <c r="S31" i="33"/>
  <c r="AA31" i="33"/>
  <c r="S14" i="21"/>
  <c r="AA14" i="21"/>
  <c r="S7" i="1"/>
  <c r="U37" i="34"/>
  <c r="AB37" i="34"/>
  <c r="AA37" i="34"/>
  <c r="S37" i="34"/>
  <c r="J37" i="34"/>
  <c r="G112" i="34"/>
  <c r="H112" i="34" s="1"/>
  <c r="I112" i="34" s="1"/>
  <c r="J112" i="34" s="1"/>
  <c r="K112" i="34" s="1"/>
  <c r="L112" i="34" s="1"/>
  <c r="M112" i="34" s="1"/>
  <c r="S25" i="34"/>
  <c r="AA25" i="34"/>
  <c r="F48" i="68"/>
  <c r="C30" i="68"/>
  <c r="C48" i="68"/>
  <c r="C9" i="68"/>
  <c r="C5" i="43"/>
  <c r="C9" i="69"/>
  <c r="C18" i="15"/>
  <c r="C15" i="15"/>
  <c r="E65" i="39"/>
  <c r="C47" i="11"/>
  <c r="D45" i="11" s="1"/>
  <c r="C29" i="11"/>
  <c r="D27" i="11" s="1"/>
  <c r="O16" i="1"/>
  <c r="P8" i="1"/>
  <c r="P16" i="1"/>
  <c r="C11" i="12" s="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7" i="43"/>
  <c r="I105" i="43"/>
  <c r="I104" i="43"/>
  <c r="I103" i="43"/>
  <c r="D109" i="43"/>
  <c r="D105" i="43"/>
  <c r="D106" i="43"/>
  <c r="D102" i="43"/>
  <c r="D103" i="43"/>
  <c r="D104" i="43"/>
  <c r="D107" i="43"/>
  <c r="D22" i="43"/>
  <c r="F107" i="43"/>
  <c r="F106" i="43"/>
  <c r="F103" i="43"/>
  <c r="F104" i="43"/>
  <c r="F102" i="43"/>
  <c r="F105" i="43"/>
  <c r="F109" i="43"/>
  <c r="H10" i="39"/>
  <c r="U10" i="39" s="1"/>
  <c r="H10" i="40"/>
  <c r="U10" i="40" s="1"/>
  <c r="J10" i="40"/>
  <c r="W10" i="40" s="1"/>
  <c r="F10" i="39"/>
  <c r="S10" i="39" s="1"/>
  <c r="J10" i="39"/>
  <c r="AC10" i="39" s="1"/>
  <c r="E48" i="35"/>
  <c r="C48" i="33"/>
  <c r="C49" i="33"/>
  <c r="W7" i="34"/>
  <c r="AC7" i="34"/>
  <c r="E52" i="37"/>
  <c r="E53" i="33"/>
  <c r="F53" i="33" s="1"/>
  <c r="E52" i="33"/>
  <c r="F52" i="33" s="1"/>
  <c r="J7" i="21"/>
  <c r="H7" i="21"/>
  <c r="E46" i="36"/>
  <c r="G52" i="33"/>
  <c r="H52" i="33" s="1"/>
  <c r="G53" i="33"/>
  <c r="H53" i="33" s="1"/>
  <c r="H7" i="34"/>
  <c r="F7" i="34"/>
  <c r="I53" i="33"/>
  <c r="J53" i="33" s="1"/>
  <c r="F7" i="21"/>
  <c r="S10" i="40"/>
  <c r="AA10" i="40"/>
  <c r="M17" i="67"/>
  <c r="M17" i="15"/>
  <c r="F59" i="15"/>
  <c r="P24" i="43"/>
  <c r="B66" i="40" s="1"/>
  <c r="P21" i="43"/>
  <c r="C49" i="67"/>
  <c r="P25" i="43"/>
  <c r="P23" i="43"/>
  <c r="B71" i="39" s="1"/>
  <c r="C49" i="15"/>
  <c r="C15" i="67"/>
  <c r="C18" i="67"/>
  <c r="B40" i="1"/>
  <c r="I18" i="77" s="1"/>
  <c r="J18" i="15"/>
  <c r="C32" i="67"/>
  <c r="Q60" i="67"/>
  <c r="Q73" i="67"/>
  <c r="M28" i="43"/>
  <c r="N28" i="43"/>
  <c r="G20" i="43" s="1"/>
  <c r="O28" i="43"/>
  <c r="P28" i="43"/>
  <c r="M11" i="67"/>
  <c r="J10" i="67" s="1"/>
  <c r="J5" i="67" s="1"/>
  <c r="F11" i="15"/>
  <c r="M11" i="15"/>
  <c r="J10" i="15" s="1"/>
  <c r="J5" i="15" s="1"/>
  <c r="F11" i="67"/>
  <c r="F1" i="15"/>
  <c r="Q52" i="15"/>
  <c r="J18" i="67"/>
  <c r="C32" i="15"/>
  <c r="F1" i="67"/>
  <c r="Q52" i="67"/>
  <c r="Q61" i="67"/>
  <c r="Q74" i="67"/>
  <c r="B2" i="70"/>
  <c r="B3" i="70" s="1"/>
  <c r="F27" i="69"/>
  <c r="F27" i="68"/>
  <c r="C16" i="15"/>
  <c r="C34" i="69"/>
  <c r="Q74" i="15" l="1"/>
  <c r="Q73" i="15"/>
  <c r="E3" i="6"/>
  <c r="L18" i="9" s="1"/>
  <c r="B118" i="9" s="1"/>
  <c r="AY6" i="3"/>
  <c r="K19" i="6"/>
  <c r="S6" i="1" s="1"/>
  <c r="K25" i="6"/>
  <c r="M25" i="6" s="1"/>
  <c r="I25" i="6" s="1"/>
  <c r="S25" i="6" s="1"/>
  <c r="K24" i="6"/>
  <c r="M24" i="6" s="1"/>
  <c r="I24" i="6" s="1"/>
  <c r="S24" i="6" s="1"/>
  <c r="K22" i="6"/>
  <c r="M22" i="6" s="1"/>
  <c r="I22" i="6" s="1"/>
  <c r="S22" i="6" s="1"/>
  <c r="K26" i="6"/>
  <c r="M26" i="6" s="1"/>
  <c r="I26" i="6" s="1"/>
  <c r="S26" i="6" s="1"/>
  <c r="K23" i="6"/>
  <c r="M23" i="6" s="1"/>
  <c r="I23" i="6" s="1"/>
  <c r="S23" i="6" s="1"/>
  <c r="AB10" i="39"/>
  <c r="E62" i="39"/>
  <c r="E57" i="40"/>
  <c r="E29" i="6"/>
  <c r="K15" i="1" s="1"/>
  <c r="G30" i="6"/>
  <c r="G31" i="6" s="1"/>
  <c r="E59" i="3"/>
  <c r="T25" i="71"/>
  <c r="D25" i="71"/>
  <c r="E49" i="3"/>
  <c r="E25" i="77"/>
  <c r="E24" i="77"/>
  <c r="C9" i="77"/>
  <c r="C13" i="77" s="1"/>
  <c r="C10" i="77"/>
  <c r="C12" i="77"/>
  <c r="E16" i="6"/>
  <c r="E61" i="39"/>
  <c r="E66" i="39" s="1"/>
  <c r="E56" i="40"/>
  <c r="AB25" i="34"/>
  <c r="U25" i="34"/>
  <c r="AB34" i="34"/>
  <c r="U34" i="34"/>
  <c r="E89" i="3"/>
  <c r="K14" i="1"/>
  <c r="M14" i="1" s="1"/>
  <c r="M16" i="1" s="1"/>
  <c r="E30" i="6"/>
  <c r="E31" i="6" s="1"/>
  <c r="K20" i="6"/>
  <c r="M20" i="6" s="1"/>
  <c r="I20" i="6" s="1"/>
  <c r="S20" i="6" s="1"/>
  <c r="K21" i="6"/>
  <c r="M21" i="6" s="1"/>
  <c r="I21" i="6" s="1"/>
  <c r="S21" i="6" s="1"/>
  <c r="O58" i="71"/>
  <c r="O59" i="71"/>
  <c r="D59" i="71"/>
  <c r="E64" i="39"/>
  <c r="E59" i="40"/>
  <c r="AA34" i="34"/>
  <c r="S34" i="34"/>
  <c r="E114" i="3"/>
  <c r="E278" i="3"/>
  <c r="E535" i="3"/>
  <c r="E563" i="3"/>
  <c r="E583" i="3"/>
  <c r="E336" i="3"/>
  <c r="E293" i="3"/>
  <c r="E390" i="3"/>
  <c r="E523" i="3"/>
  <c r="E402" i="3"/>
  <c r="E350" i="3"/>
  <c r="E303" i="3"/>
  <c r="E301" i="3"/>
  <c r="E159" i="3"/>
  <c r="E99" i="3"/>
  <c r="E228" i="3"/>
  <c r="E157" i="3"/>
  <c r="E85" i="3"/>
  <c r="E238" i="3"/>
  <c r="E116" i="3"/>
  <c r="E141" i="3"/>
  <c r="E286" i="3"/>
  <c r="E312" i="3"/>
  <c r="E575" i="3"/>
  <c r="AD6" i="3"/>
  <c r="E499" i="3"/>
  <c r="E542" i="3"/>
  <c r="R6" i="3"/>
  <c r="E552" i="3"/>
  <c r="E502" i="3"/>
  <c r="E421" i="3"/>
  <c r="E442" i="3"/>
  <c r="E464" i="3"/>
  <c r="E466" i="3"/>
  <c r="E487" i="3"/>
  <c r="E541" i="3"/>
  <c r="E398" i="3"/>
  <c r="E430" i="3"/>
  <c r="E416" i="3"/>
  <c r="E172" i="3"/>
  <c r="E347" i="3"/>
  <c r="E280" i="3"/>
  <c r="AR6" i="3"/>
  <c r="E434" i="3"/>
  <c r="E382" i="3"/>
  <c r="E244" i="3"/>
  <c r="E136" i="3"/>
  <c r="E188" i="3"/>
  <c r="E122" i="3"/>
  <c r="E45" i="3"/>
  <c r="E197" i="3"/>
  <c r="E173" i="3"/>
  <c r="E313" i="3"/>
  <c r="E379" i="3"/>
  <c r="E525" i="3"/>
  <c r="E532" i="3"/>
  <c r="U6" i="3"/>
  <c r="T6" i="3"/>
  <c r="E529" i="3"/>
  <c r="E411" i="3"/>
  <c r="E456" i="3"/>
  <c r="E474" i="3"/>
  <c r="E548" i="3"/>
  <c r="E512" i="3"/>
  <c r="E438" i="3"/>
  <c r="E432" i="3"/>
  <c r="E443" i="3"/>
  <c r="E477" i="3"/>
  <c r="E345" i="3"/>
  <c r="E367" i="3"/>
  <c r="E558" i="3"/>
  <c r="E505" i="3"/>
  <c r="E557" i="3"/>
  <c r="E547" i="3"/>
  <c r="E581" i="3"/>
  <c r="AS6" i="3"/>
  <c r="E531" i="3"/>
  <c r="E403" i="3"/>
  <c r="E444" i="3"/>
  <c r="E476" i="3"/>
  <c r="E489" i="3"/>
  <c r="E546" i="3"/>
  <c r="E404" i="3"/>
  <c r="E447" i="3"/>
  <c r="E28" i="3"/>
  <c r="E71" i="3"/>
  <c r="E88" i="3"/>
  <c r="E27"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AA6" i="3"/>
  <c r="E246" i="3"/>
  <c r="E270" i="3"/>
  <c r="E561" i="3"/>
  <c r="E423" i="3"/>
  <c r="E368" i="3"/>
  <c r="E262" i="3"/>
  <c r="E191" i="3"/>
  <c r="E148" i="3"/>
  <c r="E223" i="3"/>
  <c r="E177" i="3"/>
  <c r="E133" i="3"/>
  <c r="E327" i="3"/>
  <c r="E393" i="3"/>
  <c r="K6" i="3"/>
  <c r="Z6" i="3"/>
  <c r="E564" i="3"/>
  <c r="E560" i="3"/>
  <c r="AO6" i="3"/>
  <c r="E427" i="3"/>
  <c r="E472" i="3"/>
  <c r="E485" i="3"/>
  <c r="E507" i="3"/>
  <c r="E406" i="3"/>
  <c r="E400"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206" i="3"/>
  <c r="E232" i="3"/>
  <c r="E251" i="3"/>
  <c r="E370" i="3"/>
  <c r="AF6" i="3"/>
  <c r="E102" i="3"/>
  <c r="E80" i="3"/>
  <c r="E113" i="3"/>
  <c r="E158" i="3"/>
  <c r="E287" i="3"/>
  <c r="E308" i="3"/>
  <c r="E326" i="3"/>
  <c r="E22" i="3"/>
  <c r="E83" i="3"/>
  <c r="X6" i="3"/>
  <c r="E124" i="3"/>
  <c r="E533" i="3"/>
  <c r="E506" i="3"/>
  <c r="E453" i="3"/>
  <c r="E296" i="3"/>
  <c r="E245" i="3"/>
  <c r="E156" i="3"/>
  <c r="E269" i="3"/>
  <c r="E140" i="3"/>
  <c r="E277" i="3"/>
  <c r="E193" i="3"/>
  <c r="E107" i="3"/>
  <c r="E369" i="3"/>
  <c r="E519" i="3"/>
  <c r="E585" i="3"/>
  <c r="E534" i="3"/>
  <c r="E573" i="3"/>
  <c r="E515" i="3"/>
  <c r="E405" i="3"/>
  <c r="E458" i="3"/>
  <c r="E478" i="3"/>
  <c r="E469" i="3"/>
  <c r="E527" i="3"/>
  <c r="E414" i="3"/>
  <c r="E408" i="3"/>
  <c r="E449" i="3"/>
  <c r="E459" i="3"/>
  <c r="E255" i="3"/>
  <c r="E374" i="3"/>
  <c r="I3" i="6"/>
  <c r="E566" i="3"/>
  <c r="AP6" i="3"/>
  <c r="E500" i="3"/>
  <c r="E554" i="3"/>
  <c r="E582" i="3"/>
  <c r="E517" i="3"/>
  <c r="E413" i="3"/>
  <c r="E435" i="3"/>
  <c r="E460" i="3"/>
  <c r="E491" i="3"/>
  <c r="E520" i="3"/>
  <c r="E417" i="3"/>
  <c r="E436" i="3"/>
  <c r="E479" i="3"/>
  <c r="E39" i="3"/>
  <c r="E56" i="3"/>
  <c r="E90" i="3"/>
  <c r="E37" i="3"/>
  <c r="E95" i="3"/>
  <c r="E131" i="3"/>
  <c r="E152" i="3"/>
  <c r="E187" i="3"/>
  <c r="E132" i="3"/>
  <c r="E155" i="3"/>
  <c r="E192" i="3"/>
  <c r="E240" i="3"/>
  <c r="E258" i="3"/>
  <c r="E297" i="3"/>
  <c r="E241" i="3"/>
  <c r="E259" i="3"/>
  <c r="E292" i="3"/>
  <c r="E348" i="3"/>
  <c r="E363" i="3"/>
  <c r="E378" i="3"/>
  <c r="E349" i="3"/>
  <c r="E375" i="3"/>
  <c r="E389" i="3"/>
  <c r="E504" i="3"/>
  <c r="E544" i="3"/>
  <c r="E58" i="3"/>
  <c r="E76" i="3"/>
  <c r="E110" i="3"/>
  <c r="E540" i="3"/>
  <c r="E462" i="3"/>
  <c r="E521" i="3"/>
  <c r="E47" i="3"/>
  <c r="E98" i="3"/>
  <c r="E138" i="3"/>
  <c r="E195" i="3"/>
  <c r="E163" i="3"/>
  <c r="E209" i="3"/>
  <c r="E266" i="3"/>
  <c r="E386" i="3"/>
  <c r="E584" i="3"/>
  <c r="E24" i="3"/>
  <c r="E87" i="3"/>
  <c r="E250" i="3"/>
  <c r="E341" i="3"/>
  <c r="E19" i="3"/>
  <c r="E179" i="3"/>
  <c r="E323" i="3"/>
  <c r="E82" i="3"/>
  <c r="E234" i="3"/>
  <c r="E147" i="3"/>
  <c r="E364" i="3"/>
  <c r="E176" i="3"/>
  <c r="E365" i="3"/>
  <c r="E446" i="3"/>
  <c r="E248" i="3"/>
  <c r="E307" i="3"/>
  <c r="E354" i="3"/>
  <c r="E66" i="3"/>
  <c r="E48" i="3"/>
  <c r="E127" i="3"/>
  <c r="E284" i="3"/>
  <c r="Y6" i="3"/>
  <c r="E51" i="3"/>
  <c r="E154" i="3"/>
  <c r="E222" i="3"/>
  <c r="E373" i="3"/>
  <c r="E445" i="3"/>
  <c r="E150" i="3"/>
  <c r="E315" i="3"/>
  <c r="E318" i="3"/>
  <c r="E31" i="3"/>
  <c r="E32" i="3"/>
  <c r="E409" i="3"/>
  <c r="E15" i="3"/>
  <c r="E79" i="3"/>
  <c r="E100" i="3"/>
  <c r="E137" i="3"/>
  <c r="E219" i="3"/>
  <c r="E339" i="3"/>
  <c r="E392" i="3"/>
  <c r="E52" i="3"/>
  <c r="E112" i="3"/>
  <c r="E289" i="3"/>
  <c r="E50" i="3"/>
  <c r="E62" i="3"/>
  <c r="E265" i="3"/>
  <c r="E101" i="3"/>
  <c r="E399" i="3"/>
  <c r="S6" i="3"/>
  <c r="E538" i="3"/>
  <c r="E306" i="3"/>
  <c r="E263" i="3"/>
  <c r="E196" i="3"/>
  <c r="E236" i="3"/>
  <c r="E181" i="3"/>
  <c r="E120" i="3"/>
  <c r="E224" i="3"/>
  <c r="E105" i="3"/>
  <c r="E330" i="3"/>
  <c r="E576" i="3"/>
  <c r="E493" i="3"/>
  <c r="Q6" i="3"/>
  <c r="AG6" i="3"/>
  <c r="E543" i="3"/>
  <c r="E437" i="3"/>
  <c r="E448" i="3"/>
  <c r="E486" i="3"/>
  <c r="E481" i="3"/>
  <c r="P6" i="3"/>
  <c r="E422" i="3"/>
  <c r="E424" i="3"/>
  <c r="E457" i="3"/>
  <c r="E465" i="3"/>
  <c r="E288" i="3"/>
  <c r="E344" i="3"/>
  <c r="E562" i="3"/>
  <c r="W6" i="3"/>
  <c r="AE6" i="3"/>
  <c r="E571" i="3"/>
  <c r="E577" i="3"/>
  <c r="E537" i="3"/>
  <c r="E429" i="3"/>
  <c r="E450" i="3"/>
  <c r="E468" i="3"/>
  <c r="E471" i="3"/>
  <c r="E496" i="3"/>
  <c r="E433" i="3"/>
  <c r="E454" i="3"/>
  <c r="E475" i="3"/>
  <c r="E55" i="3"/>
  <c r="E72" i="3"/>
  <c r="E106" i="3"/>
  <c r="E54" i="3"/>
  <c r="E73" i="3"/>
  <c r="E111" i="3"/>
  <c r="E146" i="3"/>
  <c r="E168" i="3"/>
  <c r="E203" i="3"/>
  <c r="E171" i="3"/>
  <c r="E208" i="3"/>
  <c r="E256" i="3"/>
  <c r="E279" i="3"/>
  <c r="E214" i="3"/>
  <c r="E257" i="3"/>
  <c r="E274" i="3"/>
  <c r="E351" i="3"/>
  <c r="E357" i="3"/>
  <c r="E394" i="3"/>
  <c r="E362" i="3"/>
  <c r="E580" i="3"/>
  <c r="E74" i="3"/>
  <c r="E93" i="3"/>
  <c r="E473" i="3"/>
  <c r="E455" i="3"/>
  <c r="E38" i="3"/>
  <c r="E170" i="3"/>
  <c r="E194" i="3"/>
  <c r="E299" i="3"/>
  <c r="E325" i="3"/>
  <c r="AQ6" i="3"/>
  <c r="E36" i="3"/>
  <c r="E123" i="3"/>
  <c r="E340" i="3"/>
  <c r="E20" i="3"/>
  <c r="E218" i="3"/>
  <c r="E524" i="3"/>
  <c r="E395" i="3"/>
  <c r="E217" i="3"/>
  <c r="E526" i="3"/>
  <c r="E268" i="3"/>
  <c r="E322" i="3"/>
  <c r="AJ6" i="3"/>
  <c r="E509" i="3"/>
  <c r="E579" i="3"/>
  <c r="E431" i="3"/>
  <c r="E247" i="3"/>
  <c r="E201" i="3"/>
  <c r="E353" i="3"/>
  <c r="E495" i="3"/>
  <c r="AN6" i="3"/>
  <c r="E586" i="3"/>
  <c r="E237" i="3"/>
  <c r="E565" i="3"/>
  <c r="E17" i="3"/>
  <c r="E539" i="3"/>
  <c r="E461" i="3"/>
  <c r="E165" i="3"/>
  <c r="E514" i="3"/>
  <c r="M6" i="3"/>
  <c r="E407" i="3"/>
  <c r="E320" i="3"/>
  <c r="E294" i="3"/>
  <c r="E230" i="3"/>
  <c r="E130" i="3"/>
  <c r="E254" i="3"/>
  <c r="E221" i="3"/>
  <c r="E149" i="3"/>
  <c r="E212" i="3"/>
  <c r="E167" i="3"/>
  <c r="E415" i="3"/>
  <c r="E53" i="3"/>
  <c r="E319" i="3"/>
  <c r="E501" i="3"/>
  <c r="E153" i="3"/>
  <c r="E426" i="3"/>
  <c r="E328" i="3"/>
  <c r="O6" i="3"/>
  <c r="E574" i="3"/>
  <c r="E359" i="3"/>
  <c r="E285" i="3"/>
  <c r="E97" i="3"/>
  <c r="E314" i="3"/>
  <c r="E511" i="3"/>
  <c r="E16" i="3"/>
  <c r="AK6" i="3"/>
  <c r="E261" i="3"/>
  <c r="E183" i="3"/>
  <c r="E503" i="3"/>
  <c r="E545" i="3"/>
  <c r="E352" i="3"/>
  <c r="E128" i="3"/>
  <c r="E559" i="3"/>
  <c r="V6" i="3"/>
  <c r="E439" i="3"/>
  <c r="E380" i="3"/>
  <c r="E231" i="3"/>
  <c r="E216" i="3"/>
  <c r="E185" i="3"/>
  <c r="E135" i="3"/>
  <c r="E161" i="3"/>
  <c r="E207" i="3"/>
  <c r="E271" i="3"/>
  <c r="E145" i="3"/>
  <c r="E550" i="3"/>
  <c r="E125" i="3"/>
  <c r="E366" i="3"/>
  <c r="E553" i="3"/>
  <c r="E282" i="3"/>
  <c r="N6" i="3"/>
  <c r="E239" i="3"/>
  <c r="E516" i="3"/>
  <c r="E569" i="3"/>
  <c r="E396" i="3"/>
  <c r="E229" i="3"/>
  <c r="E151" i="3"/>
  <c r="E385" i="3"/>
  <c r="E518" i="3"/>
  <c r="AI6" i="3"/>
  <c r="E578" i="3"/>
  <c r="E304" i="3"/>
  <c r="E213" i="3"/>
  <c r="E302" i="3"/>
  <c r="E567" i="3"/>
  <c r="E227" i="3"/>
  <c r="E311" i="3"/>
  <c r="E570" i="3"/>
  <c r="AB6" i="3"/>
  <c r="E387" i="3"/>
  <c r="E335" i="3"/>
  <c r="E215" i="3"/>
  <c r="E189" i="3"/>
  <c r="E134" i="3"/>
  <c r="E91" i="3"/>
  <c r="E180" i="3"/>
  <c r="E77" i="3"/>
  <c r="E253" i="3"/>
  <c r="E199" i="3"/>
  <c r="E175" i="3"/>
  <c r="E530" i="3"/>
  <c r="E343" i="3"/>
  <c r="E305" i="3"/>
  <c r="E508" i="3"/>
  <c r="E388" i="3"/>
  <c r="E555" i="3"/>
  <c r="E410" i="3"/>
  <c r="E337" i="3"/>
  <c r="E143" i="3"/>
  <c r="E397" i="3"/>
  <c r="E568" i="3"/>
  <c r="E536" i="3"/>
  <c r="E549" i="3"/>
  <c r="E528" i="3"/>
  <c r="E329" i="3"/>
  <c r="E510" i="3"/>
  <c r="E358" i="3"/>
  <c r="E551" i="3"/>
  <c r="E338" i="3"/>
  <c r="E298" i="3"/>
  <c r="E61" i="3"/>
  <c r="E290" i="3"/>
  <c r="E252" i="3"/>
  <c r="E69" i="3"/>
  <c r="E260" i="3"/>
  <c r="I6" i="3"/>
  <c r="E361" i="3"/>
  <c r="E205" i="3"/>
  <c r="E418" i="3"/>
  <c r="E321" i="3"/>
  <c r="E169" i="3"/>
  <c r="E117" i="3"/>
  <c r="E204" i="3"/>
  <c r="E12" i="71"/>
  <c r="E11" i="71" s="1"/>
  <c r="E10" i="71" s="1"/>
  <c r="E9" i="71" s="1"/>
  <c r="V13" i="71"/>
  <c r="G63" i="40"/>
  <c r="F65" i="40"/>
  <c r="E65" i="3"/>
  <c r="G68" i="39"/>
  <c r="F70" i="39"/>
  <c r="T33" i="71"/>
  <c r="D33" i="71"/>
  <c r="M19" i="43" s="1"/>
  <c r="E58" i="40"/>
  <c r="E63" i="39"/>
  <c r="AA43" i="34"/>
  <c r="S43" i="34"/>
  <c r="AC34" i="34"/>
  <c r="V49" i="34" s="1"/>
  <c r="I49" i="34" s="1"/>
  <c r="I53" i="34" s="1"/>
  <c r="J53" i="34" s="1"/>
  <c r="W34" i="34"/>
  <c r="D8" i="71"/>
  <c r="C7" i="71"/>
  <c r="E14" i="3"/>
  <c r="E57" i="3"/>
  <c r="AQ7" i="1"/>
  <c r="T7" i="1"/>
  <c r="AR7" i="1"/>
  <c r="W10" i="39"/>
  <c r="AC10" i="40"/>
  <c r="AC37" i="34"/>
  <c r="W37" i="34"/>
  <c r="C35" i="69"/>
  <c r="C38" i="69"/>
  <c r="C18" i="77"/>
  <c r="E16" i="77" s="1"/>
  <c r="C19" i="15"/>
  <c r="C20" i="15" s="1"/>
  <c r="C26" i="15" s="1"/>
  <c r="AQ6" i="1"/>
  <c r="S16" i="1"/>
  <c r="T6" i="1"/>
  <c r="AR6" i="1"/>
  <c r="F45" i="68"/>
  <c r="C47" i="68"/>
  <c r="D45" i="68" s="1"/>
  <c r="C29" i="68"/>
  <c r="D27" i="68" s="1"/>
  <c r="F45" i="69"/>
  <c r="C47" i="69"/>
  <c r="D45" i="69" s="1"/>
  <c r="C29" i="69"/>
  <c r="D27" i="69" s="1"/>
  <c r="D3" i="34"/>
  <c r="D37" i="11"/>
  <c r="C37" i="11" s="1"/>
  <c r="D14" i="12"/>
  <c r="M18" i="9"/>
  <c r="B14" i="74" s="1"/>
  <c r="B1" i="74" s="1"/>
  <c r="D3" i="21"/>
  <c r="C17" i="4"/>
  <c r="B4" i="52" s="1"/>
  <c r="B43" i="72" s="1"/>
  <c r="D3" i="37"/>
  <c r="D3" i="33"/>
  <c r="B2" i="33" s="1"/>
  <c r="B3" i="33" s="1"/>
  <c r="E6" i="6"/>
  <c r="D19" i="11"/>
  <c r="C19" i="11" s="1"/>
  <c r="C20" i="11" s="1"/>
  <c r="C28" i="11" s="1"/>
  <c r="C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98" i="3"/>
  <c r="AY18" i="3"/>
  <c r="AY171" i="3"/>
  <c r="AY90" i="3"/>
  <c r="AY163" i="3"/>
  <c r="AY75" i="3"/>
  <c r="AY237" i="3"/>
  <c r="AY387" i="3"/>
  <c r="AY334" i="3"/>
  <c r="AY444" i="3"/>
  <c r="AY526" i="3"/>
  <c r="AY269" i="3"/>
  <c r="AY390" i="3"/>
  <c r="AY311" i="3"/>
  <c r="AY447" i="3"/>
  <c r="AY535" i="3"/>
  <c r="AY574" i="3"/>
  <c r="AY55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L19" i="9" s="1"/>
  <c r="C118" i="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82" i="3"/>
  <c r="AY191" i="3"/>
  <c r="AY132" i="3"/>
  <c r="AY31" i="3"/>
  <c r="AY292" i="3"/>
  <c r="AY147" i="3"/>
  <c r="AY220" i="3"/>
  <c r="AY350" i="3"/>
  <c r="AY486" i="3"/>
  <c r="AY425" i="3"/>
  <c r="AY199" i="3"/>
  <c r="AY244" i="3"/>
  <c r="AY355" i="3"/>
  <c r="AY481" i="3"/>
  <c r="AY404" i="3"/>
  <c r="AY562" i="3"/>
  <c r="BO6" i="3"/>
  <c r="AY89"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62"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AA10" i="39"/>
  <c r="AB10" i="40"/>
  <c r="C15" i="12"/>
  <c r="C12" i="12"/>
  <c r="C115" i="43"/>
  <c r="D113" i="43" s="1"/>
  <c r="S3" i="43"/>
  <c r="S2" i="43"/>
  <c r="S7" i="43"/>
  <c r="C23" i="43"/>
  <c r="C21" i="43" s="1"/>
  <c r="S5" i="43"/>
  <c r="S4" i="43"/>
  <c r="S6" i="43"/>
  <c r="AB7" i="34"/>
  <c r="T49" i="34" s="1"/>
  <c r="G49" i="34" s="1"/>
  <c r="U7" i="34"/>
  <c r="U7" i="21"/>
  <c r="AB7" i="21"/>
  <c r="T48" i="21" s="1"/>
  <c r="G48" i="21" s="1"/>
  <c r="F48" i="35"/>
  <c r="S7" i="21"/>
  <c r="AA7" i="21"/>
  <c r="R48" i="21" s="1"/>
  <c r="AA7" i="34"/>
  <c r="R49" i="34" s="1"/>
  <c r="S7" i="34"/>
  <c r="F46" i="36"/>
  <c r="AC7" i="21"/>
  <c r="V48" i="21" s="1"/>
  <c r="I48" i="21" s="1"/>
  <c r="W7" i="21"/>
  <c r="F52" i="37"/>
  <c r="G52" i="37" s="1"/>
  <c r="H52" i="37" s="1"/>
  <c r="I52" i="37" s="1"/>
  <c r="J52" i="37" s="1"/>
  <c r="K52" i="37" s="1"/>
  <c r="L52" i="37" s="1"/>
  <c r="M52" i="37" s="1"/>
  <c r="N52" i="37" s="1"/>
  <c r="O52" i="37" s="1"/>
  <c r="F7" i="37"/>
  <c r="H7" i="37"/>
  <c r="E41" i="43"/>
  <c r="C41" i="43" s="1"/>
  <c r="C20" i="43"/>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4" i="68"/>
  <c r="C14" i="77" l="1"/>
  <c r="C20" i="77" s="1"/>
  <c r="C19" i="77" s="1"/>
  <c r="G65" i="40"/>
  <c r="H63" i="40"/>
  <c r="H68" i="39"/>
  <c r="G70" i="39"/>
  <c r="D7" i="71"/>
  <c r="C6" i="71"/>
  <c r="E8" i="71"/>
  <c r="E7" i="71" s="1"/>
  <c r="E6" i="71" s="1"/>
  <c r="E5" i="71" s="1"/>
  <c r="V9" i="71"/>
  <c r="H6" i="3"/>
  <c r="N16" i="1"/>
  <c r="L16" i="1"/>
  <c r="C34" i="11"/>
  <c r="K16" i="1"/>
  <c r="AC6" i="3"/>
  <c r="E6" i="3" s="1"/>
  <c r="C38" i="68"/>
  <c r="C35" i="68"/>
  <c r="T16" i="1"/>
  <c r="D17" i="12"/>
  <c r="C17" i="12" s="1"/>
  <c r="C14" i="12"/>
  <c r="I19" i="6"/>
  <c r="M27" i="6"/>
  <c r="D15" i="6"/>
  <c r="D21" i="6"/>
  <c r="D20" i="6"/>
  <c r="D12" i="6"/>
  <c r="D11" i="6"/>
  <c r="D13" i="6"/>
  <c r="D28" i="6"/>
  <c r="H24" i="6"/>
  <c r="D25" i="6"/>
  <c r="D22" i="6"/>
  <c r="D24" i="6"/>
  <c r="D9" i="6"/>
  <c r="D10" i="6"/>
  <c r="E61" i="40"/>
  <c r="H25" i="6"/>
  <c r="H26" i="6"/>
  <c r="H23" i="6"/>
  <c r="H22" i="6"/>
  <c r="D14" i="6"/>
  <c r="D8" i="6"/>
  <c r="D26" i="6"/>
  <c r="M19" i="9"/>
  <c r="C14" i="74" s="1"/>
  <c r="B2" i="74" s="1"/>
  <c r="D23" i="6"/>
  <c r="R23" i="6" s="1"/>
  <c r="C18" i="4"/>
  <c r="D29" i="6"/>
  <c r="D30" i="6" s="1"/>
  <c r="D5" i="6"/>
  <c r="D19" i="6"/>
  <c r="H19" i="6"/>
  <c r="D6" i="6"/>
  <c r="H21" i="6"/>
  <c r="H20" i="6"/>
  <c r="R20" i="6" s="1"/>
  <c r="R7" i="1" s="1"/>
  <c r="D10" i="11"/>
  <c r="C10" i="11" s="1"/>
  <c r="D20" i="12"/>
  <c r="C20" i="12" s="1"/>
  <c r="C18" i="12" s="1"/>
  <c r="C16" i="12"/>
  <c r="AB7" i="37"/>
  <c r="T42" i="37" s="1"/>
  <c r="G42" i="37" s="1"/>
  <c r="U7" i="37"/>
  <c r="I52" i="21"/>
  <c r="J52" i="21" s="1"/>
  <c r="G46" i="36"/>
  <c r="R50" i="34"/>
  <c r="E49" i="34"/>
  <c r="G48" i="35"/>
  <c r="G52" i="21"/>
  <c r="H52" i="21" s="1"/>
  <c r="G53" i="21"/>
  <c r="H53" i="21" s="1"/>
  <c r="AA7" i="37"/>
  <c r="R42" i="37" s="1"/>
  <c r="S7" i="37"/>
  <c r="R49" i="21"/>
  <c r="E48" i="21"/>
  <c r="G53" i="34"/>
  <c r="H53" i="34" s="1"/>
  <c r="G54" i="34"/>
  <c r="H54" i="34" s="1"/>
  <c r="J7" i="37"/>
  <c r="T11" i="43"/>
  <c r="V11" i="43" s="1"/>
  <c r="C35" i="43"/>
  <c r="T15" i="43"/>
  <c r="V15" i="43" s="1"/>
  <c r="C29" i="43"/>
  <c r="C34" i="43"/>
  <c r="T7" i="43"/>
  <c r="V7" i="43" s="1"/>
  <c r="T16" i="43"/>
  <c r="V16" i="43" s="1"/>
  <c r="T8" i="43"/>
  <c r="V8" i="43" s="1"/>
  <c r="T14" i="43"/>
  <c r="V14" i="43" s="1"/>
  <c r="T12" i="43"/>
  <c r="V12" i="43" s="1"/>
  <c r="C36" i="43"/>
  <c r="T9" i="43"/>
  <c r="V9" i="43" s="1"/>
  <c r="C37" i="43"/>
  <c r="T4" i="43"/>
  <c r="V4" i="43" s="1"/>
  <c r="T6" i="43"/>
  <c r="V6" i="43" s="1"/>
  <c r="T10" i="43"/>
  <c r="V10" i="43" s="1"/>
  <c r="C33" i="43"/>
  <c r="T13" i="43"/>
  <c r="V13" i="43" s="1"/>
  <c r="T2" i="43"/>
  <c r="V2" i="43" s="1"/>
  <c r="T3" i="43"/>
  <c r="V3" i="43" s="1"/>
  <c r="T5" i="43"/>
  <c r="V5" i="43" s="1"/>
  <c r="C39" i="43"/>
  <c r="C38"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9"/>
  <c r="D10" i="68"/>
  <c r="C38" i="11" l="1"/>
  <c r="C35" i="11"/>
  <c r="C33" i="11" s="1"/>
  <c r="C17" i="77"/>
  <c r="C16" i="77" s="1"/>
  <c r="H70" i="39"/>
  <c r="I68" i="39"/>
  <c r="F50" i="69"/>
  <c r="F50" i="68"/>
  <c r="F50" i="11"/>
  <c r="D6" i="71"/>
  <c r="C5" i="71"/>
  <c r="I63" i="40"/>
  <c r="H65" i="40"/>
  <c r="R21" i="6"/>
  <c r="H27" i="6"/>
  <c r="R26" i="6"/>
  <c r="D27" i="6"/>
  <c r="D31" i="6" s="1"/>
  <c r="R19" i="6"/>
  <c r="C21" i="12"/>
  <c r="C22" i="12" s="1"/>
  <c r="C27" i="12" s="1"/>
  <c r="C25" i="12" s="1"/>
  <c r="C10" i="69"/>
  <c r="C8" i="69" s="1"/>
  <c r="D19" i="69"/>
  <c r="C10" i="68"/>
  <c r="C8" i="68" s="1"/>
  <c r="D19" i="68"/>
  <c r="A7" i="51"/>
  <c r="B7" i="72" s="1"/>
  <c r="A10" i="51"/>
  <c r="B9" i="72" s="1"/>
  <c r="C4" i="52"/>
  <c r="B45" i="72" s="1"/>
  <c r="D16" i="6"/>
  <c r="R22" i="6"/>
  <c r="R24" i="6"/>
  <c r="R25" i="6"/>
  <c r="I27" i="6"/>
  <c r="S19" i="6"/>
  <c r="S27" i="6" s="1"/>
  <c r="E52" i="21"/>
  <c r="F52" i="21" s="1"/>
  <c r="E53" i="21"/>
  <c r="F53" i="21" s="1"/>
  <c r="E54" i="34"/>
  <c r="F54" i="34" s="1"/>
  <c r="E53" i="34"/>
  <c r="F53" i="34" s="1"/>
  <c r="I54" i="34"/>
  <c r="J54" i="34" s="1"/>
  <c r="H46" i="36"/>
  <c r="G46" i="37"/>
  <c r="H46" i="37" s="1"/>
  <c r="AC7" i="37"/>
  <c r="V42" i="37" s="1"/>
  <c r="I42" i="37" s="1"/>
  <c r="W7" i="37"/>
  <c r="C49" i="21"/>
  <c r="B2" i="21" s="1"/>
  <c r="B3" i="21" s="1"/>
  <c r="C48" i="21"/>
  <c r="R43" i="37"/>
  <c r="E42" i="37"/>
  <c r="H48" i="35"/>
  <c r="C49" i="34"/>
  <c r="C50" i="34"/>
  <c r="I53" i="21"/>
  <c r="J53" i="21" s="1"/>
  <c r="G39" i="43"/>
  <c r="I39" i="43" s="1"/>
  <c r="E39" i="43"/>
  <c r="E29" i="43"/>
  <c r="C30" i="43"/>
  <c r="E30" i="43" s="1"/>
  <c r="E35" i="43"/>
  <c r="G35" i="43"/>
  <c r="I35" i="43" s="1"/>
  <c r="G38" i="43"/>
  <c r="I38" i="43" s="1"/>
  <c r="E38" i="43"/>
  <c r="G33" i="43"/>
  <c r="I33" i="43" s="1"/>
  <c r="E33" i="43"/>
  <c r="E37" i="43"/>
  <c r="G37" i="43"/>
  <c r="I37" i="43" s="1"/>
  <c r="E36" i="43"/>
  <c r="G36" i="43"/>
  <c r="I36" i="43" s="1"/>
  <c r="E34" i="43"/>
  <c r="G34" i="43"/>
  <c r="I34" i="43" s="1"/>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J63" i="40" l="1"/>
  <c r="I65" i="40"/>
  <c r="D5" i="71"/>
  <c r="M20" i="43" s="1"/>
  <c r="C39" i="11"/>
  <c r="C42" i="11"/>
  <c r="I70" i="39"/>
  <c r="J68" i="39"/>
  <c r="B2" i="34"/>
  <c r="D35" i="77"/>
  <c r="J8" i="77" s="1"/>
  <c r="C6" i="69"/>
  <c r="C7" i="69" s="1"/>
  <c r="C5" i="69" s="1"/>
  <c r="C23" i="69" s="1"/>
  <c r="C26" i="43"/>
  <c r="B2" i="43" s="1"/>
  <c r="C6" i="68" s="1"/>
  <c r="C7" i="68" s="1"/>
  <c r="C5" i="68" s="1"/>
  <c r="C23" i="68" s="1"/>
  <c r="R27" i="6"/>
  <c r="R6" i="1"/>
  <c r="R16" i="1" s="1"/>
  <c r="D37" i="68"/>
  <c r="C37" i="68" s="1"/>
  <c r="C33" i="68" s="1"/>
  <c r="C19" i="68"/>
  <c r="D37" i="69"/>
  <c r="C37" i="69" s="1"/>
  <c r="C33" i="69" s="1"/>
  <c r="C19" i="69"/>
  <c r="C24" i="69" s="1"/>
  <c r="I5" i="6"/>
  <c r="I6" i="6"/>
  <c r="C30" i="12"/>
  <c r="C28" i="12" s="1"/>
  <c r="C32" i="12" s="1"/>
  <c r="B2" i="12" s="1"/>
  <c r="B3" i="12" s="1"/>
  <c r="I48" i="35"/>
  <c r="C43" i="37"/>
  <c r="B2" i="37" s="1"/>
  <c r="B3" i="37" s="1"/>
  <c r="C42" i="37"/>
  <c r="I47" i="37"/>
  <c r="J47" i="37" s="1"/>
  <c r="I46" i="37"/>
  <c r="J46" i="37" s="1"/>
  <c r="G47" i="37"/>
  <c r="H47" i="37" s="1"/>
  <c r="I46" i="36"/>
  <c r="E47" i="37"/>
  <c r="F47" i="37" s="1"/>
  <c r="E46" i="37"/>
  <c r="F46" i="37" s="1"/>
  <c r="C27" i="43"/>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B6" i="76"/>
  <c r="C19" i="9"/>
  <c r="L51" i="67"/>
  <c r="D19" i="9"/>
  <c r="E6" i="76"/>
  <c r="J70" i="39" l="1"/>
  <c r="K68" i="39"/>
  <c r="C46" i="11"/>
  <c r="C45" i="11" s="1"/>
  <c r="C43" i="11"/>
  <c r="C41" i="11" s="1"/>
  <c r="C49" i="11" s="1"/>
  <c r="C51" i="11" s="1"/>
  <c r="C52" i="11" s="1"/>
  <c r="B2" i="11" s="1"/>
  <c r="B3" i="11" s="1"/>
  <c r="J65" i="40"/>
  <c r="K63" i="40"/>
  <c r="D102" i="9"/>
  <c r="D21" i="9"/>
  <c r="D22" i="9"/>
  <c r="C102" i="9"/>
  <c r="G19" i="9"/>
  <c r="G21" i="9" s="1"/>
  <c r="C21" i="9"/>
  <c r="B3" i="34"/>
  <c r="C20" i="69"/>
  <c r="C28" i="69" s="1"/>
  <c r="C27" i="69" s="1"/>
  <c r="C24" i="68"/>
  <c r="C20" i="68"/>
  <c r="C42" i="69"/>
  <c r="C39" i="69"/>
  <c r="C42" i="68"/>
  <c r="C39" i="68"/>
  <c r="J48" i="35"/>
  <c r="J46" i="36"/>
  <c r="E2" i="76"/>
  <c r="B2" i="76"/>
  <c r="B3" i="43"/>
  <c r="C58" i="15"/>
  <c r="C67" i="15" s="1"/>
  <c r="C68" i="15" s="1"/>
  <c r="C71" i="15" s="1"/>
  <c r="J16" i="15"/>
  <c r="J25" i="15" s="1"/>
  <c r="J16" i="67"/>
  <c r="J25" i="67" s="1"/>
  <c r="C80" i="67"/>
  <c r="C79" i="67" s="1"/>
  <c r="C80" i="15"/>
  <c r="C79" i="15" s="1"/>
  <c r="C58" i="67"/>
  <c r="C67" i="67" s="1"/>
  <c r="C68" i="67" s="1"/>
  <c r="Q69" i="15"/>
  <c r="Q68" i="15" s="1"/>
  <c r="C40" i="15"/>
  <c r="Q69" i="67"/>
  <c r="Q68" i="67" s="1"/>
  <c r="C40" i="67"/>
  <c r="C20" i="9"/>
  <c r="D20" i="9"/>
  <c r="C56" i="11" l="1"/>
  <c r="C57" i="11" s="1"/>
  <c r="K65" i="40"/>
  <c r="L63" i="40"/>
  <c r="K70" i="39"/>
  <c r="L68" i="39"/>
  <c r="C103" i="9"/>
  <c r="G20" i="9"/>
  <c r="C32" i="9" s="1"/>
  <c r="D103" i="9"/>
  <c r="C25" i="69"/>
  <c r="C22" i="69" s="1"/>
  <c r="C31" i="69" s="1"/>
  <c r="C46" i="68"/>
  <c r="C45" i="68" s="1"/>
  <c r="C43" i="68"/>
  <c r="C41" i="68" s="1"/>
  <c r="C43" i="69"/>
  <c r="C41" i="69" s="1"/>
  <c r="C46" i="69"/>
  <c r="C45" i="69" s="1"/>
  <c r="C25" i="68"/>
  <c r="C22" i="68" s="1"/>
  <c r="C28" i="68"/>
  <c r="C27" i="68" s="1"/>
  <c r="K46" i="36"/>
  <c r="K48" i="35"/>
  <c r="B3" i="76"/>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M68" i="39" l="1"/>
  <c r="L70" i="39"/>
  <c r="L65" i="40"/>
  <c r="M63" i="40"/>
  <c r="C35" i="9"/>
  <c r="C34" i="9" s="1"/>
  <c r="C49" i="68"/>
  <c r="C31" i="68"/>
  <c r="C49" i="69"/>
  <c r="C51" i="69" s="1"/>
  <c r="C52" i="69" s="1"/>
  <c r="B2" i="69" s="1"/>
  <c r="L48" i="35"/>
  <c r="M48" i="35" s="1"/>
  <c r="N48" i="35" s="1"/>
  <c r="O48" i="35" s="1"/>
  <c r="L46" i="36"/>
  <c r="Q66" i="15"/>
  <c r="Q75" i="15" s="1"/>
  <c r="Q57" i="15"/>
  <c r="Q62" i="15" s="1"/>
  <c r="Q66" i="67"/>
  <c r="Q75" i="67" s="1"/>
  <c r="Q57" i="67"/>
  <c r="Q62" i="67" s="1"/>
  <c r="B2" i="67"/>
  <c r="B3" i="67"/>
  <c r="B3" i="69"/>
  <c r="M65" i="40" l="1"/>
  <c r="N63" i="40"/>
  <c r="M70" i="39"/>
  <c r="N68" i="39"/>
  <c r="C51" i="68"/>
  <c r="C23" i="77" s="1"/>
  <c r="C26" i="77" s="1"/>
  <c r="C7" i="77"/>
  <c r="C27" i="77" s="1"/>
  <c r="C57" i="69"/>
  <c r="C56" i="69" s="1"/>
  <c r="M46" i="36"/>
  <c r="N46" i="36" s="1"/>
  <c r="O46" i="36" s="1"/>
  <c r="J7" i="36"/>
  <c r="H7" i="35"/>
  <c r="J7" i="35"/>
  <c r="F7" i="35"/>
  <c r="O63" i="40" l="1"/>
  <c r="O65" i="40" s="1"/>
  <c r="N65" i="40"/>
  <c r="O68" i="39"/>
  <c r="O70" i="39" s="1"/>
  <c r="J7" i="39" s="1"/>
  <c r="N70" i="39"/>
  <c r="J7" i="40"/>
  <c r="H7" i="40"/>
  <c r="F7" i="40"/>
  <c r="C52" i="68"/>
  <c r="B2" i="68" s="1"/>
  <c r="D14" i="74" s="1"/>
  <c r="C24" i="77"/>
  <c r="W7" i="35"/>
  <c r="AC7" i="35"/>
  <c r="V38" i="35" s="1"/>
  <c r="I38" i="35" s="1"/>
  <c r="AC7" i="36"/>
  <c r="V36" i="36" s="1"/>
  <c r="I36" i="36" s="1"/>
  <c r="W7" i="36"/>
  <c r="AA7" i="35"/>
  <c r="R38" i="35" s="1"/>
  <c r="S7" i="35"/>
  <c r="U7" i="35"/>
  <c r="AB7" i="35"/>
  <c r="T38" i="35" s="1"/>
  <c r="G38" i="35" s="1"/>
  <c r="F7" i="36"/>
  <c r="H7" i="36"/>
  <c r="AC7" i="40" l="1"/>
  <c r="V42" i="40" s="1"/>
  <c r="I42" i="40" s="1"/>
  <c r="I46" i="40" s="1"/>
  <c r="J46" i="40" s="1"/>
  <c r="W7" i="40"/>
  <c r="H7" i="39"/>
  <c r="F7" i="39"/>
  <c r="AA7" i="40"/>
  <c r="R42" i="40" s="1"/>
  <c r="S7" i="40"/>
  <c r="AC7" i="39"/>
  <c r="V47" i="39" s="1"/>
  <c r="I47" i="39" s="1"/>
  <c r="W7" i="39"/>
  <c r="AB7" i="40"/>
  <c r="T42" i="40" s="1"/>
  <c r="G42" i="40" s="1"/>
  <c r="U7" i="40"/>
  <c r="C3" i="77"/>
  <c r="C4" i="77" s="1"/>
  <c r="C29" i="77" s="1"/>
  <c r="C30" i="77" s="1"/>
  <c r="D36" i="77" s="1"/>
  <c r="G35" i="77" s="1"/>
  <c r="C57" i="68"/>
  <c r="C56" i="68" s="1"/>
  <c r="AB7" i="36"/>
  <c r="T36" i="36" s="1"/>
  <c r="G36" i="36" s="1"/>
  <c r="U7" i="36"/>
  <c r="G43" i="35"/>
  <c r="H43" i="35" s="1"/>
  <c r="G42" i="35"/>
  <c r="H42" i="35" s="1"/>
  <c r="I42" i="35"/>
  <c r="J42" i="35" s="1"/>
  <c r="S7" i="36"/>
  <c r="AA7" i="36"/>
  <c r="R36" i="36" s="1"/>
  <c r="R39" i="35"/>
  <c r="E38" i="35"/>
  <c r="I43" i="35" s="1"/>
  <c r="J43" i="35" s="1"/>
  <c r="I40" i="36"/>
  <c r="J40" i="36" s="1"/>
  <c r="B3" i="68"/>
  <c r="U7" i="39" l="1"/>
  <c r="AB7" i="39"/>
  <c r="T47" i="39" s="1"/>
  <c r="G47" i="39" s="1"/>
  <c r="S7" i="39"/>
  <c r="AA7" i="39"/>
  <c r="R47" i="39" s="1"/>
  <c r="I51" i="39"/>
  <c r="J51" i="39" s="1"/>
  <c r="G47" i="40"/>
  <c r="H47" i="40" s="1"/>
  <c r="G46" i="40"/>
  <c r="H46" i="40" s="1"/>
  <c r="E42" i="40"/>
  <c r="R43" i="40"/>
  <c r="J9" i="77"/>
  <c r="D37" i="77"/>
  <c r="C39" i="35"/>
  <c r="B2" i="35" s="1"/>
  <c r="B3" i="35" s="1"/>
  <c r="C38" i="35"/>
  <c r="E43" i="35"/>
  <c r="F43" i="35" s="1"/>
  <c r="E42" i="35"/>
  <c r="F42" i="35" s="1"/>
  <c r="R37" i="36"/>
  <c r="E36" i="36"/>
  <c r="G40" i="36"/>
  <c r="H40" i="36" s="1"/>
  <c r="G41" i="36"/>
  <c r="H41" i="36" s="1"/>
  <c r="R48" i="39" l="1"/>
  <c r="E47" i="39"/>
  <c r="C42" i="40"/>
  <c r="C43" i="40"/>
  <c r="G51" i="39"/>
  <c r="H51" i="39" s="1"/>
  <c r="G52" i="39"/>
  <c r="H52" i="39" s="1"/>
  <c r="E47" i="40"/>
  <c r="F47" i="40" s="1"/>
  <c r="E46" i="40"/>
  <c r="F46" i="40" s="1"/>
  <c r="I47" i="40"/>
  <c r="J47" i="40" s="1"/>
  <c r="E38" i="77"/>
  <c r="E39" i="77" s="1"/>
  <c r="G37" i="77"/>
  <c r="F3" i="78" s="1"/>
  <c r="G3" i="78" s="1"/>
  <c r="C38" i="77"/>
  <c r="C39" i="77" s="1"/>
  <c r="J10" i="77"/>
  <c r="C37" i="36"/>
  <c r="B2" i="36" s="1"/>
  <c r="B3" i="36" s="1"/>
  <c r="C36" i="36"/>
  <c r="E40" i="36"/>
  <c r="F40" i="36" s="1"/>
  <c r="E41" i="36"/>
  <c r="F41" i="36" s="1"/>
  <c r="I41" i="36"/>
  <c r="J41" i="36" s="1"/>
  <c r="E14" i="74"/>
  <c r="B5" i="74"/>
  <c r="D5" i="74" s="1"/>
  <c r="F14" i="74"/>
  <c r="E52" i="39" l="1"/>
  <c r="F52" i="39" s="1"/>
  <c r="E51" i="39"/>
  <c r="F51" i="39" s="1"/>
  <c r="I52" i="39"/>
  <c r="J52" i="39" s="1"/>
  <c r="B56" i="40"/>
  <c r="F56" i="40" s="1"/>
  <c r="F61" i="40"/>
  <c r="B2" i="40" s="1"/>
  <c r="B3" i="40" s="1"/>
  <c r="B53" i="40"/>
  <c r="F53" i="40" s="1"/>
  <c r="B60" i="40"/>
  <c r="F60" i="40" s="1"/>
  <c r="B55" i="40"/>
  <c r="F55" i="40" s="1"/>
  <c r="B59" i="40"/>
  <c r="F59" i="40" s="1"/>
  <c r="B57" i="40"/>
  <c r="F57" i="40" s="1"/>
  <c r="B58" i="40"/>
  <c r="F58" i="40" s="1"/>
  <c r="B52" i="40"/>
  <c r="F52" i="40" s="1"/>
  <c r="B51" i="40"/>
  <c r="F51" i="40" s="1"/>
  <c r="B54" i="40"/>
  <c r="F54" i="40" s="1"/>
  <c r="C48" i="39"/>
  <c r="C47" i="39"/>
  <c r="F4" i="78"/>
  <c r="G4" i="78" s="1"/>
  <c r="C5" i="74"/>
  <c r="B59" i="39" l="1"/>
  <c r="F59" i="39" s="1"/>
  <c r="B61" i="39"/>
  <c r="F61" i="39" s="1"/>
  <c r="B64" i="39"/>
  <c r="F64" i="39" s="1"/>
  <c r="B60" i="39"/>
  <c r="F60" i="39" s="1"/>
  <c r="B63" i="39"/>
  <c r="F63" i="39" s="1"/>
  <c r="B65" i="39"/>
  <c r="F65" i="39" s="1"/>
  <c r="B57" i="39"/>
  <c r="F57" i="39" s="1"/>
  <c r="B62" i="39"/>
  <c r="F62" i="39" s="1"/>
  <c r="B58" i="39"/>
  <c r="F58" i="39" s="1"/>
  <c r="B56" i="39"/>
  <c r="F56" i="39" s="1"/>
  <c r="F66" i="39" s="1"/>
  <c r="B2" i="39" s="1"/>
  <c r="B3" i="39" s="1"/>
  <c r="G17" i="78"/>
  <c r="E18" i="78" l="1"/>
  <c r="E20" i="78" s="1"/>
  <c r="G18" i="78"/>
  <c r="G20" i="78" s="1"/>
  <c r="D8" i="52" l="1"/>
  <c r="G14" i="74"/>
  <c r="N61" i="9"/>
  <c r="N60" i="9"/>
  <c r="C104" i="9"/>
  <c r="H4" i="52"/>
  <c r="M54" i="9"/>
  <c r="D53" i="9"/>
  <c r="D52" i="9"/>
  <c r="B32" i="72"/>
  <c r="D56" i="9"/>
  <c r="I4" i="52"/>
  <c r="C105" i="9"/>
  <c r="N58" i="9"/>
  <c r="P57" i="9"/>
  <c r="N57" i="9"/>
  <c r="N59" i="9"/>
  <c r="E97" i="9"/>
  <c r="B52" i="72"/>
  <c r="B30" i="72"/>
  <c r="D13" i="53"/>
  <c r="D14" i="53"/>
  <c r="C93" i="9"/>
  <c r="C86" i="9"/>
  <c r="B22" i="72"/>
  <c r="C78" i="9"/>
  <c r="C73" i="9"/>
  <c r="B49" i="72"/>
  <c r="G4" i="52"/>
  <c r="C81" i="9"/>
  <c r="D54" i="9"/>
  <c r="H119" i="9"/>
  <c r="H5" i="52"/>
  <c r="D4" i="52"/>
  <c r="B47" i="72"/>
  <c r="B53" i="72"/>
  <c r="D58" i="9"/>
  <c r="E81" i="9"/>
  <c r="F119" i="9"/>
  <c r="F5" i="52"/>
  <c r="H108" i="9"/>
  <c r="D15" i="53"/>
  <c r="B31" i="72"/>
  <c r="G118" i="9"/>
  <c r="F118" i="9"/>
  <c r="F4" i="52"/>
  <c r="B51" i="72"/>
  <c r="D118" i="9"/>
  <c r="D119" i="9"/>
  <c r="D5" i="52"/>
  <c r="B20" i="72"/>
  <c r="D6" i="53"/>
  <c r="C72" i="9"/>
  <c r="C79" i="9"/>
  <c r="C80" i="9"/>
  <c r="E80" i="9"/>
  <c r="D55" i="9"/>
  <c r="M53" i="9"/>
  <c r="E96" i="9"/>
  <c r="M48" i="9"/>
  <c r="D5" i="53"/>
  <c r="C68" i="9"/>
  <c r="E118" i="9"/>
  <c r="E4" i="52"/>
  <c r="B48" i="72"/>
  <c r="H107" i="9"/>
  <c r="D122" i="9"/>
  <c r="D123" i="9"/>
  <c r="D9" i="52"/>
  <c r="H102" i="9"/>
  <c r="D7" i="53"/>
  <c r="B21" i="72"/>
  <c r="C97" i="9"/>
  <c r="C85" i="9"/>
  <c r="C95" i="9"/>
  <c r="C96" i="9"/>
  <c r="I118" i="9"/>
  <c r="H118" i="9"/>
  <c r="H101" i="9"/>
  <c r="D45" i="9"/>
  <c r="C64" i="9"/>
  <c r="C63" i="9"/>
  <c r="C67" i="9"/>
  <c r="D59" i="9"/>
  <c r="M5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<sst xmlns="http://schemas.openxmlformats.org/spreadsheetml/2006/main" count="7677" uniqueCount="3331">
  <si>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</si>
  <si>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</si>
  <si>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</si>
  <si>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</si>
  <si>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</si>
  <si>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</si>
  <si>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</si>
  <si>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</si>
  <si>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</si>
  <si>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</si>
  <si>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</si>
  <si>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</si>
  <si>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</si>
  <si>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</si>
  <si>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</si>
  <si>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</si>
  <si>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</si>
  <si>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</si>
  <si>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</si>
  <si>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</si>
  <si>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</si>
  <si>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</si>
  <si>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</si>
  <si>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</si>
  <si>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</si>
  <si>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</si>
  <si>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</si>
  <si>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</si>
  <si>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</si>
  <si>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</si>
  <si>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</si>
  <si>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</si>
  <si>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</si>
  <si>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</si>
  <si>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</si>
  <si>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</si>
  <si>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</si>
  <si>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</si>
  <si>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</si>
  <si>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</si>
  <si>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</si>
  <si>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</si>
  <si>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</si>
  <si>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</si>
  <si>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</si>
  <si>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</si>
  <si>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</si>
  <si>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</si>
  <si>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</si>
  <si>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</si>
  <si>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</si>
  <si>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</si>
  <si>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</si>
  <si>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</si>
  <si>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</si>
  <si>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</si>
  <si>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</si>
  <si>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</si>
  <si>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</si>
  <si>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</si>
  <si>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</si>
  <si>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</si>
  <si>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</si>
  <si>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</si>
  <si>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</si>
  <si>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</si>
  <si>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</si>
  <si>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</si>
  <si>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</si>
  <si>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</si>
  <si>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</si>
  <si>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</si>
  <si>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</si>
  <si>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</si>
  <si>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</si>
  <si>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</si>
  <si>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</si>
  <si>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</si>
  <si>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</si>
  <si>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</si>
  <si>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</si>
  <si>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</si>
  <si>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</si>
  <si>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</si>
  <si>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</si>
  <si>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</si>
  <si>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</si>
  <si>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</si>
  <si>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</si>
  <si>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</si>
  <si>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</si>
  <si>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</si>
  <si>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</si>
  <si>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</si>
  <si>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</si>
  <si>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</si>
  <si>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</si>
  <si>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</si>
  <si>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</si>
  <si>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</si>
  <si>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</si>
  <si>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</si>
  <si>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</si>
  <si>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</si>
  <si>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</si>
  <si>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</si>
  <si>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</si>
  <si>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</si>
  <si>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</si>
  <si>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</si>
  <si>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</si>
  <si>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</si>
  <si>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</si>
  <si>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</si>
  <si>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</si>
  <si>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</si>
  <si>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</si>
  <si>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</si>
  <si>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</si>
  <si>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</si>
  <si>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</si>
  <si>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</si>
  <si>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</si>
  <si>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</si>
  <si>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</si>
  <si>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</si>
  <si>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</si>
  <si>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</si>
  <si>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</si>
  <si>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</si>
  <si>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</si>
  <si>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</si>
  <si>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</si>
  <si>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</si>
  <si>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</si>
  <si>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</si>
  <si>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</si>
  <si>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</si>
  <si>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</si>
  <si>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</si>
  <si>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</si>
  <si>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</si>
  <si>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</si>
  <si>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</si>
  <si>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</si>
  <si>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</si>
  <si>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</si>
  <si>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</si>
  <si>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</si>
  <si>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</si>
  <si>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</si>
  <si>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</si>
  <si>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</si>
  <si>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</si>
  <si>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</si>
  <si>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</si>
  <si>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</si>
  <si>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</si>
  <si>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</si>
  <si>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</si>
  <si>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</si>
  <si>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</si>
  <si>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</si>
  <si>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</si>
  <si>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</si>
  <si>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</si>
  <si>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</si>
  <si>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</si>
  <si>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</si>
  <si>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</si>
  <si>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</si>
  <si>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</si>
  <si>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</si>
  <si>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</si>
  <si>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</si>
  <si>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</si>
  <si>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</si>
  <si>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</si>
  <si>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</si>
  <si>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</si>
  <si>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</si>
  <si>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</si>
  <si>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</si>
  <si>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</si>
  <si>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</si>
  <si>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</si>
  <si>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</si>
  <si>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</si>
  <si>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</si>
  <si>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</si>
  <si>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</si>
  <si>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</si>
  <si>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</si>
  <si>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</si>
  <si>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</si>
  <si>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</si>
  <si>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</si>
  <si>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</si>
  <si>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</si>
  <si>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</si>
  <si>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</si>
  <si>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</si>
  <si>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</si>
  <si>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</si>
  <si>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</si>
  <si>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</si>
  <si>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</si>
  <si>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</si>
  <si>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</si>
  <si>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</si>
  <si>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</si>
  <si>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</si>
  <si>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</si>
  <si>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</si>
  <si>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</si>
  <si>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</si>
  <si>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</si>
  <si>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</si>
  <si>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</si>
  <si>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</si>
  <si>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</si>
  <si>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</si>
  <si>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</si>
  <si>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</si>
  <si>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</si>
  <si>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</si>
  <si>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</si>
  <si>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</si>
  <si>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</si>
  <si>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</si>
  <si>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</si>
  <si>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</si>
  <si>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</si>
  <si>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</si>
  <si>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</si>
  <si>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</si>
  <si>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</si>
  <si>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</si>
  <si>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</si>
  <si>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</si>
  <si>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</si>
  <si>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</si>
  <si>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</si>
  <si>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</si>
  <si>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</si>
  <si>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</si>
  <si>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</si>
  <si>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</si>
  <si>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</si>
  <si>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</si>
  <si>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</si>
  <si>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</si>
  <si>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</si>
  <si>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</si>
  <si>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</si>
  <si>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</si>
  <si>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</si>
  <si>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</si>
  <si>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</si>
  <si>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</si>
  <si>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</si>
  <si>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</si>
  <si>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</si>
  <si>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</si>
  <si>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</si>
  <si>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</si>
  <si>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</si>
  <si>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</si>
  <si>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</si>
  <si>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</si>
  <si>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</si>
  <si>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</si>
  <si>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</si>
  <si>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</si>
  <si>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</si>
  <si>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</si>
  <si>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</si>
  <si>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</si>
  <si>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</si>
  <si>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</si>
  <si>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</si>
  <si>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</si>
  <si>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</si>
  <si>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</si>
  <si>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</si>
  <si>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</si>
  <si>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</si>
  <si>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</si>
  <si>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</si>
  <si>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</si>
  <si>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</si>
  <si>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</si>
  <si>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</si>
  <si>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</si>
  <si>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</si>
  <si>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</si>
  <si>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</si>
  <si>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</si>
  <si>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</si>
  <si>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</si>
  <si>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</si>
  <si>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</si>
  <si>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</si>
  <si>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</si>
  <si>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</si>
  <si>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</si>
  <si>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</si>
  <si>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</si>
  <si>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</si>
  <si>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</si>
  <si>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</si>
  <si>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</si>
  <si>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</si>
  <si>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</si>
  <si>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</si>
  <si>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</si>
  <si>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</si>
  <si>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</si>
  <si>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</si>
  <si>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</si>
  <si>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</si>
  <si>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</si>
  <si>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</si>
  <si>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</si>
  <si>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</si>
  <si>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</si>
  <si>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</si>
  <si>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</si>
  <si>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</si>
  <si>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</si>
  <si>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</si>
  <si>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</si>
  <si>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</si>
  <si>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</si>
  <si>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</si>
  <si>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</si>
  <si>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</si>
  <si>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</si>
  <si>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</si>
  <si>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</si>
  <si>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</si>
  <si>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</si>
  <si>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</si>
  <si>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</si>
  <si>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</si>
  <si>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</si>
  <si>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</si>
  <si>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</si>
  <si>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</si>
  <si>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</si>
  <si>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</si>
  <si>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</si>
  <si>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</si>
  <si>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</si>
  <si>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</si>
  <si>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</si>
  <si>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</si>
  <si>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</si>
  <si>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</si>
  <si>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</si>
  <si>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</si>
  <si>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</si>
  <si>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</si>
  <si>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</si>
  <si>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</si>
  <si>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</si>
  <si>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</si>
  <si>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</si>
  <si>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</si>
  <si>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</si>
  <si>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</si>
  <si>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</si>
  <si>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</si>
  <si>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</si>
  <si>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</si>
  <si>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</si>
  <si>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</si>
  <si>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</si>
  <si>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</si>
  <si>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</si>
  <si>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</si>
  <si>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</si>
  <si>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</si>
  <si>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</si>
  <si>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</si>
  <si>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</si>
  <si>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</si>
  <si>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</si>
  <si>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</si>
  <si>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</si>
  <si>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</si>
  <si>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</si>
  <si>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</si>
  <si>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</si>
  <si>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</si>
  <si>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</si>
  <si>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</si>
  <si>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</si>
  <si>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</si>
  <si>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</si>
  <si>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</si>
  <si>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</si>
  <si>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</si>
  <si>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</si>
  <si>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</si>
  <si>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</si>
  <si>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</si>
  <si>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</si>
  <si>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</si>
  <si>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</si>
  <si>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</si>
  <si>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</si>
  <si>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</si>
  <si>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</si>
  <si>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</si>
  <si>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</si>
  <si>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</si>
  <si>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</si>
  <si>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</si>
  <si>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</si>
  <si>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</si>
  <si>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</si>
  <si>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</si>
  <si>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</si>
  <si>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</si>
  <si>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</si>
  <si>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</si>
  <si>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</si>
  <si>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</si>
  <si>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</si>
  <si>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</si>
  <si>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</si>
  <si>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</si>
  <si>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</si>
  <si>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</si>
  <si>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</si>
  <si>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</si>
  <si>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</si>
  <si>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</si>
  <si>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</si>
  <si>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</si>
  <si>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</si>
  <si>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</si>
  <si>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</si>
  <si>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</si>
  <si>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</si>
  <si>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</si>
  <si>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</si>
  <si>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</si>
  <si>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</si>
  <si>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</si>
  <si>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</si>
  <si>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</si>
  <si>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</si>
  <si>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</si>
  <si>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</si>
  <si>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</si>
  <si>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</si>
  <si>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</si>
  <si>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</si>
  <si>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</si>
  <si>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</si>
  <si>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</si>
  <si>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</si>
  <si>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</si>
  <si>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</si>
  <si>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</si>
  <si>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</si>
  <si>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</si>
  <si>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</si>
  <si>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</si>
  <si>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</si>
  <si>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</si>
  <si>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</si>
  <si>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</si>
  <si>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</si>
  <si>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</si>
  <si>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</si>
  <si>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</si>
  <si>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</si>
  <si>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</si>
  <si>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</si>
  <si>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</si>
  <si>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</si>
  <si>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</si>
  <si>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</si>
  <si>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</si>
  <si>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</si>
  <si>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</si>
  <si>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</si>
  <si>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</si>
  <si>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</si>
  <si>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</si>
  <si>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</si>
  <si>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</si>
  <si>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</si>
  <si>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</si>
  <si>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</si>
  <si>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</si>
  <si>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</si>
  <si>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</si>
  <si>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</si>
  <si>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</si>
  <si>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</si>
  <si>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</si>
  <si>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</si>
  <si>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</si>
  <si>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</si>
  <si>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</si>
  <si>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</si>
  <si>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</si>
  <si>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</si>
  <si>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</si>
  <si>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</si>
  <si>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</si>
  <si>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</si>
  <si>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</si>
  <si>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</si>
  <si>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</si>
  <si>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</si>
  <si>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</si>
  <si>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</si>
  <si>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</si>
  <si>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</si>
  <si>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</si>
  <si>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</si>
  <si>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</si>
  <si>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</si>
  <si>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</si>
  <si>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</si>
  <si>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</si>
  <si>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</si>
  <si>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</si>
  <si>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</si>
  <si>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</si>
  <si>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</si>
  <si>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</si>
  <si>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</si>
  <si>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</si>
  <si>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</si>
  <si>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</si>
  <si>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</si>
  <si>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</si>
  <si>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</si>
  <si>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</si>
  <si>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</si>
  <si>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</si>
  <si>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</si>
  <si>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</si>
  <si>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</si>
  <si>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</si>
  <si>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</si>
  <si>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</si>
  <si>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</si>
  <si>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</si>
  <si>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</si>
  <si>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</si>
  <si>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</si>
  <si>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</si>
  <si>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</si>
  <si>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</si>
  <si>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</si>
  <si>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</si>
  <si>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</si>
  <si>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</si>
  <si>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</si>
  <si>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</si>
  <si>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</si>
  <si>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</si>
  <si>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</si>
  <si>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</si>
  <si>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</si>
  <si>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</si>
  <si>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</si>
  <si>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</si>
  <si>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</si>
  <si>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</si>
  <si>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</si>
  <si>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</si>
  <si>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</si>
  <si>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</si>
  <si>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</si>
  <si>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</si>
  <si>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</si>
  <si>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</si>
  <si>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</si>
  <si>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</si>
  <si>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</si>
  <si>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</si>
  <si>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</si>
  <si>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</si>
  <si>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</si>
  <si>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</si>
  <si>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</si>
  <si>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</si>
  <si>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</si>
  <si>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</si>
  <si>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</si>
  <si>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</si>
  <si>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</si>
  <si>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</si>
  <si>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</si>
  <si>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</si>
  <si>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</si>
  <si>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</si>
  <si>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</si>
  <si>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</si>
  <si>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</si>
  <si>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</si>
  <si>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</si>
  <si>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</si>
  <si>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</si>
  <si>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</si>
  <si>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</si>
  <si>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</si>
  <si>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</si>
  <si>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</si>
  <si>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</si>
  <si>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</si>
  <si>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</si>
  <si>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</si>
  <si>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</si>
  <si>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</si>
  <si>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</si>
  <si>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</si>
  <si>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</si>
  <si>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</si>
  <si>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</si>
  <si>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</si>
  <si>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</si>
  <si>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</si>
  <si>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</si>
  <si>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</si>
  <si>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</si>
  <si>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</si>
  <si>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</si>
  <si>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</si>
  <si>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</si>
  <si>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</si>
  <si>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</si>
  <si>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</si>
  <si>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</si>
  <si>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</si>
  <si>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</si>
  <si>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</si>
  <si>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</si>
  <si>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</si>
  <si>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</si>
  <si>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</si>
  <si>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</si>
  <si>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</si>
  <si>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</si>
  <si>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</si>
  <si>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</si>
  <si>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</si>
  <si>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</si>
  <si>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</si>
  <si>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</si>
  <si>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</si>
  <si>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</si>
  <si>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</si>
  <si>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</si>
  <si>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</si>
  <si>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</si>
  <si>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</si>
  <si>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</si>
  <si>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</si>
  <si>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</si>
  <si>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</si>
  <si>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</si>
  <si>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</si>
  <si>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</si>
  <si>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</si>
  <si>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</si>
  <si>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</si>
  <si>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</si>
  <si>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</si>
  <si>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</si>
  <si>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</si>
  <si>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</si>
  <si>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</si>
  <si>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</si>
  <si>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</si>
  <si>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</si>
  <si>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</si>
  <si>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</si>
  <si>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</si>
  <si>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</si>
  <si>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</si>
  <si>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</si>
  <si>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</si>
  <si>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</si>
  <si>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</si>
  <si>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</si>
  <si>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</si>
  <si>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</si>
  <si>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</si>
  <si>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</si>
  <si>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</si>
  <si>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</si>
  <si>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</si>
  <si>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</si>
  <si>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</si>
  <si>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</si>
  <si>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</si>
  <si>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</si>
  <si>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</si>
  <si>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</si>
  <si>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</si>
  <si>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</si>
  <si>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</si>
  <si>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</si>
  <si>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</si>
  <si>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</si>
  <si>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</si>
  <si>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</si>
  <si>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</si>
  <si>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</si>
  <si>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</si>
  <si>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</si>
  <si>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</si>
  <si>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</si>
  <si>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</si>
  <si>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</si>
  <si>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</si>
  <si>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</si>
  <si>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</si>
  <si>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</si>
  <si>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</si>
  <si>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</si>
  <si>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</si>
  <si>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</si>
  <si>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</si>
  <si>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</si>
  <si>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</si>
  <si>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</si>
  <si>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</si>
  <si>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</si>
  <si>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</si>
  <si>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</si>
  <si>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</si>
  <si>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</si>
  <si>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</si>
  <si>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</si>
  <si>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</si>
  <si>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</si>
  <si>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</si>
  <si>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</si>
  <si>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</si>
  <si>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</si>
  <si>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</si>
  <si>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</si>
  <si>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</si>
  <si>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</si>
  <si>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</si>
  <si>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</si>
  <si>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</si>
  <si>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</si>
  <si>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</si>
  <si>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</si>
  <si>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</si>
  <si>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</si>
  <si>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</si>
  <si>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</si>
  <si>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</si>
  <si>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</si>
  <si>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</si>
  <si>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</si>
  <si>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</si>
  <si>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</si>
  <si>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</si>
  <si>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</si>
  <si>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</si>
  <si>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</si>
  <si>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</si>
  <si>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</si>
  <si>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</si>
  <si>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</si>
  <si>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</si>
  <si>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</si>
  <si>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</si>
  <si>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</si>
  <si>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</si>
  <si>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</si>
  <si>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</si>
  <si>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</si>
  <si>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</si>
  <si>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</si>
  <si>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</si>
  <si>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</si>
  <si>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</si>
  <si>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</si>
  <si>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</si>
  <si>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</si>
  <si>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</si>
  <si>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</si>
  <si>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</si>
  <si>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</si>
  <si>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</si>
  <si>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</si>
  <si>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</si>
  <si>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</si>
  <si>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</si>
  <si>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</si>
  <si>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</si>
  <si>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</si>
  <si>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</si>
  <si>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</si>
  <si>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</si>
  <si>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</si>
  <si>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</si>
  <si>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</si>
  <si>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</si>
  <si>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</si>
  <si>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</si>
  <si>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</si>
  <si>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</si>
  <si>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</si>
  <si>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</si>
  <si>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</si>
  <si>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</si>
  <si>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</si>
  <si>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</si>
  <si>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</si>
  <si>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</si>
  <si>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</si>
  <si>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</si>
  <si>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</si>
  <si>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</si>
  <si>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</si>
  <si>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</si>
  <si>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</si>
  <si>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</si>
  <si>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</si>
  <si>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</si>
  <si>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</si>
  <si>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</si>
  <si>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</si>
  <si>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</si>
  <si>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</si>
  <si>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</si>
  <si>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</si>
  <si>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</si>
  <si>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</si>
  <si>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</si>
  <si>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</si>
  <si>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</si>
  <si>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</si>
  <si>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</si>
  <si>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</si>
  <si>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</si>
  <si>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</si>
  <si>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</si>
  <si>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</si>
  <si>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</si>
  <si>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</si>
  <si>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</si>
  <si>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</si>
  <si>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</si>
  <si>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</si>
  <si>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</si>
  <si>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</si>
  <si>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</si>
  <si>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</si>
  <si>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</si>
  <si>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</si>
  <si>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</si>
  <si>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</si>
  <si>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</si>
  <si>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</si>
  <si>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</si>
  <si>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</si>
  <si>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</si>
  <si>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</si>
  <si>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</si>
  <si>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</si>
  <si>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</si>
  <si>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</si>
  <si>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</si>
  <si>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</si>
  <si>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</si>
  <si>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</si>
  <si>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</si>
  <si>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</si>
  <si>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</si>
  <si>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</si>
  <si>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</si>
  <si>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</si>
  <si>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</si>
  <si>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</si>
  <si>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</si>
  <si>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</si>
  <si>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</si>
  <si>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</si>
  <si>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</si>
  <si>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</si>
  <si>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</si>
  <si>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</si>
  <si>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</si>
  <si>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</si>
  <si>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</si>
  <si>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</si>
  <si>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</si>
  <si>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</si>
  <si>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</si>
  <si>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</si>
  <si>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</si>
  <si>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</si>
  <si>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</si>
  <si>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</si>
  <si>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</si>
  <si>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</si>
  <si>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</si>
  <si>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</si>
  <si>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</si>
  <si>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</si>
  <si>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</si>
  <si>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</si>
  <si>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</si>
  <si>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</si>
  <si>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</si>
  <si>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</si>
  <si>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</si>
  <si>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</si>
  <si>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</si>
  <si>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</si>
  <si>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</si>
  <si>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</si>
  <si>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</si>
  <si>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</si>
  <si>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</si>
  <si>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</si>
  <si>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</si>
  <si>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</si>
  <si>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</si>
  <si>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</si>
  <si>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</si>
  <si>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</si>
  <si>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</si>
  <si>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</si>
  <si>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</si>
  <si>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</si>
  <si>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</si>
  <si>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</si>
  <si>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</si>
  <si>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</si>
  <si>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</si>
  <si>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</si>
  <si>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</si>
  <si>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</si>
  <si>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</si>
  <si>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</si>
  <si>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</si>
  <si>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</si>
  <si>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</si>
  <si>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</si>
  <si>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</si>
  <si>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</si>
  <si>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</si>
  <si>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</si>
  <si>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</si>
  <si>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</si>
  <si>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</si>
  <si>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</si>
  <si>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</si>
  <si>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</si>
  <si>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</si>
  <si>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</si>
  <si>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</si>
  <si>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</si>
  <si>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</si>
  <si>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</si>
  <si>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</si>
  <si>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</si>
  <si>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</si>
  <si>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</si>
  <si>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</si>
  <si>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</si>
  <si>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</si>
  <si>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</si>
  <si>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</si>
  <si>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</si>
  <si>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</si>
  <si>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</si>
  <si>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</si>
  <si>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</si>
  <si>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</si>
  <si>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</si>
  <si>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</si>
  <si>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</si>
  <si>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</si>
  <si>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</si>
  <si>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</si>
  <si>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</si>
  <si>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</si>
  <si>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</si>
  <si>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</si>
  <si>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</si>
  <si>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</si>
  <si>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</si>
  <si>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</si>
  <si>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</si>
  <si>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</si>
  <si>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</si>
  <si>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</si>
  <si>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</si>
  <si>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</si>
  <si>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</si>
  <si>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</si>
  <si>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</si>
  <si>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</si>
  <si>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</si>
  <si>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</si>
  <si>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</si>
  <si>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</si>
  <si>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</si>
  <si>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</si>
  <si>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</si>
  <si>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</si>
  <si>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</si>
  <si>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</si>
  <si>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</si>
  <si>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</si>
  <si>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</si>
  <si>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</si>
  <si>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</si>
  <si>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</si>
  <si>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</si>
  <si>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</si>
  <si>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</si>
  <si>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</si>
  <si>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</si>
  <si>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</si>
  <si>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</si>
  <si>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</si>
  <si>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</si>
  <si>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</si>
  <si>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</si>
  <si>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</si>
  <si>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</si>
  <si>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</si>
  <si>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</si>
  <si>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</si>
  <si>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</si>
  <si>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</si>
  <si>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</si>
  <si>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</si>
  <si>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</si>
  <si>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</si>
  <si>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</si>
  <si>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</si>
  <si>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</si>
  <si>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</si>
  <si>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</si>
  <si>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</si>
  <si>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</si>
  <si>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</si>
  <si>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</si>
  <si>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</si>
  <si>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</si>
  <si>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</si>
  <si>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</si>
  <si>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</si>
  <si>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</si>
  <si>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</si>
  <si>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</si>
  <si>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</si>
  <si>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</si>
  <si>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</si>
  <si>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</si>
  <si>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</si>
  <si>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</si>
  <si>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</si>
  <si>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</si>
  <si>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</si>
  <si>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</si>
  <si>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</si>
  <si>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</si>
  <si>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</si>
  <si>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</si>
  <si>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</si>
  <si>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</si>
  <si>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</si>
  <si>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</si>
  <si>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</si>
  <si>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</si>
  <si>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</si>
  <si>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</si>
  <si>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</si>
  <si>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</si>
  <si>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</si>
  <si>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</si>
  <si>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</si>
  <si>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</si>
  <si>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</si>
  <si>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</si>
  <si>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</si>
  <si>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</si>
  <si>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</si>
  <si>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</si>
  <si>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</si>
  <si>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</si>
  <si>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</si>
  <si>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</si>
  <si>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</si>
  <si>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</si>
  <si>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</si>
  <si>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</si>
  <si>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</si>
  <si>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</si>
  <si>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</si>
  <si>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</si>
  <si>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</si>
  <si>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</si>
  <si>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</si>
  <si>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</si>
  <si>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</si>
  <si>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</si>
  <si>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</si>
  <si>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</si>
  <si>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</si>
  <si>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</si>
  <si>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</si>
  <si>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</si>
  <si>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</si>
  <si>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</si>
  <si>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</si>
  <si>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</si>
  <si>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</si>
  <si>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</si>
  <si>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</si>
  <si>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</si>
  <si>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</si>
  <si>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</si>
  <si>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</si>
  <si>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</si>
  <si>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</si>
  <si>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</si>
  <si>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</si>
  <si>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</si>
  <si>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</si>
  <si>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</si>
  <si>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</si>
  <si>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</si>
  <si>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</si>
  <si>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</si>
  <si>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</si>
  <si>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</si>
  <si>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</si>
  <si>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</si>
  <si>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</si>
  <si>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</si>
  <si>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</si>
  <si>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</si>
  <si>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</si>
  <si>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</si>
  <si>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</si>
  <si>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</si>
  <si>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</si>
  <si>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</si>
  <si>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</si>
  <si>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</si>
  <si>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</si>
  <si>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</si>
  <si>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</si>
  <si>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</si>
  <si>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</si>
  <si>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</si>
  <si>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</si>
  <si>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</si>
  <si>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</si>
  <si>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</si>
  <si>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</si>
  <si>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</si>
  <si>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</si>
  <si>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</si>
  <si>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</si>
  <si>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</si>
  <si>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</si>
  <si>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</si>
  <si>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</si>
  <si>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</si>
  <si>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</si>
  <si>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</si>
  <si>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</si>
  <si>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</si>
  <si>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</si>
  <si>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</si>
  <si>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</si>
  <si>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</si>
  <si>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</si>
  <si>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</si>
  <si>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</si>
  <si>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</si>
  <si>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</si>
  <si>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</si>
  <si>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</si>
  <si>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</si>
  <si>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</si>
  <si>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</si>
  <si>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</si>
  <si>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</si>
  <si>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</si>
  <si>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</si>
  <si>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</si>
  <si>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</si>
  <si>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</si>
  <si>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</si>
  <si>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</si>
  <si>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</si>
  <si>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</si>
  <si>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</si>
  <si>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</si>
  <si>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</si>
  <si>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</si>
  <si>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</si>
  <si>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</si>
  <si>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</si>
  <si>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</si>
  <si>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</si>
  <si>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</si>
  <si>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</si>
  <si>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</si>
  <si>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</si>
  <si>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</si>
  <si>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</si>
  <si>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</si>
  <si>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</si>
  <si>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</si>
  <si>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</si>
  <si>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</si>
  <si>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</si>
  <si>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</si>
  <si>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</si>
  <si>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</si>
  <si>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</si>
  <si>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</si>
  <si>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</si>
  <si>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</si>
  <si>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</si>
  <si>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</si>
  <si>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</si>
  <si>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</si>
  <si>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</si>
  <si>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</si>
  <si>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</si>
  <si>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</si>
  <si>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</si>
  <si>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</si>
  <si>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</si>
  <si>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</si>
  <si>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</si>
  <si>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</si>
  <si>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</si>
  <si>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</si>
  <si>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</si>
  <si>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</si>
  <si>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</si>
  <si>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</si>
  <si>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</si>
  <si>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</si>
  <si>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</si>
  <si>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</si>
  <si>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</si>
  <si>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</si>
  <si>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</si>
  <si>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</si>
  <si>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</si>
  <si>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</si>
  <si>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</si>
  <si>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</si>
  <si>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</si>
  <si>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</si>
  <si>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</si>
  <si>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</si>
  <si>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</si>
  <si>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</si>
  <si>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</si>
  <si>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</si>
  <si>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</si>
  <si>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</si>
  <si>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</si>
  <si>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</si>
  <si>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</si>
  <si>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</si>
  <si>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</si>
  <si>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</si>
  <si>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</si>
  <si>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</si>
  <si>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</si>
  <si>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</si>
  <si>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</si>
  <si>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</si>
  <si>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</si>
  <si>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</si>
  <si>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</si>
  <si>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</si>
  <si>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</si>
  <si>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</si>
  <si>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</si>
  <si>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</si>
  <si>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</si>
  <si>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</si>
  <si>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</si>
  <si>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</si>
  <si>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</si>
  <si>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</si>
  <si>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</si>
  <si>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</si>
  <si>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</si>
  <si>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</si>
  <si>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</si>
  <si>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</si>
  <si>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</si>
  <si>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</si>
  <si>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</si>
  <si>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</si>
  <si>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</si>
  <si>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</si>
  <si>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</si>
  <si>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</si>
  <si>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</si>
  <si>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</si>
  <si>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</si>
  <si>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</si>
  <si>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</si>
  <si>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</si>
  <si>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</si>
  <si>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</si>
  <si>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</si>
  <si>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</si>
  <si>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</si>
  <si>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</si>
  <si>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</si>
  <si>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</si>
  <si>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</si>
  <si>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</si>
  <si>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</si>
  <si>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</si>
  <si>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</si>
  <si>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</si>
  <si>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</si>
  <si>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</si>
  <si>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</si>
  <si>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</si>
  <si>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</si>
  <si>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</si>
  <si>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</si>
  <si>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</si>
  <si>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</si>
  <si>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</si>
  <si>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</si>
  <si>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</si>
  <si>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</si>
  <si>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</si>
  <si>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</si>
  <si>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</si>
  <si>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</si>
  <si>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</si>
  <si>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</si>
  <si>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</si>
  <si>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</si>
  <si>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</si>
  <si>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</si>
  <si>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</si>
  <si>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</si>
  <si>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</si>
  <si>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</si>
  <si>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</si>
  <si>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</si>
  <si>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</si>
  <si>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</si>
  <si>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</si>
  <si>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</si>
  <si>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</si>
  <si>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</si>
  <si>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</si>
  <si>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</si>
  <si>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</si>
  <si>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</si>
  <si>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</si>
  <si>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</si>
  <si>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</si>
  <si>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</si>
  <si>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</si>
  <si>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</si>
  <si>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</si>
  <si>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</si>
  <si>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</si>
  <si>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</si>
  <si>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</si>
  <si>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</si>
  <si>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</si>
  <si>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</si>
  <si>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</si>
  <si>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</si>
  <si>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</si>
  <si>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</si>
  <si>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</si>
  <si>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</si>
  <si>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</si>
  <si>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</si>
  <si>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</si>
  <si>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</si>
  <si>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</si>
  <si>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</si>
  <si>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</si>
  <si>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</si>
  <si>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</si>
  <si>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</si>
  <si>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</si>
  <si>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</si>
  <si>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</si>
  <si>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</si>
  <si>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</si>
  <si>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</si>
  <si>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</si>
  <si>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</si>
  <si>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</si>
  <si>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</si>
  <si>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</si>
  <si>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</si>
  <si>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</si>
  <si>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</si>
  <si>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</si>
  <si>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</si>
  <si>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</si>
  <si>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</si>
  <si>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</si>
  <si>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</si>
  <si>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</si>
  <si>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</si>
  <si>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</si>
  <si>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</si>
  <si>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</si>
  <si>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</si>
  <si>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</si>
  <si>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</si>
  <si>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</si>
  <si>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</si>
  <si>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</si>
  <si>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</si>
  <si>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</si>
  <si>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</si>
  <si>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</si>
  <si>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</si>
  <si>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</si>
  <si>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</si>
  <si>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</si>
  <si>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</si>
  <si>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</si>
  <si>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</si>
  <si>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</si>
  <si>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</si>
  <si>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</si>
  <si>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</si>
  <si>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</si>
  <si>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</si>
  <si>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</si>
  <si>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</si>
  <si>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</si>
  <si>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</si>
  <si>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</si>
  <si>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</si>
  <si>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</si>
  <si>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</si>
  <si>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</si>
  <si>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</si>
  <si>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</si>
  <si>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</si>
  <si>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</si>
  <si>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</si>
  <si>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</si>
  <si>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</si>
  <si>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</si>
  <si>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</si>
  <si>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</si>
  <si>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</si>
  <si>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</si>
  <si>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</si>
  <si>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</si>
  <si>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</si>
  <si>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</si>
  <si>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</si>
  <si>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</si>
  <si>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</si>
  <si>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</si>
  <si>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</si>
  <si>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</si>
  <si>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</si>
  <si>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</si>
  <si>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</si>
  <si>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</si>
  <si>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</si>
  <si>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</si>
  <si>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</si>
  <si>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</si>
  <si>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</si>
  <si>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</si>
  <si>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</si>
  <si>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</si>
  <si>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</si>
  <si>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</si>
  <si>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</si>
  <si>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</si>
  <si>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</si>
  <si>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</si>
  <si>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</si>
  <si>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</si>
  <si>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</si>
  <si>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</si>
  <si>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</si>
  <si>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</si>
  <si>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</si>
  <si>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</si>
  <si>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</si>
  <si>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</si>
  <si>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</si>
  <si>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</si>
  <si>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</si>
  <si>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</si>
  <si>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</si>
  <si>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</si>
  <si>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</si>
  <si>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</si>
  <si>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</si>
  <si>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</si>
  <si>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</si>
  <si>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</si>
  <si>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</si>
  <si>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</si>
  <si>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</si>
  <si>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</si>
  <si>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</si>
  <si>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</si>
  <si>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</si>
  <si>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</si>
  <si>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</si>
  <si>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</si>
  <si>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</si>
  <si>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</si>
  <si>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</si>
  <si>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</si>
  <si>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</si>
  <si>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</si>
  <si>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</si>
  <si>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</si>
  <si>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</si>
  <si>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</si>
  <si>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</si>
  <si>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</si>
  <si>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</si>
  <si>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</si>
  <si>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</si>
  <si>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</si>
  <si>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</si>
  <si>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</si>
  <si>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</si>
  <si>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</si>
  <si>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</si>
  <si>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</si>
  <si>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</si>
  <si>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</si>
  <si>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</si>
  <si>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</si>
  <si>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</si>
  <si>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</si>
  <si>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</si>
  <si>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</si>
  <si>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</si>
  <si>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</si>
  <si>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</si>
  <si>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</si>
  <si>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</si>
  <si>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</si>
  <si>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</si>
  <si>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</si>
  <si>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</si>
  <si>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</si>
  <si>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</si>
  <si>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</si>
  <si>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</si>
  <si>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</si>
  <si>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</si>
  <si>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</si>
  <si>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</si>
  <si>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</si>
  <si>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</si>
  <si>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</si>
  <si>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</si>
  <si>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</si>
  <si>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</si>
  <si>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</si>
  <si>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</si>
  <si>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</si>
  <si>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</si>
  <si>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</si>
  <si>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</si>
  <si>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</si>
  <si>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</si>
  <si>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</si>
  <si>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</si>
  <si>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</si>
  <si>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</si>
  <si>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</si>
  <si>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</si>
  <si>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</si>
  <si>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</si>
  <si>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</si>
  <si>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</si>
  <si>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</si>
  <si>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</si>
  <si>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</si>
  <si>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</si>
  <si>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</si>
  <si>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</si>
  <si>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</si>
  <si>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</si>
  <si>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</si>
  <si>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</si>
  <si>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</si>
  <si>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</si>
  <si>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</si>
  <si>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</si>
  <si>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</si>
  <si>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</si>
  <si>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</si>
  <si>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</si>
  <si>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</si>
  <si>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</si>
  <si>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</si>
  <si>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</si>
  <si>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</si>
  <si>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</si>
  <si>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</si>
  <si>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</si>
  <si>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</si>
  <si>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</si>
  <si>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</si>
  <si>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</si>
  <si>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</si>
  <si>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</si>
  <si>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</si>
  <si>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</si>
  <si>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</si>
  <si>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</si>
  <si>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</si>
  <si>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</si>
  <si>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</si>
  <si>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</si>
  <si>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</si>
  <si>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</si>
  <si>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</si>
  <si>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</si>
  <si>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</si>
  <si>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</si>
  <si>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</si>
  <si>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</si>
  <si>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</si>
  <si>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</si>
  <si>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</si>
  <si>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</si>
  <si>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</si>
  <si>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</si>
  <si>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</si>
  <si>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</si>
  <si>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</si>
  <si>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</si>
  <si>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</si>
  <si>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</si>
  <si>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</si>
  <si>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</si>
  <si>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</si>
  <si>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</si>
  <si>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</si>
  <si>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</si>
  <si>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</si>
  <si>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</si>
  <si>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</si>
  <si>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</si>
  <si>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</si>
  <si>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</si>
  <si>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</si>
  <si>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</si>
  <si>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</si>
  <si>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</si>
  <si>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</si>
  <si>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</si>
  <si>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</si>
  <si>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</si>
  <si>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</si>
  <si>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</si>
  <si>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</si>
  <si>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</si>
  <si>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</si>
  <si>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</si>
  <si>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</si>
  <si>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</si>
  <si>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</si>
  <si>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</si>
  <si>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</si>
  <si>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</si>
  <si>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</si>
  <si>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</si>
  <si>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</si>
  <si>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</si>
  <si>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</si>
  <si>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</si>
  <si>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</si>
  <si>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</si>
  <si>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</si>
  <si>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</si>
  <si>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</si>
  <si>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</si>
  <si>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</si>
  <si>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</si>
  <si>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</si>
  <si>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</si>
  <si>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</si>
  <si>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</si>
  <si>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</si>
  <si>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</si>
  <si>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</si>
  <si>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</si>
  <si>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</si>
  <si>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</si>
  <si>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</si>
  <si>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</si>
  <si>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</si>
  <si>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</si>
  <si>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</si>
  <si>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</si>
  <si>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</si>
  <si>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</si>
  <si>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</si>
  <si>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</si>
  <si>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</si>
  <si>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</si>
  <si>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</si>
  <si>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</si>
  <si>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</si>
  <si>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</si>
  <si>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</si>
  <si>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</si>
  <si>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</si>
  <si>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</si>
  <si>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</si>
  <si>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</si>
  <si>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</si>
  <si>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</si>
  <si>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</si>
  <si>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</si>
  <si>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</si>
  <si>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</si>
  <si>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</si>
  <si>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</si>
  <si>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</si>
  <si>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</si>
  <si>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</si>
  <si>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</si>
  <si>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</si>
  <si>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</si>
  <si>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</si>
  <si>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</si>
  <si>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</si>
  <si>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</si>
  <si>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</si>
  <si>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</si>
  <si>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</si>
  <si>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</si>
  <si>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</si>
  <si>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</si>
  <si>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</si>
  <si>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</si>
  <si>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</si>
  <si>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</si>
  <si>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</si>
  <si>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</si>
  <si>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</si>
  <si>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</si>
  <si>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</si>
  <si>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</si>
  <si>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</si>
  <si>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</si>
  <si>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</si>
  <si>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</si>
  <si>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</si>
  <si>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</si>
  <si>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</si>
  <si>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</si>
  <si>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</si>
  <si>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</si>
  <si>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</si>
  <si>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</si>
  <si>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</si>
  <si>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</si>
  <si>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</si>
  <si>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</si>
  <si>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</si>
  <si>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</si>
  <si>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</si>
  <si>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</si>
  <si>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</si>
  <si>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</si>
  <si>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</si>
  <si>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</si>
  <si>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</si>
  <si>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</si>
  <si>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</si>
  <si>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</si>
  <si>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</si>
  <si>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</si>
  <si>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</si>
  <si>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</si>
  <si>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</si>
  <si>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</si>
  <si>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</si>
  <si>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</si>
  <si>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</si>
  <si>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</si>
  <si>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</si>
  <si>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</si>
  <si>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</si>
  <si>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</si>
  <si>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</si>
  <si>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</si>
  <si>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</si>
  <si>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</si>
  <si>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</si>
  <si>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</si>
  <si>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</si>
  <si>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</si>
  <si>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</si>
  <si>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</si>
  <si>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</si>
  <si>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</si>
  <si>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</si>
  <si>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</si>
  <si>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</si>
  <si>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</si>
  <si>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</si>
  <si>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</si>
  <si>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</si>
  <si>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</si>
  <si>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</si>
  <si>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</si>
  <si>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</si>
  <si>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</si>
  <si>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</si>
  <si>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</si>
  <si>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</si>
  <si>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</si>
  <si>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</si>
  <si>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</si>
  <si>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</si>
  <si>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</si>
  <si>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</si>
  <si>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</si>
  <si>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</si>
  <si>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</si>
  <si>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</si>
  <si>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</si>
  <si>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</si>
  <si>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</si>
  <si>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</si>
  <si>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</si>
  <si>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</si>
  <si>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</si>
  <si>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</si>
  <si>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</si>
  <si>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</si>
  <si>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</si>
  <si>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</si>
  <si>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</si>
  <si>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</si>
  <si>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</si>
  <si>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</si>
  <si>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</si>
  <si>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</si>
  <si>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</si>
  <si>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</si>
  <si>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</si>
  <si>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</si>
  <si>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</si>
  <si>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</si>
  <si>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</si>
  <si>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</si>
  <si>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</si>
  <si>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</si>
  <si>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</si>
  <si>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</si>
  <si>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</si>
  <si>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</si>
  <si>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</si>
  <si>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</si>
  <si>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</si>
  <si>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</si>
  <si>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</si>
  <si>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</si>
  <si>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</si>
  <si>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</si>
  <si>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</si>
  <si>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</si>
  <si>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</si>
  <si>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</si>
  <si>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</si>
  <si>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</si>
  <si>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</si>
  <si>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</si>
  <si>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</si>
  <si>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</si>
  <si>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</si>
  <si>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</si>
  <si>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</si>
  <si>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</si>
  <si>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</si>
  <si>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</si>
  <si>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</si>
  <si>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</si>
  <si>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</si>
  <si>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</si>
  <si>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</si>
  <si>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</si>
  <si>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</si>
  <si>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</si>
  <si>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</si>
  <si>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</si>
  <si>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</si>
  <si>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</si>
  <si>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</si>
  <si>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</si>
  <si>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</si>
  <si>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</si>
  <si>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</si>
  <si>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</si>
  <si>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</si>
  <si>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</si>
  <si>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</si>
  <si>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</si>
  <si>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</si>
  <si>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</si>
  <si>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</si>
  <si>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</si>
  <si>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</si>
  <si>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</si>
  <si>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</si>
  <si>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</si>
  <si>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</si>
  <si>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</si>
  <si>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</si>
  <si>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</si>
  <si>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</si>
  <si>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</si>
  <si>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</si>
  <si>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</si>
  <si>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</si>
  <si>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</si>
  <si>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</si>
  <si>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</si>
  <si>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</si>
  <si>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</si>
  <si>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</si>
  <si>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</si>
  <si>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</si>
  <si>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</si>
  <si>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</si>
  <si>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</si>
  <si>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</si>
  <si>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</si>
  <si>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</si>
  <si>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</si>
  <si>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</si>
  <si>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</si>
  <si>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</si>
  <si>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</si>
  <si>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</si>
  <si>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</si>
  <si>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</si>
  <si>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</si>
  <si>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</si>
  <si>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</si>
  <si>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</si>
  <si>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</si>
  <si>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</si>
  <si>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</si>
  <si>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</si>
  <si>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</si>
  <si>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</si>
  <si>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</si>
  <si>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</si>
  <si>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</si>
  <si>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</si>
  <si>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</si>
  <si>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</si>
  <si>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</si>
  <si>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</si>
  <si>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</si>
  <si>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</si>
  <si>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</si>
  <si>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</si>
  <si>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</si>
  <si>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</si>
  <si>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</si>
  <si>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</si>
  <si>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</si>
  <si>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</si>
  <si>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</si>
  <si>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</si>
  <si>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</si>
  <si>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</si>
  <si>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</si>
  <si>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</si>
  <si>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</si>
  <si>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</si>
  <si>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</si>
  <si>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</si>
  <si>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</si>
  <si>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</si>
  <si>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</si>
  <si>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</si>
  <si>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</si>
  <si>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</si>
  <si>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</si>
  <si>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</si>
  <si>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</si>
  <si>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</si>
  <si>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</si>
  <si>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</si>
  <si>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</si>
  <si>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</si>
  <si>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</si>
  <si>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</si>
  <si>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</si>
  <si>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</si>
  <si>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</si>
  <si>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</si>
  <si>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</si>
  <si>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</si>
  <si>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</si>
  <si>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</si>
  <si>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</si>
  <si>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</si>
  <si>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</si>
  <si>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</si>
  <si>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</si>
  <si>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</si>
  <si>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</si>
  <si>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</si>
  <si>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</si>
  <si>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</si>
  <si>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</si>
  <si>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</si>
  <si>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</si>
  <si>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</si>
  <si>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</si>
  <si>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</si>
  <si>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</si>
  <si>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</si>
  <si>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</si>
  <si>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</si>
  <si>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</si>
  <si>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</si>
  <si>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</si>
  <si>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</si>
  <si>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</si>
  <si>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</si>
  <si>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</si>
  <si>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</si>
  <si>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</si>
  <si>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</si>
  <si>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</si>
  <si>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</si>
  <si>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</si>
  <si>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</si>
  <si>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</si>
  <si>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</si>
  <si>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</si>
  <si>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</si>
  <si>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</si>
  <si>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</si>
  <si>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</si>
  <si>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</si>
  <si>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</si>
  <si>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</si>
  <si>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</si>
  <si>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</si>
  <si>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</si>
  <si>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</si>
  <si>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</si>
  <si>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</si>
  <si>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</si>
  <si>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</si>
  <si>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</si>
  <si>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</si>
  <si>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</si>
  <si>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</si>
  <si>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</si>
  <si>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</si>
  <si>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</si>
  <si>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</si>
  <si>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</si>
  <si>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</si>
  <si>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</si>
  <si>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</si>
  <si>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</si>
  <si>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</si>
  <si>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</si>
  <si>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</si>
  <si>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</si>
  <si>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</si>
  <si>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</si>
  <si>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</si>
  <si>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</si>
  <si>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</si>
  <si>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</si>
  <si>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</si>
  <si>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</si>
  <si>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</si>
  <si>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</si>
  <si>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</si>
  <si>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</si>
  <si>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</si>
  <si>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</si>
  <si>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</si>
  <si>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</si>
  <si>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</si>
  <si>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</si>
  <si>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</si>
  <si>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</si>
  <si>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</si>
  <si>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</si>
  <si>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</si>
  <si>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</si>
  <si>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</si>
  <si>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</si>
  <si>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</si>
  <si>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</si>
  <si>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</si>
  <si>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</si>
  <si>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</si>
  <si>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</si>
  <si>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</si>
  <si>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</si>
  <si>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</si>
  <si>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</si>
  <si>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</si>
  <si>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</si>
  <si>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</si>
  <si>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</si>
  <si>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</si>
  <si>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</si>
  <si>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</si>
  <si>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</si>
  <si>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</si>
  <si>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</si>
  <si>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</si>
  <si>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</si>
  <si>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</si>
  <si>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</si>
  <si>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</si>
  <si>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</si>
  <si>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</si>
  <si>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</si>
  <si>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</si>
  <si>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</si>
  <si>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</si>
  <si>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</si>
  <si>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</si>
  <si>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</si>
  <si>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</si>
  <si>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</si>
  <si>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</si>
  <si>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</si>
  <si>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</si>
  <si>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</si>
  <si>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</si>
  <si>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</si>
  <si>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</si>
  <si>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</si>
  <si>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</si>
  <si>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</si>
  <si>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</si>
  <si>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</si>
  <si>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</si>
  <si>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</si>
  <si>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</si>
  <si>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</si>
  <si>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</si>
  <si>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</si>
  <si>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</si>
  <si>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</si>
  <si>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</si>
  <si>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</si>
  <si>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</si>
  <si>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</si>
  <si>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</si>
  <si>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</si>
  <si>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</si>
  <si>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</si>
  <si>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</si>
  <si>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</si>
  <si>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</si>
  <si>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</si>
  <si>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</si>
  <si>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</si>
  <si>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</si>
  <si>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</si>
  <si>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</si>
  <si>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</si>
  <si>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</si>
  <si>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</si>
  <si>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</si>
  <si>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</si>
  <si>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</si>
  <si>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</si>
  <si>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</si>
  <si>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</si>
  <si>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</si>
  <si>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</si>
  <si>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</si>
  <si>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</si>
  <si>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</si>
  <si>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</si>
  <si>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</si>
  <si>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</si>
  <si>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</si>
  <si>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</si>
  <si>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</si>
  <si>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</si>
  <si>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</si>
  <si>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</si>
  <si>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</si>
  <si>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</si>
  <si>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</si>
  <si>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</si>
  <si>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</si>
  <si>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</si>
  <si>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</si>
  <si>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</si>
  <si>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</si>
  <si>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</si>
  <si>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</si>
  <si>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</si>
  <si>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</si>
  <si>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</si>
  <si>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</si>
  <si>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</si>
  <si>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</si>
  <si>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</si>
  <si>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</si>
  <si>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</si>
  <si>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</si>
  <si>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</si>
  <si>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</si>
  <si>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</si>
  <si>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</si>
  <si>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</si>
  <si>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</si>
  <si>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</si>
  <si>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</si>
  <si>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</si>
  <si>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</si>
  <si>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</si>
  <si>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</si>
  <si>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</si>
  <si>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</si>
  <si>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</si>
  <si>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</si>
  <si>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</si>
  <si>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</si>
  <si>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</si>
  <si>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</si>
  <si>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</si>
  <si>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</si>
  <si>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</si>
  <si>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</si>
  <si>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</si>
  <si>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</si>
  <si>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</si>
  <si>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</si>
  <si>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</si>
  <si>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</si>
  <si>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</si>
  <si>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</si>
  <si>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</si>
  <si>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</si>
  <si>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</si>
  <si>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</si>
  <si>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</si>
  <si>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</si>
  <si>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</si>
  <si>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</si>
  <si>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</si>
  <si>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</si>
  <si>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</si>
  <si>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</si>
  <si>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</si>
  <si>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</si>
  <si>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</si>
  <si>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</si>
  <si>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</si>
  <si>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</si>
  <si>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</si>
  <si>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</si>
  <si>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</si>
  <si>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</si>
  <si>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</si>
  <si>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</si>
  <si>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</si>
  <si>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</si>
  <si>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</si>
  <si>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</si>
  <si>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</si>
  <si>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</si>
  <si>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</si>
  <si>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</si>
  <si>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</si>
  <si>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</si>
  <si>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</si>
  <si>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</si>
  <si>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</si>
  <si>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</si>
  <si>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</si>
  <si>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</si>
  <si>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</si>
  <si>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</si>
  <si>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</si>
  <si>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</si>
  <si>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</si>
  <si>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</si>
  <si>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</si>
  <si>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</si>
  <si>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</si>
  <si>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</si>
  <si>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</si>
  <si>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</si>
  <si>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</si>
  <si>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</si>
  <si>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</si>
  <si>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</si>
  <si>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</si>
  <si>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</si>
  <si>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</si>
  <si>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</si>
  <si>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</si>
  <si>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</si>
  <si>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</si>
  <si>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</si>
  <si>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</si>
  <si>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</si>
  <si>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</si>
  <si>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</si>
  <si>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</si>
  <si>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</si>
  <si>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</si>
  <si>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</si>
  <si>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</si>
  <si>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</si>
  <si>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</si>
  <si>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</si>
  <si>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</si>
  <si>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</si>
  <si>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</si>
  <si>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</si>
  <si>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</si>
  <si>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</si>
  <si>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</si>
  <si>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</si>
  <si>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</si>
  <si>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</si>
  <si>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</si>
  <si>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</si>
  <si>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</si>
  <si>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</si>
  <si>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</si>
  <si>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</si>
  <si>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</si>
  <si>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</si>
  <si>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</si>
  <si>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</si>
  <si>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</si>
  <si>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</si>
  <si>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</si>
  <si>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</si>
  <si>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</si>
  <si>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</si>
  <si>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</si>
  <si>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</si>
  <si>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</si>
  <si>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</si>
  <si>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</si>
  <si>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</si>
  <si>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</si>
  <si>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</si>
  <si>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</si>
  <si>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</si>
  <si>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</si>
  <si>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</si>
  <si>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</si>
  <si>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</si>
  <si>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</si>
  <si>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</si>
  <si>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</si>
  <si>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</si>
  <si>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</si>
  <si>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</si>
  <si>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</si>
  <si>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</si>
  <si>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</si>
  <si>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</si>
  <si>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</si>
  <si>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</si>
  <si>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</si>
  <si>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</si>
  <si>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</si>
  <si>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</si>
  <si>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</si>
  <si>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</si>
  <si>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</si>
  <si>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</si>
  <si>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</si>
  <si>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</si>
  <si>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</si>
  <si>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</si>
  <si>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</si>
  <si>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</si>
  <si>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</si>
  <si>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</si>
  <si>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</si>
  <si>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</si>
  <si>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</si>
  <si>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</si>
  <si>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</si>
  <si>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</si>
  <si>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</si>
  <si>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</si>
  <si>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</si>
  <si>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</si>
  <si>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</si>
  <si>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</si>
  <si>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</si>
  <si>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</si>
  <si>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</si>
  <si>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</si>
  <si>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</si>
  <si>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</si>
  <si>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</si>
  <si>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</si>
  <si>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</si>
  <si>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</si>
  <si>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</si>
  <si>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</si>
  <si>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</si>
  <si>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</si>
  <si>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</si>
  <si>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</si>
  <si>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</si>
  <si>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</si>
  <si>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</si>
  <si>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</si>
  <si>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</si>
  <si>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</si>
  <si>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</si>
  <si>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</si>
  <si>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</si>
  <si>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</si>
  <si>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</si>
  <si>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</si>
  <si>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</si>
  <si>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</si>
  <si>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</si>
  <si>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</si>
  <si>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</si>
  <si>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</si>
  <si>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</si>
  <si>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</si>
  <si>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</si>
  <si>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</si>
  <si>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</si>
  <si>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</si>
  <si>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</si>
  <si>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</si>
  <si>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</si>
  <si>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</si>
  <si>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</si>
  <si>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</si>
  <si>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</si>
  <si>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</si>
  <si>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</si>
  <si>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</si>
  <si>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</si>
  <si>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</si>
  <si>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</si>
  <si>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</si>
  <si>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</si>
  <si>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</si>
  <si>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</si>
  <si>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</si>
  <si>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</si>
  <si>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</si>
  <si>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</si>
  <si>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</si>
  <si>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</si>
  <si>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</si>
  <si>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</si>
  <si>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</si>
  <si>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</si>
  <si>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</si>
  <si>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</si>
  <si>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</si>
  <si>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</si>
  <si>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</si>
  <si>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</si>
  <si>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</si>
  <si>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</si>
  <si>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</si>
  <si>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</si>
  <si>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</si>
  <si>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</si>
  <si>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</si>
  <si>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</si>
  <si>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</si>
  <si>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</si>
  <si>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</si>
  <si>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</si>
  <si>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</si>
  <si>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</si>
  <si>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</si>
  <si>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</si>
  <si>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</si>
  <si>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</si>
  <si>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</si>
  <si>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</si>
  <si>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</si>
  <si>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</si>
  <si>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</si>
  <si>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</si>
  <si>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</si>
  <si>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</si>
  <si>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</si>
  <si>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</si>
  <si>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</si>
  <si>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</si>
  <si>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</si>
  <si>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</si>
  <si>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</si>
  <si>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</si>
  <si>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</si>
  <si>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</si>
  <si>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</si>
  <si>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</si>
  <si>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</si>
  <si>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</si>
  <si>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</si>
  <si>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</si>
  <si>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</si>
  <si>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</si>
  <si>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</si>
  <si>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</si>
  <si>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</si>
  <si>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</si>
  <si>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</si>
  <si>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</si>
  <si>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</si>
  <si>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</si>
  <si>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</si>
  <si>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</si>
  <si>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</si>
  <si>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</si>
  <si>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</si>
  <si>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</si>
  <si>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</si>
  <si>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</si>
  <si>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</si>
  <si>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</si>
  <si>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</si>
  <si>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</si>
  <si>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</si>
  <si>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</si>
  <si>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</si>
  <si>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</si>
  <si>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</si>
  <si>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</si>
  <si>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</si>
  <si>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</si>
  <si>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</si>
  <si>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</si>
  <si>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</si>
  <si>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</si>
  <si>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</si>
  <si>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</si>
  <si>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</si>
  <si>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</si>
  <si>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</si>
  <si>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</si>
  <si>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</si>
  <si>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</si>
  <si>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</si>
  <si>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</si>
  <si>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</si>
  <si>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</si>
  <si>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</si>
  <si>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</si>
  <si>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</si>
  <si>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</si>
  <si>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</si>
  <si>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</si>
  <si>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</si>
  <si>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</si>
  <si>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</si>
  <si>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</si>
  <si>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</si>
  <si>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</si>
  <si>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</si>
  <si>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</si>
  <si>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</si>
  <si>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</si>
  <si>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</si>
  <si>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</si>
  <si>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</si>
  <si>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</si>
  <si>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</si>
  <si>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</si>
  <si>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</si>
  <si>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</si>
  <si>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</si>
  <si>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</si>
  <si>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</si>
  <si>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</si>
  <si>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</si>
  <si>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</si>
  <si>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</si>
  <si>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</si>
  <si>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</si>
  <si>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</si>
  <si>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</si>
  <si>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</si>
  <si>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</si>
  <si>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</si>
  <si>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</si>
  <si>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</si>
  <si>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</si>
  <si>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</si>
  <si>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</si>
  <si>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</si>
  <si>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</si>
  <si>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</si>
  <si>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</si>
  <si>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</si>
  <si>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</si>
  <si>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</si>
  <si>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</si>
  <si>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</si>
  <si>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</si>
  <si>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</si>
  <si>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</si>
  <si>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</si>
  <si>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</si>
  <si>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</si>
  <si>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</si>
  <si>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</si>
  <si>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</si>
  <si>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</si>
  <si>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</si>
  <si>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</si>
  <si>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</si>
  <si>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</si>
  <si>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</si>
  <si>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</si>
  <si>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</si>
  <si>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</si>
  <si>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</si>
  <si>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</si>
  <si>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</si>
  <si>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</si>
  <si>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</si>
  <si>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</si>
  <si>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</si>
  <si>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</si>
  <si>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</si>
  <si>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</si>
  <si>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</si>
  <si>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</si>
  <si>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</si>
  <si>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</si>
  <si>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</si>
  <si>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</si>
  <si>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</si>
  <si>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</si>
  <si>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</si>
  <si>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</si>
  <si>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</si>
  <si>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</si>
  <si>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</si>
  <si>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</si>
  <si>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</si>
  <si>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</si>
  <si>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</si>
  <si>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</si>
  <si>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</si>
  <si>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</si>
  <si>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</si>
  <si>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</si>
  <si>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</si>
  <si>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</si>
  <si>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</si>
  <si>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</si>
  <si>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</si>
  <si>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</si>
  <si>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</si>
  <si>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</si>
  <si>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</si>
  <si>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</si>
  <si>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</si>
  <si>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</si>
  <si>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</si>
  <si>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</si>
  <si>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</si>
  <si>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</si>
  <si>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</si>
  <si>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</si>
  <si>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</si>
  <si>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</si>
  <si>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</si>
  <si>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</si>
  <si>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</si>
  <si>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</si>
  <si>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</si>
  <si>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</si>
  <si>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</si>
  <si>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</si>
  <si>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</si>
  <si>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</si>
  <si>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</si>
  <si>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</si>
  <si>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</si>
  <si>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</si>
  <si>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</si>
  <si>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</si>
  <si>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</si>
  <si>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</si>
  <si>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</si>
  <si>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</si>
  <si>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</si>
  <si>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</si>
  <si>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</si>
  <si>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</si>
  <si>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</si>
  <si>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</si>
  <si>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</si>
  <si>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</si>
  <si>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</si>
  <si>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</si>
  <si>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</si>
  <si>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</si>
  <si>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</si>
  <si>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</si>
  <si>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</si>
  <si>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</si>
  <si>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</si>
  <si>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</si>
  <si>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</si>
  <si>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</si>
  <si>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</si>
  <si>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</si>
  <si>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</si>
  <si>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</si>
  <si>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</si>
  <si>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</si>
  <si>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</si>
  <si>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</si>
  <si>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</si>
  <si>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</si>
  <si>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</si>
  <si>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</si>
  <si>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</si>
  <si>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</si>
  <si>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</si>
  <si>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</si>
  <si>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</si>
  <si>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</si>
  <si>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</si>
  <si>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</si>
  <si>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</si>
  <si>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</si>
  <si>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</si>
  <si>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</si>
  <si>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</si>
  <si>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</si>
  <si>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</si>
  <si>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</si>
  <si>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</si>
  <si>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</si>
  <si>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</si>
  <si>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</si>
  <si>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</si>
  <si>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</si>
  <si>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</si>
  <si>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</si>
  <si>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</si>
  <si>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</si>
  <si>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</si>
  <si>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</si>
  <si>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</si>
  <si>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</si>
  <si>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</si>
  <si>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</si>
  <si>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</si>
  <si>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</si>
  <si>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</si>
  <si>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</si>
  <si>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</si>
  <si>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</si>
  <si>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</si>
  <si>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</si>
  <si>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</si>
  <si>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</si>
  <si>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</si>
  <si>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</si>
  <si>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</si>
  <si>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</si>
  <si>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</si>
  <si>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</si>
  <si>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</si>
  <si>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</si>
  <si>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</si>
  <si>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</si>
  <si>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</si>
  <si>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</si>
  <si>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</si>
  <si>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</si>
  <si>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</si>
  <si>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</si>
  <si>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</si>
  <si>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</si>
  <si>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</si>
  <si>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</si>
  <si>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</si>
  <si>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</si>
  <si>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</si>
  <si>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</si>
  <si>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</si>
  <si>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</si>
  <si>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</si>
  <si>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</si>
  <si>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</si>
  <si>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</si>
  <si>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</si>
  <si>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</si>
  <si>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</si>
  <si>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</si>
  <si>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</si>
  <si>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</si>
  <si>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</si>
  <si>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</si>
  <si>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</si>
  <si>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</si>
  <si>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</si>
  <si>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</si>
  <si>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</si>
  <si>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</si>
  <si>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</si>
  <si>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</si>
  <si>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</si>
  <si>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</si>
  <si>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</si>
  <si>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</si>
  <si>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</si>
  <si>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</si>
  <si>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</si>
  <si>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</si>
  <si>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</si>
  <si>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</si>
  <si>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</si>
  <si>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</si>
  <si>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</si>
  <si>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</si>
  <si>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</si>
  <si>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</si>
  <si>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</si>
  <si>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</si>
  <si>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</si>
  <si>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</si>
  <si>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</si>
  <si>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</si>
  <si>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</si>
  <si>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</si>
  <si>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</si>
  <si>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</si>
  <si>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</si>
  <si>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</si>
  <si>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</si>
  <si>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</si>
  <si>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</si>
  <si>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</si>
  <si>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</si>
  <si>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</si>
  <si>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</si>
  <si>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</si>
  <si>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</si>
  <si>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</si>
  <si>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</si>
  <si>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</si>
  <si>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</si>
  <si>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</si>
  <si>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</si>
  <si>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</si>
  <si>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</si>
  <si>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</si>
  <si>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</si>
  <si>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</si>
  <si>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</si>
  <si>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</si>
  <si>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</si>
  <si>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</si>
  <si>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</si>
  <si>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</si>
  <si>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</si>
  <si>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</si>
  <si>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</si>
  <si>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</si>
  <si>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</si>
  <si>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</si>
  <si>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</si>
  <si>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</si>
  <si>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</si>
  <si>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</si>
  <si>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</si>
  <si>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</si>
  <si>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</si>
  <si>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</si>
  <si>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</si>
  <si>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</si>
  <si>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</si>
  <si>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</si>
  <si>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</si>
  <si>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</si>
  <si>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</si>
  <si>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</si>
  <si>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</si>
  <si>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</si>
  <si>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</si>
  <si>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</si>
  <si>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</si>
  <si>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</si>
  <si>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</si>
  <si>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</si>
  <si>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</si>
  <si>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</si>
  <si>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</si>
  <si>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</si>
  <si>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</si>
  <si>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</si>
  <si>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</si>
  <si>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</si>
  <si>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</si>
  <si>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</si>
  <si>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</si>
  <si>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</si>
  <si>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</si>
  <si>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</si>
  <si>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</si>
  <si>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</si>
  <si>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</si>
  <si>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</si>
  <si>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</si>
  <si>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</si>
  <si>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</si>
  <si>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</si>
  <si>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</si>
  <si>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</si>
  <si>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</si>
  <si>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</si>
  <si>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</si>
  <si>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</si>
  <si>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</si>
  <si>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</si>
  <si>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</si>
  <si>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</si>
  <si>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</si>
  <si>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</si>
  <si>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</si>
  <si>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</si>
  <si>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</si>
  <si>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</si>
  <si>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</si>
  <si>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</si>
  <si>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</si>
  <si>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</si>
  <si>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</si>
  <si>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</si>
  <si>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</si>
  <si>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</si>
  <si>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</si>
  <si>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</si>
  <si>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</si>
  <si>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</si>
  <si>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</si>
  <si>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</si>
  <si>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</si>
  <si>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</si>
  <si>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</si>
  <si>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</si>
  <si>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</si>
  <si>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</si>
  <si>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</si>
  <si>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</si>
  <si>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</si>
  <si>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</si>
  <si>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</si>
  <si>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</si>
  <si>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</si>
  <si>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</si>
  <si>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</si>
  <si>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</si>
  <si>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</si>
  <si>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</si>
  <si>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</si>
  <si>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</si>
  <si>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</si>
  <si>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</si>
  <si>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</si>
  <si>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</si>
  <si>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</si>
  <si>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</si>
  <si>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</si>
  <si>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</si>
  <si>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</si>
  <si>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</si>
  <si>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</si>
  <si>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</si>
  <si>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</si>
  <si>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</si>
  <si>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</si>
  <si>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</si>
  <si>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</si>
  <si>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</si>
  <si>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</si>
  <si>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</si>
  <si>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</si>
  <si>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</si>
  <si>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</si>
  <si>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</si>
  <si>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</si>
  <si>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</si>
  <si>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</si>
  <si>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</si>
  <si>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</si>
  <si>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</si>
  <si>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</si>
  <si>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</si>
  <si>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</si>
  <si>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</si>
  <si>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</si>
  <si>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</si>
  <si>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</si>
  <si>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</si>
  <si>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</si>
  <si>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</si>
  <si>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</si>
  <si>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核定资产</t>
  </si>
  <si>
    <t>房地产市场价值</t>
  </si>
  <si>
    <t>北京市</t>
  </si>
  <si>
    <t>企业</t>
  </si>
  <si>
    <t>出让</t>
  </si>
  <si>
    <r>
      <t>X</t>
    </r>
    <r>
      <rPr>
        <sz val="10"/>
        <color indexed="8"/>
        <rFont val="宋体"/>
        <family val="3"/>
        <charset val="134"/>
      </rPr>
      <t>京房权证海字第</t>
    </r>
    <r>
      <rPr>
        <sz val="10"/>
        <color indexed="8"/>
        <rFont val="Arial"/>
        <family val="2"/>
      </rPr>
      <t>284883</t>
    </r>
    <r>
      <rPr>
        <sz val="10"/>
        <color indexed="8"/>
        <rFont val="宋体"/>
        <family val="3"/>
        <charset val="134"/>
      </rPr>
      <t>号</t>
    </r>
    <phoneticPr fontId="4" type="noConversion"/>
  </si>
  <si>
    <t>地上</t>
  </si>
  <si>
    <t>办公楼</t>
  </si>
  <si>
    <t>是</t>
  </si>
  <si>
    <r>
      <t>X</t>
    </r>
    <r>
      <rPr>
        <sz val="10"/>
        <color indexed="8"/>
        <rFont val="宋体"/>
        <family val="3"/>
        <charset val="134"/>
      </rPr>
      <t>京房权证海字第</t>
    </r>
    <r>
      <rPr>
        <sz val="10"/>
        <color indexed="8"/>
        <rFont val="Arial"/>
        <family val="2"/>
      </rPr>
      <t>284311</t>
    </r>
    <r>
      <rPr>
        <sz val="10"/>
        <color indexed="8"/>
        <rFont val="宋体"/>
        <family val="3"/>
        <charset val="134"/>
      </rPr>
      <t>号</t>
    </r>
    <phoneticPr fontId="4" type="noConversion"/>
  </si>
  <si>
    <t>地下</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</si>
  <si>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</si>
  <si>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</si>
  <si>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</si>
  <si>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</si>
  <si>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</si>
  <si>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</si>
  <si>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</si>
  <si>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</si>
  <si>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</si>
  <si>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</si>
  <si>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</si>
  <si>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</si>
  <si>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</si>
  <si>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</si>
  <si>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</si>
  <si>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</si>
  <si>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</si>
  <si>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</si>
  <si>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</si>
  <si>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</si>
  <si>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</si>
  <si>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</si>
  <si>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</si>
  <si>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</si>
  <si>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</si>
  <si>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</si>
  <si>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</si>
  <si>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</si>
  <si>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</si>
  <si>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</si>
  <si>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</si>
  <si>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</si>
  <si>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</si>
  <si>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</si>
  <si>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</si>
  <si>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</si>
  <si>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</si>
  <si>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</si>
  <si>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</si>
  <si>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</si>
  <si>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</si>
  <si>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</si>
  <si>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</si>
  <si>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</si>
  <si>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</si>
  <si>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</si>
  <si>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</si>
  <si>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</si>
  <si>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</si>
  <si>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</si>
  <si>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</si>
  <si>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</si>
  <si>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1</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</si>
  <si>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</si>
  <si>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</si>
  <si>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</si>
  <si>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</si>
  <si>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</si>
  <si>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</si>
  <si>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</si>
  <si>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</si>
  <si>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</si>
  <si>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</si>
  <si>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</si>
  <si>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</si>
  <si>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</si>
  <si>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</si>
  <si>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</si>
  <si>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</si>
  <si>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</si>
  <si>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</si>
  <si>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</si>
  <si>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</si>
  <si>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</si>
  <si>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</si>
  <si>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</si>
  <si>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</si>
  <si>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</si>
  <si>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</si>
  <si>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</si>
  <si>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</si>
  <si>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</si>
  <si>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</si>
  <si>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</si>
  <si>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</si>
  <si>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</si>
  <si>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</si>
  <si>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</si>
  <si>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</si>
  <si>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</si>
  <si>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</si>
  <si>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</si>
  <si>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</si>
  <si>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</si>
  <si>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</si>
  <si>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</si>
  <si>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</si>
  <si>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</si>
  <si>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</si>
  <si>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</si>
  <si>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</si>
  <si>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</si>
  <si>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</si>
  <si>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</si>
  <si>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</si>
  <si>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</si>
  <si>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</si>
  <si>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</si>
  <si>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</si>
  <si>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</si>
  <si>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</si>
  <si>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</si>
  <si>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</si>
  <si>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</si>
  <si>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</si>
  <si>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</si>
  <si>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</si>
  <si>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</si>
  <si>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</si>
  <si>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</si>
  <si>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</si>
  <si>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</si>
  <si>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</si>
  <si>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</si>
  <si>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</si>
  <si>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</si>
  <si>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</si>
  <si>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</si>
  <si>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</si>
  <si>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</si>
  <si>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</si>
  <si>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</si>
  <si>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</si>
  <si>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</si>
  <si>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</si>
  <si>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</si>
  <si>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</si>
  <si>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</si>
  <si>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t>
    <phoneticPr fontId="4" type="noConversion"/>
  </si>
  <si>
    <t>综合</t>
    <phoneticPr fontId="4" type="noConversion"/>
  </si>
  <si>
    <t>综合（含物业）</t>
    <phoneticPr fontId="4" type="noConversion"/>
  </si>
  <si>
    <t>综合（含物业）水平</t>
    <phoneticPr fontId="4" type="noConversion"/>
  </si>
  <si>
    <t>未包含在土地购买价格中</t>
  </si>
  <si>
    <t>已包含在土地取得成本中</t>
  </si>
  <si>
    <t>商务金融用地（办公类）</t>
  </si>
  <si>
    <t>按公示增长率计算</t>
  </si>
  <si>
    <t>容积率修正</t>
  </si>
  <si>
    <t>自定义容积率</t>
  </si>
  <si>
    <t>全部缴纳</t>
  </si>
  <si>
    <t>成新度</t>
  </si>
  <si>
    <t>层数</t>
    <phoneticPr fontId="269" type="noConversion"/>
  </si>
  <si>
    <t>房间编号</t>
    <phoneticPr fontId="269" type="noConversion"/>
  </si>
  <si>
    <t>房间名称</t>
    <phoneticPr fontId="269" type="noConversion"/>
  </si>
  <si>
    <t>使用面积</t>
    <phoneticPr fontId="269" type="noConversion"/>
  </si>
  <si>
    <t>学生工作办公室</t>
    <phoneticPr fontId="269" type="noConversion"/>
  </si>
  <si>
    <t>教务办公室</t>
    <phoneticPr fontId="269" type="noConversion"/>
  </si>
  <si>
    <t>财务工作</t>
    <phoneticPr fontId="269" type="noConversion"/>
  </si>
  <si>
    <t>资料室</t>
    <phoneticPr fontId="269" type="noConversion"/>
  </si>
  <si>
    <t>行政办公室</t>
    <phoneticPr fontId="269" type="noConversion"/>
  </si>
  <si>
    <t>课室</t>
    <phoneticPr fontId="269" type="noConversion"/>
  </si>
  <si>
    <t>办公室</t>
    <phoneticPr fontId="269" type="noConversion"/>
  </si>
  <si>
    <t>会议室</t>
    <phoneticPr fontId="269" type="noConversion"/>
  </si>
  <si>
    <t>工会接待室</t>
    <phoneticPr fontId="269" type="noConversion"/>
  </si>
  <si>
    <t>学生活动中心</t>
    <phoneticPr fontId="269" type="noConversion"/>
  </si>
  <si>
    <t>电梯前室</t>
    <phoneticPr fontId="269" type="noConversion"/>
  </si>
  <si>
    <t>走廊</t>
    <phoneticPr fontId="269" type="noConversion"/>
  </si>
  <si>
    <t>门厅</t>
    <phoneticPr fontId="269" type="noConversion"/>
  </si>
  <si>
    <t>男卫</t>
    <phoneticPr fontId="269" type="noConversion"/>
  </si>
  <si>
    <t>女卫</t>
    <phoneticPr fontId="269" type="noConversion"/>
  </si>
  <si>
    <t>副教授办公室</t>
    <phoneticPr fontId="269" type="noConversion"/>
  </si>
  <si>
    <t>统计咨询室</t>
    <phoneticPr fontId="269" type="noConversion"/>
  </si>
  <si>
    <t>心理咨询室</t>
    <phoneticPr fontId="269" type="noConversion"/>
  </si>
  <si>
    <t>博士生办公室</t>
    <phoneticPr fontId="269" type="noConversion"/>
  </si>
  <si>
    <t>教授预留办公室</t>
    <phoneticPr fontId="269" type="noConversion"/>
  </si>
  <si>
    <t>副教授预留办公室</t>
    <phoneticPr fontId="269" type="noConversion"/>
  </si>
  <si>
    <t>讲师办公室</t>
    <phoneticPr fontId="269" type="noConversion"/>
  </si>
  <si>
    <t>博士生办公室</t>
    <phoneticPr fontId="269" type="noConversion"/>
  </si>
  <si>
    <t>电梯前室</t>
    <phoneticPr fontId="269" type="noConversion"/>
  </si>
  <si>
    <t>走廊</t>
    <phoneticPr fontId="269" type="noConversion"/>
  </si>
  <si>
    <t>男卫</t>
    <phoneticPr fontId="269" type="noConversion"/>
  </si>
  <si>
    <t>女卫</t>
    <phoneticPr fontId="269" type="noConversion"/>
  </si>
  <si>
    <t>教授办公室</t>
    <phoneticPr fontId="269" type="noConversion"/>
  </si>
  <si>
    <t>会议室</t>
    <phoneticPr fontId="269" type="noConversion"/>
  </si>
  <si>
    <t>讨论室</t>
    <phoneticPr fontId="269" type="noConversion"/>
  </si>
  <si>
    <t>实验室</t>
    <phoneticPr fontId="269" type="noConversion"/>
  </si>
  <si>
    <t>办公室</t>
    <phoneticPr fontId="269" type="noConversion"/>
  </si>
  <si>
    <t>大实验室（20人）</t>
    <phoneticPr fontId="269" type="noConversion"/>
  </si>
  <si>
    <t>实验室（12人）</t>
    <phoneticPr fontId="269" type="noConversion"/>
  </si>
  <si>
    <t>机房</t>
    <phoneticPr fontId="269" type="noConversion"/>
  </si>
  <si>
    <t>较好</t>
  </si>
  <si>
    <t>好</t>
  </si>
  <si>
    <t>师范大学</t>
    <phoneticPr fontId="4" type="noConversion"/>
  </si>
  <si>
    <t>北京市海淀区新街口外大街5号</t>
    <phoneticPr fontId="4" type="noConversion"/>
  </si>
  <si>
    <t>办公</t>
    <phoneticPr fontId="33" type="noConversion"/>
  </si>
  <si>
    <t>40-50（含）</t>
  </si>
  <si>
    <t>正常</t>
  </si>
  <si>
    <t>估价对象所在区域公共配套设施齐备</t>
    <phoneticPr fontId="42" type="noConversion"/>
  </si>
  <si>
    <t>七通</t>
  </si>
  <si>
    <t>七通</t>
    <phoneticPr fontId="26" type="noConversion"/>
  </si>
  <si>
    <t>城市次干道——新街口外大街</t>
    <phoneticPr fontId="26" type="noConversion"/>
  </si>
  <si>
    <t>区域自然环境：；人文环境；综合评价环境状况较好</t>
    <phoneticPr fontId="42" type="noConversion"/>
  </si>
  <si>
    <t>主干道</t>
  </si>
  <si>
    <t>主干道</t>
    <phoneticPr fontId="33" type="noConversion"/>
  </si>
  <si>
    <t>次干道</t>
  </si>
  <si>
    <t>次干道</t>
    <phoneticPr fontId="33" type="noConversion"/>
  </si>
  <si>
    <t>支路</t>
    <phoneticPr fontId="33" type="noConversion"/>
  </si>
  <si>
    <t>快速路</t>
    <phoneticPr fontId="33" type="noConversion"/>
  </si>
  <si>
    <t>多层板楼</t>
  </si>
  <si>
    <t>多层板楼</t>
    <phoneticPr fontId="33" type="noConversion"/>
  </si>
  <si>
    <t>塔楼</t>
  </si>
  <si>
    <t>塔楼</t>
    <phoneticPr fontId="33" type="noConversion"/>
  </si>
  <si>
    <t>钢混</t>
  </si>
  <si>
    <t>钢混</t>
    <phoneticPr fontId="33" type="noConversion"/>
  </si>
  <si>
    <t>砖混</t>
  </si>
  <si>
    <t>砖混</t>
    <phoneticPr fontId="33" type="noConversion"/>
  </si>
  <si>
    <t>普通装修</t>
  </si>
  <si>
    <t>普通装修</t>
    <phoneticPr fontId="33" type="noConversion"/>
  </si>
  <si>
    <t>简单装修</t>
    <phoneticPr fontId="33" type="noConversion"/>
  </si>
  <si>
    <t>物业公司管理</t>
  </si>
  <si>
    <t>物业公司管理</t>
    <phoneticPr fontId="33" type="noConversion"/>
  </si>
  <si>
    <t>单位自管</t>
  </si>
  <si>
    <t>单位自管</t>
    <phoneticPr fontId="33" type="noConversion"/>
  </si>
  <si>
    <t>七通</t>
    <phoneticPr fontId="33" type="noConversion"/>
  </si>
  <si>
    <t>六通</t>
  </si>
  <si>
    <t>六通</t>
    <phoneticPr fontId="33" type="noConversion"/>
  </si>
  <si>
    <t>五通</t>
    <phoneticPr fontId="33" type="noConversion"/>
  </si>
  <si>
    <t>标准层高</t>
  </si>
  <si>
    <t>标准层高</t>
    <phoneticPr fontId="33" type="noConversion"/>
  </si>
  <si>
    <t>普通装修</t>
    <phoneticPr fontId="33" type="noConversion"/>
  </si>
  <si>
    <t>简单装修</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</si>
  <si>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</si>
  <si>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租金</t>
  </si>
  <si>
    <t>海淀文教产业园</t>
    <phoneticPr fontId="4" type="noConversion"/>
  </si>
  <si>
    <t>城建大厦</t>
    <phoneticPr fontId="4" type="noConversion"/>
  </si>
  <si>
    <t>蓟门壹号</t>
    <phoneticPr fontId="4" type="noConversion"/>
  </si>
  <si>
    <t>城市次干道——杏坛路</t>
    <phoneticPr fontId="33" type="noConversion"/>
  </si>
  <si>
    <t>精装修</t>
  </si>
  <si>
    <t>精装修</t>
    <phoneticPr fontId="33" type="noConversion"/>
  </si>
  <si>
    <r>
      <rPr>
        <sz val="11"/>
        <rFont val="宋体"/>
        <family val="3"/>
        <charset val="134"/>
      </rPr>
      <t>城市主干道</t>
    </r>
    <r>
      <rPr>
        <sz val="11"/>
        <rFont val="Arial"/>
        <family val="2"/>
      </rPr>
      <t>——</t>
    </r>
    <r>
      <rPr>
        <sz val="11"/>
        <rFont val="宋体"/>
        <family val="3"/>
        <charset val="134"/>
      </rPr>
      <t>西土城路</t>
    </r>
    <phoneticPr fontId="33" type="noConversion"/>
  </si>
  <si>
    <t>城市主干道——北三环</t>
    <phoneticPr fontId="33" type="noConversion"/>
  </si>
  <si>
    <t>比较法-办公</t>
  </si>
  <si>
    <t>与级别开发程度不一致</t>
  </si>
  <si>
    <t>通路</t>
  </si>
  <si>
    <t>通电</t>
  </si>
  <si>
    <t>通讯</t>
  </si>
  <si>
    <t>通上水</t>
  </si>
  <si>
    <t>通下水</t>
  </si>
  <si>
    <t>通热</t>
  </si>
  <si>
    <t>平整</t>
  </si>
  <si>
    <t>办公-楼房</t>
  </si>
  <si>
    <t>办公-楼房</t>
    <phoneticPr fontId="8" type="noConversion"/>
  </si>
  <si>
    <r>
      <rPr>
        <sz val="10"/>
        <color indexed="8"/>
        <rFont val="宋体"/>
        <family val="3"/>
        <charset val="134"/>
      </rPr>
      <t>办公</t>
    </r>
    <r>
      <rPr>
        <sz val="10"/>
        <color indexed="8"/>
        <rFont val="Arial"/>
        <family val="2"/>
      </rPr>
      <t>-</t>
    </r>
    <r>
      <rPr>
        <sz val="10"/>
        <color indexed="8"/>
        <rFont val="宋体"/>
        <family val="3"/>
        <charset val="134"/>
      </rPr>
      <t>平房</t>
    </r>
    <phoneticPr fontId="8" type="noConversion"/>
  </si>
  <si>
    <t>简单装修</t>
  </si>
  <si>
    <t>基础设施</t>
    <phoneticPr fontId="4" type="noConversion"/>
  </si>
  <si>
    <t>基础设施修正系数</t>
    <phoneticPr fontId="4" type="noConversion"/>
  </si>
  <si>
    <t>六通</t>
    <phoneticPr fontId="141" type="noConversion"/>
  </si>
  <si>
    <t>七通</t>
    <phoneticPr fontId="141" type="noConversion"/>
  </si>
  <si>
    <t>5（-1）</t>
    <phoneticPr fontId="141" type="noConversion"/>
  </si>
  <si>
    <t>自定义</t>
  </si>
  <si>
    <r>
      <rPr>
        <sz val="10"/>
        <color rgb="FF000000"/>
        <rFont val="微软雅黑"/>
        <family val="2"/>
        <charset val="134"/>
      </rPr>
      <t>Ⅲ—</t>
    </r>
    <r>
      <rPr>
        <sz val="10"/>
        <color rgb="FF000000"/>
        <rFont val="Arial"/>
        <family val="2"/>
      </rPr>
      <t>04</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</si>
</sst>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9"/>
      <name val="宋体"/>
      <family val="2"/>
      <charset val="134"/>
      <scheme val="minor"/>
    </font>
    <font>
      <sz val="10"/>
      <color rgb="FF000000"/>
      <name val="微软雅黑"/>
      <family val="2"/>
      <charset val="134"/>
    </font>
    <font>
      <sz val="10"/>
      <color rgb="FF000000"/>
      <name val="Arial"/>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52">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9" fillId="0" borderId="0"/>
    <xf numFmtId="0" fontId="1" fillId="0" borderId="0">
      <alignment vertical="center"/>
    </xf>
  </cellStyleXfs>
  <cellXfs count="354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99" fillId="0" borderId="0" xfId="10" applyFont="1" applyBorder="1" applyAlignment="1">
      <alignment vertical="center"/>
    </xf>
    <xf numFmtId="0" fontId="255" fillId="0" borderId="1" xfId="10" applyNumberFormat="1" applyFont="1" applyBorder="1" applyAlignment="1">
      <alignment horizontal="left" vertical="center" wrapText="1" shrinkToFit="1"/>
    </xf>
    <xf numFmtId="9" fontId="256" fillId="0" borderId="1" xfId="10" applyNumberFormat="1" applyFont="1" applyBorder="1" applyAlignment="1">
      <alignment horizontal="center" vertical="center" wrapText="1" shrinkToFit="1"/>
    </xf>
    <xf numFmtId="0" fontId="99" fillId="0" borderId="0" xfId="10" applyAlignment="1"/>
    <xf numFmtId="0" fontId="99" fillId="0" borderId="0" xfId="10" applyFont="1" applyAlignment="1">
      <alignment vertical="center" wrapText="1"/>
    </xf>
    <xf numFmtId="49" fontId="115" fillId="0" borderId="1" xfId="10" applyNumberFormat="1" applyFont="1" applyFill="1" applyBorder="1" applyAlignment="1">
      <alignment horizontal="center" vertical="center" wrapText="1" shrinkToFit="1"/>
    </xf>
    <xf numFmtId="0" fontId="115" fillId="0" borderId="1" xfId="10" applyFont="1" applyFill="1" applyBorder="1" applyAlignment="1">
      <alignment vertical="center" wrapText="1" shrinkToFit="1"/>
    </xf>
    <xf numFmtId="0" fontId="115" fillId="0" borderId="1" xfId="10" applyFont="1" applyFill="1" applyBorder="1" applyAlignment="1">
      <alignment horizontal="center" vertical="center" wrapText="1" shrinkToFit="1"/>
    </xf>
    <xf numFmtId="49" fontId="255" fillId="0" borderId="1" xfId="10" applyNumberFormat="1" applyFont="1" applyBorder="1" applyAlignment="1">
      <alignment horizontal="center" vertical="center" wrapText="1" shrinkToFit="1"/>
    </xf>
    <xf numFmtId="0" fontId="112" fillId="0" borderId="0" xfId="10" applyFont="1" applyAlignment="1">
      <alignment wrapText="1"/>
    </xf>
    <xf numFmtId="0" fontId="115" fillId="0" borderId="1" xfId="10" applyFont="1" applyBorder="1" applyAlignment="1">
      <alignment horizontal="center" vertical="center" wrapText="1" shrinkToFit="1"/>
    </xf>
    <xf numFmtId="0" fontId="115" fillId="0" borderId="1" xfId="10" applyFont="1" applyFill="1" applyBorder="1" applyAlignment="1">
      <alignment horizontal="left" vertical="center" wrapText="1" shrinkToFit="1"/>
    </xf>
    <xf numFmtId="0" fontId="115" fillId="0" borderId="1" xfId="10" applyFont="1" applyBorder="1" applyAlignment="1">
      <alignment horizontal="left" vertical="center" wrapText="1" shrinkToFit="1"/>
    </xf>
    <xf numFmtId="179" fontId="115" fillId="0" borderId="1" xfId="10" applyNumberFormat="1" applyFont="1" applyBorder="1" applyAlignment="1">
      <alignment horizontal="center" vertical="center" wrapText="1" shrinkToFit="1"/>
    </xf>
    <xf numFmtId="0" fontId="112" fillId="0" borderId="0" xfId="10" applyFont="1" applyFill="1" applyAlignment="1">
      <alignment wrapText="1"/>
    </xf>
    <xf numFmtId="9" fontId="115" fillId="0" borderId="1" xfId="10" applyNumberFormat="1" applyFont="1" applyFill="1" applyBorder="1" applyAlignment="1">
      <alignment horizontal="left" vertical="center" wrapText="1" shrinkToFit="1"/>
    </xf>
    <xf numFmtId="181" fontId="259" fillId="0" borderId="1" xfId="10" applyNumberFormat="1" applyFont="1" applyFill="1" applyBorder="1" applyAlignment="1">
      <alignment horizontal="center" vertical="center" wrapText="1" shrinkToFit="1"/>
    </xf>
    <xf numFmtId="9" fontId="260" fillId="0" borderId="1" xfId="10" applyNumberFormat="1" applyFont="1" applyFill="1" applyBorder="1" applyAlignment="1">
      <alignment horizontal="center" vertical="center" wrapText="1"/>
    </xf>
    <xf numFmtId="179" fontId="259" fillId="0" borderId="1" xfId="10" applyNumberFormat="1" applyFont="1" applyFill="1" applyBorder="1" applyAlignment="1">
      <alignment horizontal="center" vertical="center" wrapText="1" shrinkToFit="1"/>
    </xf>
    <xf numFmtId="0" fontId="115" fillId="0" borderId="0" xfId="10" applyFont="1" applyFill="1" applyBorder="1" applyAlignment="1">
      <alignment horizontal="center" vertical="center"/>
    </xf>
    <xf numFmtId="9" fontId="261" fillId="20" borderId="1" xfId="10" applyNumberFormat="1" applyFont="1" applyFill="1" applyBorder="1" applyAlignment="1">
      <alignment horizontal="center" vertical="center" wrapText="1"/>
    </xf>
    <xf numFmtId="0" fontId="99" fillId="0" borderId="0" xfId="10" applyFont="1" applyAlignment="1">
      <alignment vertical="center" wrapText="1" shrinkToFit="1"/>
    </xf>
    <xf numFmtId="179" fontId="115" fillId="0" borderId="0" xfId="10" applyNumberFormat="1" applyFont="1" applyBorder="1" applyAlignment="1">
      <alignment horizontal="center" vertical="center"/>
    </xf>
    <xf numFmtId="0" fontId="112" fillId="0" borderId="1" xfId="10" applyNumberFormat="1" applyFont="1" applyBorder="1" applyAlignment="1">
      <alignment vertical="center" wrapText="1"/>
    </xf>
    <xf numFmtId="0" fontId="112" fillId="0" borderId="1" xfId="10" applyNumberFormat="1" applyFont="1" applyBorder="1" applyAlignment="1">
      <alignment horizontal="center" vertical="center" wrapText="1"/>
    </xf>
    <xf numFmtId="9" fontId="255" fillId="0" borderId="1" xfId="10" applyNumberFormat="1" applyFont="1" applyFill="1" applyBorder="1" applyAlignment="1">
      <alignment horizontal="center" vertical="center" wrapText="1"/>
    </xf>
    <xf numFmtId="9" fontId="112" fillId="0" borderId="1" xfId="10" applyNumberFormat="1" applyFont="1" applyBorder="1" applyAlignment="1">
      <alignment horizontal="center" vertical="center" wrapText="1"/>
    </xf>
    <xf numFmtId="179" fontId="262" fillId="0" borderId="0" xfId="10" applyNumberFormat="1" applyFont="1" applyAlignment="1">
      <alignment vertical="center"/>
    </xf>
    <xf numFmtId="10" fontId="112" fillId="0" borderId="1" xfId="10" applyNumberFormat="1" applyFont="1" applyBorder="1" applyAlignment="1">
      <alignment horizontal="center" vertical="center" wrapText="1"/>
    </xf>
    <xf numFmtId="9" fontId="112" fillId="20" borderId="1" xfId="10" applyNumberFormat="1" applyFont="1" applyFill="1" applyBorder="1" applyAlignment="1">
      <alignment horizontal="center" vertical="center" wrapText="1"/>
    </xf>
    <xf numFmtId="10" fontId="118" fillId="0" borderId="1" xfId="10" applyNumberFormat="1" applyFont="1" applyBorder="1" applyAlignment="1">
      <alignment horizontal="center" vertical="center" wrapText="1"/>
    </xf>
    <xf numFmtId="0" fontId="112" fillId="0" borderId="1" xfId="10" applyFont="1" applyBorder="1" applyAlignment="1">
      <alignment wrapText="1"/>
    </xf>
    <xf numFmtId="0" fontId="99" fillId="0" borderId="0" xfId="10" applyFont="1" applyAlignment="1">
      <alignment vertical="center"/>
    </xf>
    <xf numFmtId="0" fontId="129" fillId="0" borderId="0" xfId="1" applyFont="1" applyBorder="1" applyAlignment="1" applyProtection="1">
      <alignment horizontal="left" vertical="center"/>
      <protection hidden="1"/>
    </xf>
    <xf numFmtId="179" fontId="262" fillId="0" borderId="0" xfId="10" applyNumberFormat="1" applyFont="1" applyAlignment="1">
      <alignment vertical="center" wrapText="1" shrinkToFit="1"/>
    </xf>
    <xf numFmtId="181" fontId="115" fillId="0" borderId="0" xfId="10" applyNumberFormat="1" applyFont="1" applyFill="1" applyBorder="1" applyAlignment="1">
      <alignment horizontal="center" vertical="center"/>
    </xf>
    <xf numFmtId="179" fontId="99" fillId="0" borderId="0" xfId="10" applyNumberFormat="1" applyFont="1" applyAlignment="1">
      <alignment vertical="center"/>
    </xf>
    <xf numFmtId="49" fontId="115" fillId="0" borderId="13" xfId="10" applyNumberFormat="1" applyFont="1" applyFill="1" applyBorder="1" applyAlignment="1">
      <alignment horizontal="center" vertical="center" wrapText="1" shrinkToFit="1"/>
    </xf>
    <xf numFmtId="0" fontId="115" fillId="0" borderId="13" xfId="10" applyFont="1" applyFill="1" applyBorder="1" applyAlignment="1">
      <alignment vertical="center" wrapText="1" shrinkToFit="1"/>
    </xf>
    <xf numFmtId="0" fontId="115" fillId="0" borderId="5" xfId="10" applyFont="1" applyFill="1" applyBorder="1" applyAlignment="1">
      <alignment horizontal="center" vertical="center" wrapText="1" shrinkToFit="1"/>
    </xf>
    <xf numFmtId="0" fontId="115" fillId="0" borderId="54" xfId="10" applyFont="1" applyFill="1" applyBorder="1" applyAlignment="1">
      <alignment horizontal="center" vertical="center" wrapText="1" shrinkToFit="1"/>
    </xf>
    <xf numFmtId="180" fontId="115" fillId="0" borderId="54" xfId="10" applyNumberFormat="1" applyFont="1" applyFill="1" applyBorder="1" applyAlignment="1">
      <alignment horizontal="center" vertical="center" wrapText="1" shrinkToFit="1"/>
    </xf>
    <xf numFmtId="0" fontId="115" fillId="0" borderId="3" xfId="10" applyFont="1" applyFill="1" applyBorder="1" applyAlignment="1">
      <alignment horizontal="left" vertical="center" wrapText="1" shrinkToFit="1"/>
    </xf>
    <xf numFmtId="0" fontId="115" fillId="0" borderId="1" xfId="10" applyNumberFormat="1" applyFont="1" applyFill="1" applyBorder="1" applyAlignment="1">
      <alignment horizontal="center" vertical="center" wrapText="1" shrinkToFit="1"/>
    </xf>
    <xf numFmtId="10" fontId="115" fillId="0" borderId="1" xfId="10" applyNumberFormat="1" applyFont="1" applyFill="1" applyBorder="1" applyAlignment="1">
      <alignment horizontal="center" vertical="center" wrapText="1" shrinkToFit="1"/>
    </xf>
    <xf numFmtId="9" fontId="115" fillId="0" borderId="0" xfId="10" applyNumberFormat="1" applyFont="1" applyFill="1" applyBorder="1" applyAlignment="1">
      <alignment horizontal="center" vertical="center"/>
    </xf>
    <xf numFmtId="0" fontId="115" fillId="0" borderId="5" xfId="10" applyFont="1" applyFill="1" applyBorder="1" applyAlignment="1">
      <alignment horizontal="right" vertical="center" wrapText="1" shrinkToFit="1"/>
    </xf>
    <xf numFmtId="49" fontId="115" fillId="0" borderId="54" xfId="10" applyNumberFormat="1" applyFont="1" applyFill="1" applyBorder="1" applyAlignment="1">
      <alignment horizontal="center" vertical="center" wrapText="1" shrinkToFit="1"/>
    </xf>
    <xf numFmtId="10" fontId="116" fillId="0" borderId="0" xfId="10" applyNumberFormat="1" applyFont="1" applyFill="1" applyBorder="1" applyAlignment="1">
      <alignment horizontal="center" vertical="center"/>
    </xf>
    <xf numFmtId="0" fontId="263" fillId="0" borderId="0" xfId="10" applyFont="1" applyFill="1" applyAlignment="1">
      <alignment vertical="center"/>
    </xf>
    <xf numFmtId="183" fontId="115" fillId="0" borderId="0" xfId="10" applyNumberFormat="1" applyFont="1" applyFill="1" applyBorder="1" applyAlignment="1">
      <alignment horizontal="center" vertical="center"/>
    </xf>
    <xf numFmtId="9" fontId="115" fillId="0" borderId="1"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99" fillId="0" borderId="0" xfId="10" applyAlignment="1">
      <alignment horizontal="left" vertical="center" wrapText="1"/>
    </xf>
    <xf numFmtId="0" fontId="99" fillId="0" borderId="0" xfId="10" applyFill="1" applyAlignment="1">
      <alignment vertical="center" wrapText="1"/>
    </xf>
    <xf numFmtId="0" fontId="99" fillId="0" borderId="0" xfId="10" applyAlignment="1">
      <alignment horizontal="center" vertical="center" wrapText="1"/>
    </xf>
    <xf numFmtId="0" fontId="99" fillId="0" borderId="0" xfId="10" applyAlignment="1">
      <alignment vertical="center" wrapText="1"/>
    </xf>
    <xf numFmtId="0" fontId="115" fillId="0" borderId="0" xfId="10" applyFont="1" applyBorder="1" applyAlignment="1">
      <alignment horizontal="center" vertical="center"/>
    </xf>
    <xf numFmtId="0" fontId="262" fillId="0" borderId="0" xfId="10" applyFont="1" applyAlignment="1">
      <alignment horizontal="center" vertical="center" wrapText="1"/>
    </xf>
    <xf numFmtId="0" fontId="262" fillId="0" borderId="0" xfId="10" applyFont="1" applyAlignment="1">
      <alignment vertical="center" wrapText="1"/>
    </xf>
    <xf numFmtId="0" fontId="141" fillId="0" borderId="1" xfId="10" applyFont="1" applyBorder="1" applyAlignment="1">
      <alignment horizontal="center" vertical="center" wrapText="1"/>
    </xf>
    <xf numFmtId="0" fontId="141" fillId="0" borderId="1" xfId="10" applyFont="1" applyFill="1" applyBorder="1" applyAlignment="1">
      <alignment horizontal="center" vertical="center" wrapText="1"/>
    </xf>
    <xf numFmtId="9" fontId="141" fillId="0" borderId="1" xfId="10" applyNumberFormat="1" applyFont="1" applyFill="1" applyBorder="1" applyAlignment="1">
      <alignment horizontal="center" vertical="center" wrapText="1"/>
    </xf>
    <xf numFmtId="178" fontId="141" fillId="0" borderId="1" xfId="10" applyNumberFormat="1" applyFont="1" applyFill="1" applyBorder="1" applyAlignment="1">
      <alignment horizontal="center" vertical="center" wrapText="1"/>
    </xf>
    <xf numFmtId="0" fontId="268" fillId="0" borderId="0" xfId="10" applyFont="1" applyFill="1" applyAlignment="1">
      <alignment horizontal="center" vertical="center" wrapText="1"/>
    </xf>
    <xf numFmtId="0" fontId="262" fillId="0" borderId="1" xfId="10" applyFont="1" applyBorder="1" applyAlignment="1">
      <alignment horizontal="center" vertical="center" wrapText="1"/>
    </xf>
    <xf numFmtId="0" fontId="262" fillId="0" borderId="0" xfId="10" applyFont="1" applyAlignment="1">
      <alignment horizontal="left" vertical="center" wrapText="1"/>
    </xf>
    <xf numFmtId="179" fontId="262" fillId="0" borderId="0" xfId="10" applyNumberFormat="1" applyFont="1" applyFill="1" applyAlignment="1">
      <alignment vertical="center" wrapText="1"/>
    </xf>
    <xf numFmtId="0" fontId="262" fillId="0" borderId="0" xfId="10" applyFont="1" applyFill="1" applyAlignment="1">
      <alignment vertical="center" wrapText="1"/>
    </xf>
    <xf numFmtId="0" fontId="99" fillId="0" borderId="0" xfId="10" applyFont="1" applyAlignment="1">
      <alignment horizontal="left" vertical="center" wrapText="1"/>
    </xf>
    <xf numFmtId="0" fontId="99" fillId="0" borderId="0" xfId="10" applyFont="1" applyFill="1" applyAlignment="1">
      <alignment vertical="center" wrapText="1"/>
    </xf>
    <xf numFmtId="0" fontId="99" fillId="0" borderId="0" xfId="10" applyFont="1" applyAlignment="1">
      <alignment horizontal="center" vertical="center" wrapText="1"/>
    </xf>
    <xf numFmtId="0" fontId="99" fillId="0" borderId="0" xfId="10" applyAlignment="1">
      <alignment horizontal="center" vertical="center"/>
    </xf>
    <xf numFmtId="0" fontId="99" fillId="0" borderId="1" xfId="10" applyFont="1" applyBorder="1" applyAlignment="1">
      <alignment horizontal="center" vertical="center"/>
    </xf>
    <xf numFmtId="0" fontId="99" fillId="0" borderId="1" xfId="10" applyBorder="1" applyAlignment="1">
      <alignment horizontal="center" vertical="center"/>
    </xf>
    <xf numFmtId="49" fontId="99" fillId="0" borderId="1" xfId="10" applyNumberFormat="1" applyBorder="1" applyAlignment="1">
      <alignment horizontal="center" vertical="center"/>
    </xf>
    <xf numFmtId="0" fontId="99" fillId="0" borderId="0" xfId="10" applyFont="1" applyAlignment="1">
      <alignment horizontal="center" vertical="center"/>
    </xf>
    <xf numFmtId="177" fontId="80" fillId="0" borderId="1" xfId="1" applyNumberFormat="1" applyFont="1" applyFill="1" applyBorder="1" applyAlignment="1" applyProtection="1">
      <alignment vertical="center"/>
      <protection locked="0" hidden="1"/>
    </xf>
    <xf numFmtId="181" fontId="259" fillId="0" borderId="1" xfId="10" applyNumberFormat="1" applyFont="1" applyFill="1" applyBorder="1" applyAlignment="1">
      <alignment horizontal="left" vertical="center" wrapText="1" indent="1" shrinkToFit="1"/>
    </xf>
    <xf numFmtId="0" fontId="1" fillId="0" borderId="0" xfId="51">
      <alignment vertical="center"/>
    </xf>
    <xf numFmtId="178" fontId="1" fillId="0" borderId="0" xfId="51" applyNumberFormat="1">
      <alignment vertical="center"/>
    </xf>
    <xf numFmtId="0" fontId="1" fillId="0" borderId="0" xfId="51" applyAlignment="1">
      <alignment horizontal="right" vertical="center"/>
    </xf>
    <xf numFmtId="0" fontId="135" fillId="0" borderId="51" xfId="0" applyNumberFormat="1" applyFont="1" applyFill="1" applyBorder="1" applyAlignment="1" applyProtection="1">
      <alignment horizontal="center" vertical="center" wrapText="1"/>
      <protection locked="0"/>
    </xf>
    <xf numFmtId="0" fontId="236" fillId="0" borderId="24" xfId="0" applyFont="1" applyBorder="1" applyAlignment="1" applyProtection="1">
      <alignment vertical="center" wrapText="1"/>
      <protection locked="0"/>
    </xf>
    <xf numFmtId="0" fontId="236" fillId="0" borderId="49" xfId="0" applyFont="1" applyBorder="1" applyAlignment="1" applyProtection="1">
      <alignment vertical="center"/>
      <protection locked="0"/>
    </xf>
    <xf numFmtId="49" fontId="236" fillId="0" borderId="24" xfId="0" applyNumberFormat="1" applyFont="1" applyFill="1" applyBorder="1" applyAlignment="1" applyProtection="1">
      <alignment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05" fillId="9" borderId="37" xfId="0" applyNumberFormat="1" applyFont="1" applyFill="1" applyBorder="1" applyAlignment="1" applyProtection="1">
      <alignment horizontal="center" vertical="center" wrapText="1"/>
      <protection locked="0"/>
    </xf>
    <xf numFmtId="178" fontId="141" fillId="0" borderId="1" xfId="10" applyNumberFormat="1" applyFont="1" applyFill="1" applyBorder="1" applyAlignment="1">
      <alignment horizontal="center" vertical="center" wrapText="1"/>
    </xf>
    <xf numFmtId="178" fontId="262" fillId="0" borderId="0" xfId="10" applyNumberFormat="1" applyFont="1" applyAlignment="1">
      <alignment horizontal="center" vertical="center" wrapText="1"/>
    </xf>
    <xf numFmtId="197" fontId="99" fillId="0" borderId="1" xfId="10" applyNumberFormat="1" applyFont="1" applyBorder="1" applyAlignment="1">
      <alignment horizontal="center" vertical="center"/>
    </xf>
    <xf numFmtId="0" fontId="99" fillId="0" borderId="1" xfId="10" applyNumberFormat="1" applyBorder="1" applyAlignment="1">
      <alignment horizontal="center" vertical="center"/>
    </xf>
    <xf numFmtId="0" fontId="271" fillId="5" borderId="78" xfId="0" applyNumberFormat="1" applyFont="1" applyFill="1" applyBorder="1" applyAlignment="1" applyProtection="1">
      <alignment horizontal="center" vertical="center" wrapText="1"/>
      <protection locked="0"/>
    </xf>
    <xf numFmtId="49" fontId="272" fillId="0" borderId="24" xfId="0" applyNumberFormat="1" applyFont="1" applyFill="1" applyBorder="1" applyAlignment="1" applyProtection="1">
      <alignment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222"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8" fillId="0" borderId="0" xfId="10" applyFont="1" applyFill="1" applyBorder="1" applyAlignment="1">
      <alignment horizontal="center" vertical="center" wrapText="1"/>
    </xf>
    <xf numFmtId="0" fontId="99" fillId="0" borderId="1" xfId="10" applyFont="1" applyBorder="1" applyAlignment="1">
      <alignment horizontal="center" vertical="center" wrapText="1"/>
    </xf>
    <xf numFmtId="0" fontId="115" fillId="0" borderId="5" xfId="10" applyFont="1" applyFill="1" applyBorder="1" applyAlignment="1">
      <alignment horizontal="center" vertical="center" wrapText="1" shrinkToFit="1"/>
    </xf>
    <xf numFmtId="0" fontId="115" fillId="0" borderId="54" xfId="10" applyFont="1" applyFill="1" applyBorder="1" applyAlignment="1">
      <alignment horizontal="center" vertical="center" wrapText="1" shrinkToFit="1"/>
    </xf>
    <xf numFmtId="0" fontId="115" fillId="0" borderId="3" xfId="10" applyFont="1" applyFill="1" applyBorder="1" applyAlignment="1">
      <alignment horizontal="center" vertical="center" wrapText="1" shrinkToFit="1"/>
    </xf>
    <xf numFmtId="0" fontId="115" fillId="0" borderId="1" xfId="10" applyFont="1" applyFill="1" applyBorder="1" applyAlignment="1">
      <alignment horizontal="center" vertical="center" wrapText="1" shrinkToFit="1"/>
    </xf>
    <xf numFmtId="0" fontId="115" fillId="0" borderId="1" xfId="10" applyFont="1" applyBorder="1" applyAlignment="1">
      <alignment horizontal="center" vertical="center" wrapText="1" shrinkToFit="1"/>
    </xf>
    <xf numFmtId="0" fontId="115" fillId="0" borderId="1" xfId="10" applyFont="1" applyFill="1" applyBorder="1" applyAlignment="1">
      <alignment horizontal="left" vertical="center" wrapText="1" shrinkToFit="1"/>
    </xf>
    <xf numFmtId="0" fontId="115" fillId="0" borderId="46" xfId="10" applyFont="1" applyFill="1" applyBorder="1" applyAlignment="1">
      <alignment horizontal="center" vertical="center" wrapText="1" shrinkToFit="1"/>
    </xf>
    <xf numFmtId="0" fontId="115" fillId="0" borderId="36" xfId="10" applyFont="1" applyFill="1" applyBorder="1" applyAlignment="1">
      <alignment horizontal="center" vertical="center" wrapText="1" shrinkToFit="1"/>
    </xf>
    <xf numFmtId="0" fontId="115" fillId="0" borderId="22" xfId="10" applyFont="1" applyFill="1" applyBorder="1" applyAlignment="1">
      <alignment horizontal="center" vertical="center" wrapText="1" shrinkToFit="1"/>
    </xf>
    <xf numFmtId="0" fontId="115" fillId="0" borderId="58" xfId="10" applyFont="1" applyFill="1" applyBorder="1" applyAlignment="1">
      <alignment horizontal="center" vertical="center" wrapText="1" shrinkToFit="1"/>
    </xf>
    <xf numFmtId="0" fontId="115" fillId="0" borderId="0" xfId="10" applyFont="1" applyFill="1" applyBorder="1" applyAlignment="1">
      <alignment horizontal="center" vertical="center" wrapText="1" shrinkToFit="1"/>
    </xf>
    <xf numFmtId="0" fontId="115" fillId="0" borderId="35" xfId="10" applyFont="1" applyFill="1" applyBorder="1" applyAlignment="1">
      <alignment horizontal="center" vertical="center" wrapText="1" shrinkToFit="1"/>
    </xf>
    <xf numFmtId="0" fontId="115" fillId="0" borderId="4" xfId="10" applyFont="1" applyFill="1" applyBorder="1" applyAlignment="1">
      <alignment horizontal="center" vertical="center" wrapText="1" shrinkToFit="1"/>
    </xf>
    <xf numFmtId="0" fontId="115" fillId="0" borderId="60" xfId="10" applyFont="1" applyFill="1" applyBorder="1" applyAlignment="1">
      <alignment horizontal="center" vertical="center" wrapText="1" shrinkToFit="1"/>
    </xf>
    <xf numFmtId="0" fontId="115" fillId="0" borderId="7" xfId="10" applyFont="1" applyFill="1" applyBorder="1" applyAlignment="1">
      <alignment horizontal="center" vertical="center" wrapText="1" shrinkToFit="1"/>
    </xf>
    <xf numFmtId="0" fontId="99" fillId="0" borderId="1" xfId="10" applyFont="1" applyBorder="1" applyAlignment="1">
      <alignment horizontal="center" vertical="center" wrapText="1" shrinkToFit="1"/>
    </xf>
    <xf numFmtId="181" fontId="115" fillId="0" borderId="1" xfId="10" applyNumberFormat="1" applyFont="1" applyFill="1" applyBorder="1" applyAlignment="1">
      <alignment horizontal="center" vertical="center" wrapText="1" shrinkToFit="1"/>
    </xf>
    <xf numFmtId="180" fontId="115" fillId="0" borderId="5" xfId="10" applyNumberFormat="1" applyFont="1" applyFill="1" applyBorder="1" applyAlignment="1">
      <alignment horizontal="right" vertical="center" wrapText="1" shrinkToFit="1"/>
    </xf>
    <xf numFmtId="180" fontId="115" fillId="0" borderId="54" xfId="10" applyNumberFormat="1" applyFont="1" applyFill="1" applyBorder="1" applyAlignment="1">
      <alignment horizontal="right" vertical="center" wrapText="1" shrinkToFit="1"/>
    </xf>
    <xf numFmtId="0" fontId="115" fillId="0" borderId="54" xfId="10" applyFont="1" applyFill="1" applyBorder="1" applyAlignment="1">
      <alignment horizontal="left" vertical="center" wrapText="1" shrinkToFit="1"/>
    </xf>
    <xf numFmtId="0" fontId="115" fillId="0" borderId="3" xfId="10" applyFont="1" applyFill="1" applyBorder="1" applyAlignment="1">
      <alignment horizontal="left" vertical="center" wrapText="1" shrinkToFit="1"/>
    </xf>
    <xf numFmtId="0" fontId="115" fillId="0" borderId="5" xfId="10" applyFont="1" applyFill="1" applyBorder="1" applyAlignment="1">
      <alignment horizontal="right" vertical="center" wrapText="1" shrinkToFit="1"/>
    </xf>
    <xf numFmtId="0" fontId="115" fillId="0" borderId="54" xfId="10" applyFont="1" applyFill="1" applyBorder="1" applyAlignment="1">
      <alignment horizontal="right" vertical="center" wrapText="1" shrinkToFit="1"/>
    </xf>
    <xf numFmtId="10" fontId="115" fillId="0" borderId="54" xfId="10" applyNumberFormat="1" applyFont="1" applyFill="1" applyBorder="1" applyAlignment="1">
      <alignment horizontal="left" vertical="center" wrapText="1" shrinkToFit="1"/>
    </xf>
    <xf numFmtId="10" fontId="115" fillId="0" borderId="3" xfId="10" applyNumberFormat="1" applyFont="1" applyFill="1" applyBorder="1" applyAlignment="1">
      <alignment horizontal="left" vertical="center" wrapText="1" shrinkToFit="1"/>
    </xf>
    <xf numFmtId="9" fontId="115" fillId="0" borderId="13" xfId="10" applyNumberFormat="1" applyFont="1" applyFill="1" applyBorder="1" applyAlignment="1">
      <alignment horizontal="left" vertical="center" wrapText="1" shrinkToFit="1"/>
    </xf>
    <xf numFmtId="9" fontId="115" fillId="0" borderId="2" xfId="10" applyNumberFormat="1" applyFont="1" applyFill="1" applyBorder="1" applyAlignment="1">
      <alignment horizontal="left" vertical="center" wrapText="1" shrinkToFit="1"/>
    </xf>
    <xf numFmtId="9" fontId="115" fillId="0" borderId="1" xfId="10" applyNumberFormat="1" applyFont="1" applyFill="1" applyBorder="1" applyAlignment="1">
      <alignment horizontal="center" vertical="center" wrapText="1" shrinkToFit="1"/>
    </xf>
    <xf numFmtId="0" fontId="115" fillId="0" borderId="5" xfId="10" applyNumberFormat="1" applyFont="1" applyFill="1" applyBorder="1" applyAlignment="1">
      <alignment horizontal="right" vertical="center" wrapText="1" shrinkToFit="1"/>
    </xf>
    <xf numFmtId="0" fontId="115" fillId="0" borderId="54" xfId="10" applyNumberFormat="1" applyFont="1" applyFill="1" applyBorder="1" applyAlignment="1">
      <alignment horizontal="right" vertical="center" wrapText="1" shrinkToFit="1"/>
    </xf>
    <xf numFmtId="10" fontId="115" fillId="0" borderId="1" xfId="10" applyNumberFormat="1" applyFont="1" applyFill="1" applyBorder="1" applyAlignment="1">
      <alignment horizontal="center" vertical="center" wrapText="1" shrinkToFit="1"/>
    </xf>
    <xf numFmtId="183" fontId="115" fillId="0" borderId="1" xfId="10" applyNumberFormat="1" applyFont="1" applyFill="1" applyBorder="1" applyAlignment="1">
      <alignment horizontal="center" vertical="center" wrapText="1" shrinkToFit="1"/>
    </xf>
    <xf numFmtId="179" fontId="115" fillId="0" borderId="46" xfId="10" applyNumberFormat="1" applyFont="1" applyFill="1" applyBorder="1" applyAlignment="1">
      <alignment horizontal="center" vertical="center" wrapText="1" shrinkToFit="1"/>
    </xf>
    <xf numFmtId="179" fontId="115" fillId="0" borderId="36" xfId="10" applyNumberFormat="1" applyFont="1" applyFill="1" applyBorder="1" applyAlignment="1">
      <alignment horizontal="center" vertical="center" wrapText="1" shrinkToFit="1"/>
    </xf>
    <xf numFmtId="179" fontId="115" fillId="0" borderId="22" xfId="10" applyNumberFormat="1" applyFont="1" applyFill="1" applyBorder="1" applyAlignment="1">
      <alignment horizontal="center" vertical="center" wrapText="1" shrinkToFit="1"/>
    </xf>
    <xf numFmtId="179" fontId="115" fillId="0" borderId="4" xfId="10" applyNumberFormat="1" applyFont="1" applyFill="1" applyBorder="1" applyAlignment="1">
      <alignment horizontal="center" vertical="center" wrapText="1" shrinkToFit="1"/>
    </xf>
    <xf numFmtId="179" fontId="115" fillId="0" borderId="60" xfId="10" applyNumberFormat="1" applyFont="1" applyFill="1" applyBorder="1" applyAlignment="1">
      <alignment horizontal="center" vertical="center" wrapText="1" shrinkToFit="1"/>
    </xf>
    <xf numFmtId="179" fontId="115" fillId="0" borderId="7" xfId="10" applyNumberFormat="1" applyFont="1" applyFill="1" applyBorder="1" applyAlignment="1">
      <alignment horizontal="center" vertical="center" wrapText="1" shrinkToFit="1"/>
    </xf>
    <xf numFmtId="178" fontId="141" fillId="0" borderId="1" xfId="10" applyNumberFormat="1" applyFont="1" applyFill="1" applyBorder="1" applyAlignment="1">
      <alignment horizontal="center" vertical="center" wrapText="1"/>
    </xf>
    <xf numFmtId="0" fontId="265" fillId="21" borderId="0" xfId="10" applyFont="1" applyFill="1" applyBorder="1" applyAlignment="1">
      <alignment horizontal="center" vertical="center" wrapText="1"/>
    </xf>
    <xf numFmtId="0" fontId="141" fillId="0" borderId="1" xfId="10" applyFont="1" applyFill="1" applyBorder="1" applyAlignment="1">
      <alignment horizontal="center" vertical="center" wrapText="1"/>
    </xf>
    <xf numFmtId="179" fontId="141" fillId="0" borderId="1" xfId="10" applyNumberFormat="1" applyFont="1" applyFill="1" applyBorder="1" applyAlignment="1">
      <alignment horizontal="center" vertical="center" wrapText="1"/>
    </xf>
    <xf numFmtId="0" fontId="141" fillId="0" borderId="1" xfId="10" applyFont="1" applyBorder="1" applyAlignment="1">
      <alignment horizontal="center" vertical="center" wrapText="1"/>
    </xf>
    <xf numFmtId="0" fontId="99" fillId="0" borderId="60" xfId="10" applyFont="1" applyBorder="1" applyAlignment="1">
      <alignment horizontal="center" vertical="center"/>
    </xf>
    <xf numFmtId="0" fontId="99" fillId="0" borderId="60" xfId="10" applyBorder="1" applyAlignment="1">
      <alignment horizontal="center" vertical="center"/>
    </xf>
    <xf numFmtId="58" fontId="99" fillId="0" borderId="5" xfId="10" applyNumberFormat="1" applyFont="1" applyBorder="1" applyAlignment="1">
      <alignment horizontal="center" vertical="center"/>
    </xf>
    <xf numFmtId="58" fontId="99" fillId="0" borderId="54" xfId="10" applyNumberFormat="1" applyBorder="1" applyAlignment="1">
      <alignment horizontal="center" vertical="center"/>
    </xf>
    <xf numFmtId="58" fontId="99" fillId="0" borderId="3" xfId="10" applyNumberFormat="1" applyBorder="1" applyAlignment="1">
      <alignment horizontal="center" vertical="center"/>
    </xf>
    <xf numFmtId="0" fontId="99" fillId="0" borderId="5" xfId="10" applyFont="1" applyBorder="1" applyAlignment="1">
      <alignment horizontal="center" vertical="center"/>
    </xf>
    <xf numFmtId="0" fontId="99" fillId="0" borderId="3" xfId="10" applyFont="1" applyBorder="1" applyAlignment="1">
      <alignment horizontal="center" vertical="center"/>
    </xf>
    <xf numFmtId="58" fontId="99" fillId="0" borderId="54" xfId="10" applyNumberFormat="1" applyFont="1" applyBorder="1" applyAlignment="1">
      <alignment horizontal="center" vertical="center"/>
    </xf>
    <xf numFmtId="58" fontId="99" fillId="0" borderId="3" xfId="10" applyNumberFormat="1" applyFont="1" applyBorder="1" applyAlignment="1">
      <alignment horizontal="center" vertical="center"/>
    </xf>
    <xf numFmtId="0" fontId="99" fillId="0" borderId="13" xfId="10" applyNumberFormat="1" applyFont="1" applyBorder="1" applyAlignment="1">
      <alignment horizontal="center" vertical="center"/>
    </xf>
    <xf numFmtId="0" fontId="99" fillId="0" borderId="15" xfId="10" applyNumberFormat="1" applyFont="1" applyBorder="1" applyAlignment="1">
      <alignment horizontal="center" vertical="center"/>
    </xf>
    <xf numFmtId="0" fontId="99" fillId="0" borderId="2" xfId="10" applyNumberFormat="1" applyFont="1" applyBorder="1" applyAlignment="1">
      <alignment horizontal="center" vertical="center"/>
    </xf>
    <xf numFmtId="0" fontId="99" fillId="0" borderId="54" xfId="10" applyBorder="1" applyAlignment="1">
      <alignment horizontal="center" vertical="center"/>
    </xf>
    <xf numFmtId="0" fontId="99" fillId="0" borderId="3" xfId="10" applyBorder="1" applyAlignment="1">
      <alignment horizontal="center" vertical="center"/>
    </xf>
    <xf numFmtId="0" fontId="99" fillId="0" borderId="54" xfId="10" applyFont="1" applyBorder="1" applyAlignment="1">
      <alignment horizontal="center" vertical="center"/>
    </xf>
    <xf numFmtId="0" fontId="1" fillId="0" borderId="0" xfId="51" applyAlignment="1">
      <alignment horizontal="center" vertical="center"/>
    </xf>
    <xf numFmtId="0" fontId="1" fillId="0" borderId="0" xfId="51">
      <alignment vertical="center"/>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52">
    <cellStyle name="百分比 2" xfId="14"/>
    <cellStyle name="常规" xfId="0" builtinId="0"/>
    <cellStyle name="常规 10" xfId="51"/>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3" xfId="21"/>
    <cellStyle name="常规 3 4" xfId="22"/>
    <cellStyle name="常规 3 5" xfId="23"/>
    <cellStyle name="常规 3 6" xfId="24"/>
    <cellStyle name="常规 3 7" xfId="25"/>
    <cellStyle name="常规 3 8" xfId="26"/>
    <cellStyle name="常规 3 9" xfId="27"/>
    <cellStyle name="常规 4" xfId="4"/>
    <cellStyle name="常规 4 10" xfId="28"/>
    <cellStyle name="常规 4 11" xfId="29"/>
    <cellStyle name="常规 4 12" xfId="30"/>
    <cellStyle name="常规 4 2" xfId="31"/>
    <cellStyle name="常规 4 3" xfId="32"/>
    <cellStyle name="常规 4 4" xfId="33"/>
    <cellStyle name="常规 4 5" xfId="34"/>
    <cellStyle name="常规 4 6" xfId="35"/>
    <cellStyle name="常规 4 7" xfId="36"/>
    <cellStyle name="常规 4 8" xfId="37"/>
    <cellStyle name="常规 4 9" xfId="38"/>
    <cellStyle name="常规 5" xfId="5"/>
    <cellStyle name="常规 5 10" xfId="39"/>
    <cellStyle name="常规 5 11" xfId="40"/>
    <cellStyle name="常规 5 12" xfId="41"/>
    <cellStyle name="常规 5 2" xfId="42"/>
    <cellStyle name="常规 5 3" xfId="43"/>
    <cellStyle name="常规 5 4" xfId="44"/>
    <cellStyle name="常规 5 5" xfId="45"/>
    <cellStyle name="常规 5 6" xfId="46"/>
    <cellStyle name="常规 5 7" xfId="47"/>
    <cellStyle name="常规 5 8" xfId="48"/>
    <cellStyle name="常规 5 9" xfId="49"/>
    <cellStyle name="常规 6" xfId="6"/>
    <cellStyle name="常规 6 2" xfId="9"/>
    <cellStyle name="常规 6 2 2" xfId="16"/>
    <cellStyle name="常规 6 2 3" xfId="13"/>
    <cellStyle name="常规 7" xfId="7"/>
    <cellStyle name="常规 8" xfId="11"/>
    <cellStyle name="常规 9" xfId="12"/>
    <cellStyle name="常规 9 2" xfId="5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17</xdr:col>
      <xdr:colOff>569972</xdr:colOff>
      <xdr:row>128</xdr:row>
      <xdr:rowOff>84986</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6116300"/>
          <a:ext cx="12228572" cy="5914286"/>
        </a:xfrm>
        <a:prstGeom prst="rect">
          <a:avLst/>
        </a:prstGeom>
      </xdr:spPr>
    </xdr:pic>
    <xdr:clientData/>
  </xdr:twoCellAnchor>
  <xdr:twoCellAnchor editAs="oneCell">
    <xdr:from>
      <xdr:col>10</xdr:col>
      <xdr:colOff>95250</xdr:colOff>
      <xdr:row>111</xdr:row>
      <xdr:rowOff>0</xdr:rowOff>
    </xdr:from>
    <xdr:to>
      <xdr:col>18</xdr:col>
      <xdr:colOff>446946</xdr:colOff>
      <xdr:row>125</xdr:row>
      <xdr:rowOff>37795</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6953250" y="19030950"/>
          <a:ext cx="5838096" cy="2438095"/>
        </a:xfrm>
        <a:prstGeom prst="rect">
          <a:avLst/>
        </a:prstGeom>
      </xdr:spPr>
    </xdr:pic>
    <xdr:clientData/>
  </xdr:twoCellAnchor>
  <xdr:twoCellAnchor editAs="oneCell">
    <xdr:from>
      <xdr:col>0</xdr:col>
      <xdr:colOff>0</xdr:colOff>
      <xdr:row>129</xdr:row>
      <xdr:rowOff>0</xdr:rowOff>
    </xdr:from>
    <xdr:to>
      <xdr:col>17</xdr:col>
      <xdr:colOff>446163</xdr:colOff>
      <xdr:row>163</xdr:row>
      <xdr:rowOff>123081</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0" y="22117050"/>
          <a:ext cx="12104763" cy="5952381"/>
        </a:xfrm>
        <a:prstGeom prst="rect">
          <a:avLst/>
        </a:prstGeom>
      </xdr:spPr>
    </xdr:pic>
    <xdr:clientData/>
  </xdr:twoCellAnchor>
  <xdr:twoCellAnchor editAs="oneCell">
    <xdr:from>
      <xdr:col>10</xdr:col>
      <xdr:colOff>57150</xdr:colOff>
      <xdr:row>149</xdr:row>
      <xdr:rowOff>38100</xdr:rowOff>
    </xdr:from>
    <xdr:to>
      <xdr:col>21</xdr:col>
      <xdr:colOff>75255</xdr:colOff>
      <xdr:row>159</xdr:row>
      <xdr:rowOff>56933</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4"/>
        <a:stretch>
          <a:fillRect/>
        </a:stretch>
      </xdr:blipFill>
      <xdr:spPr>
        <a:xfrm>
          <a:off x="6915150" y="25584150"/>
          <a:ext cx="7561905" cy="1733333"/>
        </a:xfrm>
        <a:prstGeom prst="rect">
          <a:avLst/>
        </a:prstGeom>
      </xdr:spPr>
    </xdr:pic>
    <xdr:clientData/>
  </xdr:twoCellAnchor>
  <xdr:twoCellAnchor editAs="oneCell">
    <xdr:from>
      <xdr:col>0</xdr:col>
      <xdr:colOff>0</xdr:colOff>
      <xdr:row>164</xdr:row>
      <xdr:rowOff>0</xdr:rowOff>
    </xdr:from>
    <xdr:to>
      <xdr:col>17</xdr:col>
      <xdr:colOff>246163</xdr:colOff>
      <xdr:row>196</xdr:row>
      <xdr:rowOff>85029</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5"/>
        <a:stretch>
          <a:fillRect/>
        </a:stretch>
      </xdr:blipFill>
      <xdr:spPr>
        <a:xfrm>
          <a:off x="0" y="28117800"/>
          <a:ext cx="11904763" cy="5571429"/>
        </a:xfrm>
        <a:prstGeom prst="rect">
          <a:avLst/>
        </a:prstGeom>
      </xdr:spPr>
    </xdr:pic>
    <xdr:clientData/>
  </xdr:twoCellAnchor>
  <xdr:twoCellAnchor editAs="oneCell">
    <xdr:from>
      <xdr:col>10</xdr:col>
      <xdr:colOff>152400</xdr:colOff>
      <xdr:row>178</xdr:row>
      <xdr:rowOff>28575</xdr:rowOff>
    </xdr:from>
    <xdr:to>
      <xdr:col>17</xdr:col>
      <xdr:colOff>94657</xdr:colOff>
      <xdr:row>190</xdr:row>
      <xdr:rowOff>161651</xdr:rowOff>
    </xdr:to>
    <xdr:pic>
      <xdr:nvPicPr>
        <xdr:cNvPr id="7" name="图片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6"/>
        <a:stretch>
          <a:fillRect/>
        </a:stretch>
      </xdr:blipFill>
      <xdr:spPr>
        <a:xfrm>
          <a:off x="7010400" y="30546675"/>
          <a:ext cx="4742857" cy="2190476"/>
        </a:xfrm>
        <a:prstGeom prst="rect">
          <a:avLst/>
        </a:prstGeom>
      </xdr:spPr>
    </xdr:pic>
    <xdr:clientData/>
  </xdr:twoCellAnchor>
  <xdr:twoCellAnchor editAs="oneCell">
    <xdr:from>
      <xdr:col>12</xdr:col>
      <xdr:colOff>542925</xdr:colOff>
      <xdr:row>159</xdr:row>
      <xdr:rowOff>57150</xdr:rowOff>
    </xdr:from>
    <xdr:to>
      <xdr:col>17</xdr:col>
      <xdr:colOff>342497</xdr:colOff>
      <xdr:row>169</xdr:row>
      <xdr:rowOff>9317</xdr:rowOff>
    </xdr:to>
    <xdr:pic>
      <xdr:nvPicPr>
        <xdr:cNvPr id="8" name="图片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7"/>
        <a:stretch>
          <a:fillRect/>
        </a:stretch>
      </xdr:blipFill>
      <xdr:spPr>
        <a:xfrm>
          <a:off x="8772525" y="27317700"/>
          <a:ext cx="3228572" cy="1666667"/>
        </a:xfrm>
        <a:prstGeom prst="rect">
          <a:avLst/>
        </a:prstGeom>
      </xdr:spPr>
    </xdr:pic>
    <xdr:clientData/>
  </xdr:twoCellAnchor>
  <xdr:twoCellAnchor editAs="oneCell">
    <xdr:from>
      <xdr:col>0</xdr:col>
      <xdr:colOff>0</xdr:colOff>
      <xdr:row>199</xdr:row>
      <xdr:rowOff>0</xdr:rowOff>
    </xdr:from>
    <xdr:to>
      <xdr:col>6</xdr:col>
      <xdr:colOff>75676</xdr:colOff>
      <xdr:row>222</xdr:row>
      <xdr:rowOff>85222</xdr:rowOff>
    </xdr:to>
    <xdr:pic>
      <xdr:nvPicPr>
        <xdr:cNvPr id="9" name="图片 8">
          <a:extLst>
            <a:ext uri="{FF2B5EF4-FFF2-40B4-BE49-F238E27FC236}">
              <a16:creationId xmlns:a16="http://schemas.microsoft.com/office/drawing/2014/main" xmlns="" id="{00000000-0008-0000-2400-000009000000}"/>
            </a:ext>
          </a:extLst>
        </xdr:cNvPr>
        <xdr:cNvPicPr>
          <a:picLocks noChangeAspect="1"/>
        </xdr:cNvPicPr>
      </xdr:nvPicPr>
      <xdr:blipFill>
        <a:blip xmlns:r="http://schemas.openxmlformats.org/officeDocument/2006/relationships" r:embed="rId8"/>
        <a:stretch>
          <a:fillRect/>
        </a:stretch>
      </xdr:blipFill>
      <xdr:spPr>
        <a:xfrm>
          <a:off x="0" y="34118550"/>
          <a:ext cx="4190476" cy="4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估价对象为北京市房地产，为所有。根据《国有土地使用证》[]，估价对象（分摊）出让国有建设用地使用权面积为4742.46平方米，建筑面积为2826.9平方米。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估价对象为北京市房地产,属开发建设的，该项目尚在开发建设中。根据《国有土地使用证》[]，估价对象（分摊）出让国有建设用地使用权面积为4742.46平方米，规划建筑面积为2826.9平方米。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2021年1月5日</v>
      </c>
    </row>
    <row r="13" spans="1:2" s="1365" customFormat="1">
      <c r="A13" s="1363" t="s">
        <v>1194</v>
      </c>
      <c r="B13" s="1364" t="str">
        <f>'预评函-1'!A18</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2826.8999999999996</v>
      </c>
    </row>
    <row r="44" spans="1:2" s="1365" customFormat="1">
      <c r="A44" s="1363" t="s">
        <v>1240</v>
      </c>
      <c r="B44" s="1364" t="str">
        <f>'预评函-3'!C2</f>
        <v>(分摊)土地面积</v>
      </c>
    </row>
    <row r="45" spans="1:2" s="1365" customFormat="1">
      <c r="A45" s="1363" t="s">
        <v>1212</v>
      </c>
      <c r="B45" s="1364">
        <f>'预评函-3'!C4</f>
        <v>4742.46</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3037</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85"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741" t="s">
        <v>832</v>
      </c>
      <c r="C54" s="1738" t="s">
        <v>1248</v>
      </c>
    </row>
    <row r="55" spans="1:4">
      <c r="A55" s="3185"/>
      <c r="B55" s="1741" t="s">
        <v>833</v>
      </c>
      <c r="C55" s="1738" t="s">
        <v>1249</v>
      </c>
    </row>
    <row r="56" spans="1:4">
      <c r="A56" s="3185"/>
      <c r="B56" s="1741" t="s">
        <v>834</v>
      </c>
      <c r="C56" s="1738" t="s">
        <v>1253</v>
      </c>
    </row>
    <row r="57" spans="1:4">
      <c r="A57" s="3185"/>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8" sqref="C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6" customWidth="1"/>
    <col min="12" max="13" width="10" style="2857"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86" t="str">
        <f>IF(B10="北京市","北京市",C10)&amp;F10&amp;IF(结果表!G1="在建","出让国有建设用地使用权及在建建筑物",IF(结果表!G1="土地","出让国有建设用地使用权",))&amp;B9&amp;"预评估"</f>
        <v>北京市房地产市场价值预评估</v>
      </c>
      <c r="C1" s="3187"/>
      <c r="D1" s="3187"/>
      <c r="E1" s="3187"/>
      <c r="F1" s="3187"/>
      <c r="G1" s="3187"/>
      <c r="H1" s="3187"/>
      <c r="I1" s="3188"/>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2914</v>
      </c>
      <c r="B2" s="2597"/>
      <c r="C2" s="2598"/>
      <c r="D2" s="2900"/>
      <c r="E2" s="2890"/>
      <c r="F2" s="2890"/>
      <c r="G2" s="2891"/>
      <c r="H2" s="2891"/>
      <c r="I2" s="2891"/>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9">
        <v>44209</v>
      </c>
      <c r="C3" s="2600" t="s">
        <v>2916</v>
      </c>
      <c r="D3" s="2599">
        <v>44201</v>
      </c>
      <c r="E3" s="2891"/>
      <c r="F3" s="2891"/>
      <c r="G3" s="2891"/>
      <c r="H3" s="2891"/>
      <c r="I3" s="2891"/>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2"/>
      <c r="F5" s="2892"/>
      <c r="G5" s="2892"/>
      <c r="H5" s="2892"/>
      <c r="I5" s="2892"/>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0"/>
      <c r="F6" s="2892"/>
      <c r="G6" s="2892"/>
      <c r="H6" s="2892"/>
      <c r="I6" s="2892"/>
      <c r="J6" s="2667"/>
      <c r="K6" s="2842" t="str">
        <f>IF(COUNTIF(B6,"*上海银行*"),"上海银行","")</f>
        <v/>
      </c>
      <c r="L6" s="2840"/>
      <c r="M6" s="2840"/>
      <c r="N6" s="2667"/>
      <c r="O6" s="2678"/>
      <c r="P6" s="2667"/>
      <c r="Q6" s="2667"/>
      <c r="R6" s="2667"/>
    </row>
    <row r="7" spans="1:28">
      <c r="A7" s="2609" t="s">
        <v>2920</v>
      </c>
      <c r="B7" s="2613"/>
      <c r="C7" s="2611"/>
      <c r="D7" s="2612"/>
      <c r="E7" s="2890"/>
      <c r="F7" s="2892"/>
      <c r="G7" s="2892"/>
      <c r="H7" s="2892"/>
      <c r="I7" s="2892"/>
      <c r="J7" s="2667"/>
      <c r="K7" s="2843"/>
      <c r="L7" s="2840"/>
      <c r="M7" s="2840"/>
      <c r="N7" s="2667"/>
      <c r="O7" s="2678"/>
      <c r="P7" s="2667"/>
      <c r="Q7" s="2667"/>
      <c r="R7" s="2667"/>
    </row>
    <row r="8" spans="1:28">
      <c r="A8" s="2614" t="s">
        <v>2921</v>
      </c>
      <c r="B8" s="2615" t="s">
        <v>3060</v>
      </c>
      <c r="C8" s="2616"/>
      <c r="D8" s="3189" t="s">
        <v>2922</v>
      </c>
      <c r="E8" s="2617"/>
      <c r="F8" s="2618"/>
      <c r="G8" s="2891"/>
      <c r="H8" s="2891"/>
      <c r="I8" s="2891"/>
      <c r="J8" s="2667"/>
      <c r="K8" s="2841"/>
      <c r="L8" s="2840"/>
      <c r="M8" s="2840"/>
      <c r="N8" s="2667"/>
      <c r="O8" s="2678"/>
      <c r="P8" s="2667"/>
      <c r="Q8" s="2667"/>
      <c r="R8" s="2667"/>
    </row>
    <row r="9" spans="1:28" ht="13.5" thickBot="1">
      <c r="A9" s="2619" t="s">
        <v>2923</v>
      </c>
      <c r="B9" s="2620" t="s">
        <v>3061</v>
      </c>
      <c r="C9" s="2621"/>
      <c r="D9" s="3190"/>
      <c r="E9" s="2620"/>
      <c r="F9" s="2622"/>
      <c r="G9" s="2893"/>
      <c r="H9" s="2893"/>
      <c r="I9" s="2893"/>
      <c r="J9" s="2667"/>
      <c r="K9" s="2843"/>
      <c r="L9" s="2840"/>
      <c r="M9" s="2840"/>
      <c r="N9" s="2667"/>
      <c r="O9" s="2678"/>
      <c r="P9" s="2667"/>
      <c r="Q9" s="2667"/>
      <c r="R9" s="2667"/>
    </row>
    <row r="10" spans="1:28" ht="13.5" thickTop="1">
      <c r="A10" s="2623" t="s">
        <v>2924</v>
      </c>
      <c r="B10" s="2624" t="s">
        <v>3062</v>
      </c>
      <c r="C10" s="2625"/>
      <c r="D10" s="2608"/>
      <c r="E10" s="2626" t="s">
        <v>2925</v>
      </c>
      <c r="F10" s="2894"/>
      <c r="G10" s="2895"/>
      <c r="H10" s="2896"/>
      <c r="I10" s="2897"/>
      <c r="J10" s="2667"/>
      <c r="K10" s="2843"/>
      <c r="L10" s="2840"/>
      <c r="M10" s="2840"/>
      <c r="N10" s="2667"/>
      <c r="O10" s="2678"/>
      <c r="P10" s="2667"/>
      <c r="Q10" s="2667"/>
      <c r="R10" s="2667"/>
    </row>
    <row r="11" spans="1:28">
      <c r="A11" s="2627" t="s">
        <v>2926</v>
      </c>
      <c r="B11" s="2628" t="s">
        <v>3063</v>
      </c>
      <c r="C11" s="2629"/>
      <c r="D11" s="2630"/>
      <c r="E11" s="2596"/>
      <c r="F11" s="2596"/>
      <c r="G11" s="2596"/>
      <c r="H11" s="2596"/>
      <c r="I11" s="2596"/>
      <c r="J11" s="2667"/>
      <c r="K11" s="2843"/>
      <c r="L11" s="2840"/>
      <c r="M11" s="2840"/>
      <c r="N11" s="2667"/>
      <c r="O11" s="2678"/>
      <c r="P11" s="2667"/>
      <c r="Q11" s="2667"/>
      <c r="R11" s="2667"/>
    </row>
    <row r="12" spans="1:28">
      <c r="A12" s="2631" t="s">
        <v>2927</v>
      </c>
      <c r="B12" s="2628" t="s">
        <v>3064</v>
      </c>
      <c r="C12" s="329" t="s">
        <v>2928</v>
      </c>
      <c r="D12" s="2632" t="s">
        <v>2929</v>
      </c>
      <c r="E12" s="2632" t="s">
        <v>2930</v>
      </c>
      <c r="F12" s="2632" t="s">
        <v>2931</v>
      </c>
      <c r="G12" s="2632" t="s">
        <v>2932</v>
      </c>
      <c r="H12" s="2632" t="s">
        <v>2933</v>
      </c>
      <c r="I12" s="2632" t="s">
        <v>2934</v>
      </c>
      <c r="J12" s="2667"/>
      <c r="K12" s="2843"/>
      <c r="L12" s="2840"/>
      <c r="M12" s="2840"/>
      <c r="N12" s="2667"/>
      <c r="O12" s="2678"/>
      <c r="P12" s="2667"/>
      <c r="Q12" s="2667"/>
      <c r="R12" s="2667"/>
    </row>
    <row r="13" spans="1:28">
      <c r="A13" s="1241"/>
      <c r="B13" s="2633"/>
      <c r="C13" s="2634" t="s">
        <v>2935</v>
      </c>
      <c r="D13" s="965"/>
      <c r="E13" s="965"/>
      <c r="F13" s="965">
        <v>58471</v>
      </c>
      <c r="G13" s="965"/>
      <c r="H13" s="965"/>
      <c r="I13" s="965"/>
      <c r="J13" s="2667"/>
      <c r="K13" s="2843"/>
      <c r="L13" s="2840"/>
      <c r="M13" s="2840"/>
      <c r="N13" s="2667"/>
      <c r="O13" s="2678"/>
      <c r="P13" s="2667"/>
      <c r="Q13" s="2667"/>
      <c r="R13" s="2667"/>
    </row>
    <row r="14" spans="1:28">
      <c r="A14" s="1241"/>
      <c r="B14" s="2633"/>
      <c r="C14" s="2634" t="s">
        <v>2936</v>
      </c>
      <c r="D14" s="2635"/>
      <c r="E14" s="2635"/>
      <c r="F14" s="2635">
        <v>50</v>
      </c>
      <c r="G14" s="2635"/>
      <c r="H14" s="2635"/>
      <c r="I14" s="2635"/>
      <c r="J14" s="2667"/>
      <c r="K14" s="2844"/>
      <c r="L14" s="2840"/>
      <c r="M14" s="2840"/>
      <c r="N14" s="2667"/>
      <c r="O14" s="2678"/>
      <c r="P14" s="2667"/>
      <c r="Q14" s="2667"/>
      <c r="R14" s="2667"/>
    </row>
    <row r="15" spans="1:28">
      <c r="A15" s="326"/>
      <c r="B15" s="2636"/>
      <c r="C15" s="2637" t="s">
        <v>2937</v>
      </c>
      <c r="D15" s="2638" t="str">
        <f>IF(B12="出让",IF(D13="","",ROUNDDOWN(MIN((D13-$D$3)/365,D14),2)),D14)</f>
        <v/>
      </c>
      <c r="E15" s="2638" t="str">
        <f>IF(B12="出让",IF(E13="","",ROUNDDOWN(MIN((E13-$D$3)/365,E14),2)),E14)</f>
        <v/>
      </c>
      <c r="F15" s="2638">
        <f>IF(B12="出让",IF(F13="","",ROUNDDOWN(MIN((F13-$D$3)/365,F14),2)),F14)</f>
        <v>39.090000000000003</v>
      </c>
      <c r="G15" s="2638" t="str">
        <f>IF(B12="出让",IF(G13="","",ROUNDDOWN(MIN((G13-$D$3)/365,G14),2)),G14)</f>
        <v/>
      </c>
      <c r="H15" s="2638" t="str">
        <f>IF(B12="出让",IF(H13="","",ROUNDDOWN(MIN((H13-$D$3)/365,H14),2)),H14)</f>
        <v/>
      </c>
      <c r="I15" s="2638" t="str">
        <f>IF(B12="出让",IF(I13="","",ROUNDDOWN(MIN((I13-$D$3)/365,I14),2)),I14)</f>
        <v/>
      </c>
      <c r="J15" s="2667"/>
      <c r="K15" s="2845"/>
      <c r="L15" s="2679"/>
      <c r="M15" s="2679"/>
      <c r="N15" s="2736"/>
      <c r="O15" s="2679"/>
      <c r="P15" s="2736"/>
      <c r="Q15" s="2667"/>
      <c r="R15" s="2667"/>
    </row>
    <row r="16" spans="1:28">
      <c r="A16" s="2626" t="s">
        <v>2938</v>
      </c>
      <c r="B16" s="3196"/>
      <c r="C16" s="3197"/>
      <c r="D16" s="3198"/>
      <c r="E16" s="2641" t="s">
        <v>2939</v>
      </c>
      <c r="F16" s="3199"/>
      <c r="G16" s="3200"/>
      <c r="H16" s="3200"/>
      <c r="I16" s="3201"/>
      <c r="J16" s="2667"/>
      <c r="K16" s="2845"/>
      <c r="L16" s="2679"/>
      <c r="M16" s="2679"/>
      <c r="N16" s="2736"/>
      <c r="O16" s="2679"/>
      <c r="P16" s="2736"/>
      <c r="Q16" s="2667"/>
      <c r="R16" s="2667"/>
    </row>
    <row r="17" spans="1:28">
      <c r="A17" s="319" t="s">
        <v>2940</v>
      </c>
      <c r="B17" s="308" t="s">
        <v>2941</v>
      </c>
      <c r="C17" s="11">
        <f>'数据-汇总表'!E3</f>
        <v>2826.8999999999996</v>
      </c>
      <c r="D17" s="2547" t="s">
        <v>2942</v>
      </c>
      <c r="E17" s="3202" t="s">
        <v>2943</v>
      </c>
      <c r="F17" s="3203"/>
      <c r="G17" s="3203"/>
      <c r="H17" s="3203"/>
      <c r="I17" s="3204"/>
      <c r="J17" s="2667"/>
      <c r="K17" s="2846"/>
      <c r="L17" s="2679"/>
      <c r="M17" s="2679"/>
      <c r="N17" s="2736"/>
      <c r="O17" s="2679"/>
      <c r="P17" s="2736"/>
      <c r="Q17" s="2667"/>
      <c r="R17" s="2667"/>
      <c r="S17" s="2667"/>
      <c r="T17" s="2667"/>
      <c r="U17" s="2667"/>
      <c r="V17" s="2667"/>
    </row>
    <row r="18" spans="1:28" ht="24.75" thickBot="1">
      <c r="A18" s="2642" t="s">
        <v>2944</v>
      </c>
      <c r="B18" s="1250" t="s">
        <v>2945</v>
      </c>
      <c r="C18" s="2643">
        <f>'数据-汇总表'!D3</f>
        <v>4742.46</v>
      </c>
      <c r="D18" s="1252" t="s">
        <v>2946</v>
      </c>
      <c r="E18" s="3205" t="s">
        <v>2947</v>
      </c>
      <c r="F18" s="3206"/>
      <c r="G18" s="3206"/>
      <c r="H18" s="3206"/>
      <c r="I18" s="3207"/>
      <c r="J18" s="2667"/>
      <c r="K18" s="2846"/>
      <c r="L18" s="2679"/>
      <c r="M18" s="2679"/>
      <c r="N18" s="2736"/>
      <c r="O18" s="2679"/>
      <c r="P18" s="2736"/>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2"/>
      <c r="I19" s="2892"/>
      <c r="J19" s="2667"/>
      <c r="K19" s="2843"/>
      <c r="L19" s="2840"/>
      <c r="M19" s="2840"/>
      <c r="N19" s="2736"/>
      <c r="O19" s="2679"/>
      <c r="P19" s="2736"/>
      <c r="Q19" s="2667"/>
      <c r="R19" s="2667"/>
      <c r="S19" s="2667"/>
      <c r="T19" s="2667"/>
      <c r="U19" s="2667"/>
      <c r="V19" s="2667"/>
    </row>
    <row r="20" spans="1:28">
      <c r="A20" s="2860" t="s">
        <v>2950</v>
      </c>
      <c r="B20" s="3192" t="s">
        <v>2951</v>
      </c>
      <c r="C20" s="3193"/>
      <c r="D20" s="3194" t="s">
        <v>2952</v>
      </c>
      <c r="E20" s="3195"/>
      <c r="F20" s="2875" t="s">
        <v>1742</v>
      </c>
      <c r="G20" s="2892"/>
      <c r="H20" s="2892"/>
      <c r="I20" s="2892"/>
      <c r="J20" s="2667"/>
      <c r="K20" s="319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0"/>
      <c r="B21" s="2861" t="s">
        <v>2954</v>
      </c>
      <c r="C21" s="2862" t="s">
        <v>1743</v>
      </c>
      <c r="D21" s="1755" t="s">
        <v>2955</v>
      </c>
      <c r="E21" s="2863" t="s">
        <v>1743</v>
      </c>
      <c r="F21" s="2876"/>
      <c r="G21" s="2892"/>
      <c r="H21" s="2892"/>
      <c r="I21" s="2892"/>
      <c r="J21" s="2667"/>
      <c r="K21" s="31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0"/>
      <c r="B22" s="2864" t="s">
        <v>2956</v>
      </c>
      <c r="C22" s="2862" t="s">
        <v>1744</v>
      </c>
      <c r="D22" s="2891"/>
      <c r="E22" s="2891"/>
      <c r="F22" s="2891"/>
      <c r="G22" s="2892"/>
      <c r="H22" s="2892"/>
      <c r="I22" s="2892"/>
      <c r="J22" s="2667"/>
      <c r="K22" s="31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5" t="s">
        <v>2957</v>
      </c>
      <c r="B23" s="2729" t="s">
        <v>2958</v>
      </c>
      <c r="C23" s="2866"/>
      <c r="D23" s="2867" t="s">
        <v>2958</v>
      </c>
      <c r="E23" s="2868"/>
      <c r="F23" s="2891"/>
      <c r="G23" s="2892"/>
      <c r="H23" s="2892"/>
      <c r="I23" s="2892"/>
      <c r="J23" s="2667"/>
      <c r="K23" s="2847"/>
      <c r="L23" s="2703"/>
      <c r="M23" s="2840"/>
      <c r="N23" s="2736"/>
      <c r="O23" s="2679"/>
      <c r="P23" s="2736"/>
      <c r="Q23" s="2667"/>
      <c r="R23" s="2667"/>
      <c r="S23" s="2667"/>
      <c r="T23" s="2667"/>
      <c r="U23" s="2667"/>
      <c r="V23" s="2667"/>
    </row>
    <row r="24" spans="1:28">
      <c r="A24" s="2865"/>
      <c r="B24" s="2729" t="s">
        <v>1745</v>
      </c>
      <c r="C24" s="2869"/>
      <c r="D24" s="2865" t="s">
        <v>1745</v>
      </c>
      <c r="E24" s="2870"/>
      <c r="F24" s="2891"/>
      <c r="G24" s="2892"/>
      <c r="H24" s="2892"/>
      <c r="I24" s="2892"/>
      <c r="J24" s="2667"/>
      <c r="K24" s="2847"/>
      <c r="L24" s="2703"/>
      <c r="M24" s="2840"/>
      <c r="N24" s="2736"/>
      <c r="O24" s="2679"/>
      <c r="P24" s="2736"/>
      <c r="Q24" s="2667"/>
      <c r="R24" s="2667"/>
      <c r="S24" s="2667"/>
      <c r="T24" s="2667"/>
      <c r="U24" s="2667"/>
      <c r="V24" s="2667"/>
    </row>
    <row r="25" spans="1:28">
      <c r="A25" s="2865"/>
      <c r="B25" s="2729" t="s">
        <v>1746</v>
      </c>
      <c r="C25" s="2869"/>
      <c r="D25" s="2865" t="s">
        <v>1746</v>
      </c>
      <c r="E25" s="2870"/>
      <c r="F25" s="2891"/>
      <c r="G25" s="2892"/>
      <c r="H25" s="2892"/>
      <c r="I25" s="2892"/>
      <c r="J25" s="2667"/>
      <c r="K25" s="2843"/>
      <c r="L25" s="2840"/>
      <c r="M25" s="2840"/>
      <c r="N25" s="2736"/>
      <c r="O25" s="2679"/>
      <c r="P25" s="2736"/>
      <c r="Q25" s="2667"/>
      <c r="R25" s="2667"/>
      <c r="S25" s="2667"/>
      <c r="T25" s="2667"/>
      <c r="U25" s="2667"/>
      <c r="V25" s="2667"/>
    </row>
    <row r="26" spans="1:28" ht="13.5" thickBot="1">
      <c r="A26" s="2871"/>
      <c r="B26" s="2872" t="s">
        <v>1747</v>
      </c>
      <c r="C26" s="2873"/>
      <c r="D26" s="2871" t="s">
        <v>1747</v>
      </c>
      <c r="E26" s="2874"/>
      <c r="F26" s="2893"/>
      <c r="G26" s="2893"/>
      <c r="H26" s="2893"/>
      <c r="I26" s="2893"/>
      <c r="J26" s="2667"/>
      <c r="K26" s="2843"/>
      <c r="L26" s="2840"/>
      <c r="M26" s="2840"/>
      <c r="N26" s="2736"/>
      <c r="O26" s="2679"/>
      <c r="P26" s="2736"/>
      <c r="Q26" s="2667"/>
      <c r="R26" s="2667"/>
      <c r="S26" s="2667"/>
      <c r="T26" s="2667"/>
      <c r="U26" s="2667"/>
      <c r="V26" s="2667"/>
    </row>
    <row r="27" spans="1:28" ht="13.5" thickTop="1">
      <c r="A27" s="3209" t="s">
        <v>2959</v>
      </c>
      <c r="B27" s="326" t="s">
        <v>2960</v>
      </c>
      <c r="C27" s="2644"/>
      <c r="D27" s="2645"/>
      <c r="E27" s="2892"/>
      <c r="F27" s="2892"/>
      <c r="G27" s="2892"/>
      <c r="H27" s="2892"/>
      <c r="I27" s="2892"/>
      <c r="J27" s="2667"/>
      <c r="K27" s="2845"/>
      <c r="L27" s="2679"/>
      <c r="M27" s="2679"/>
      <c r="N27" s="2736"/>
      <c r="O27" s="2679"/>
      <c r="P27" s="2736"/>
      <c r="Q27" s="2667"/>
      <c r="R27" s="2667"/>
      <c r="S27" s="2667"/>
      <c r="T27" s="2667"/>
      <c r="U27" s="2667"/>
      <c r="V27" s="2667"/>
    </row>
    <row r="28" spans="1:28">
      <c r="A28" s="3209"/>
      <c r="B28" s="308" t="s">
        <v>2961</v>
      </c>
      <c r="C28" s="2646"/>
      <c r="D28" s="2647"/>
      <c r="E28" s="2892"/>
      <c r="F28" s="2892"/>
      <c r="G28" s="2892"/>
      <c r="H28" s="2892"/>
      <c r="I28" s="2892"/>
      <c r="J28" s="2667"/>
      <c r="K28" s="2843"/>
      <c r="L28" s="2840"/>
      <c r="M28" s="2840"/>
      <c r="N28" s="2667"/>
      <c r="O28" s="2678"/>
      <c r="P28" s="2667"/>
      <c r="Q28" s="2667"/>
      <c r="R28" s="2667"/>
      <c r="S28" s="2667"/>
      <c r="T28" s="2667"/>
      <c r="U28" s="2667"/>
      <c r="V28" s="2667"/>
    </row>
    <row r="29" spans="1:28">
      <c r="A29" s="3209"/>
      <c r="B29" s="308" t="s">
        <v>2962</v>
      </c>
      <c r="C29" s="2648"/>
      <c r="D29" s="2649"/>
      <c r="E29" s="2892"/>
      <c r="F29" s="2892"/>
      <c r="G29" s="2892"/>
      <c r="H29" s="2892"/>
      <c r="I29" s="2892"/>
      <c r="J29" s="2667"/>
      <c r="K29" s="2843"/>
      <c r="L29" s="2840"/>
      <c r="M29" s="2840"/>
      <c r="N29" s="2667"/>
      <c r="O29" s="2678"/>
      <c r="P29" s="2667"/>
      <c r="Q29" s="2667"/>
      <c r="R29" s="2667"/>
      <c r="S29" s="2667"/>
      <c r="T29" s="2667"/>
      <c r="U29" s="2667"/>
      <c r="V29" s="2667"/>
    </row>
    <row r="30" spans="1:28">
      <c r="A30" s="3210"/>
      <c r="B30" s="308" t="s">
        <v>2963</v>
      </c>
      <c r="C30" s="3211"/>
      <c r="D30" s="3212"/>
      <c r="E30" s="2892"/>
      <c r="F30" s="2892"/>
      <c r="G30" s="2892"/>
      <c r="H30" s="2892"/>
      <c r="I30" s="2892"/>
      <c r="J30" s="2667"/>
      <c r="K30" s="2843"/>
      <c r="L30" s="2840"/>
      <c r="M30" s="2840"/>
      <c r="N30" s="2667"/>
      <c r="O30" s="2678"/>
      <c r="P30" s="2667"/>
      <c r="Q30" s="2667"/>
      <c r="R30" s="2667"/>
      <c r="S30" s="2667"/>
      <c r="T30" s="2667"/>
      <c r="U30" s="2667"/>
      <c r="V30" s="2667"/>
    </row>
    <row r="31" spans="1:28">
      <c r="A31" s="3213" t="s">
        <v>2964</v>
      </c>
      <c r="B31" s="2650"/>
      <c r="C31" s="2548" t="str">
        <f>IF(B31="现房","成新及维护状况正常否",IF(B31="在建","工程状态是否正常",IF(B31="土地","是否闲置","-")))</f>
        <v>-</v>
      </c>
      <c r="D31" s="1559"/>
      <c r="E31" s="2651"/>
      <c r="F31" s="2892"/>
      <c r="G31" s="2892"/>
      <c r="H31" s="2892"/>
      <c r="I31" s="2892"/>
      <c r="J31" s="2667"/>
      <c r="K31" s="2842"/>
      <c r="L31" s="2840"/>
      <c r="M31" s="2840"/>
      <c r="N31" s="2667"/>
      <c r="O31" s="2678"/>
      <c r="P31" s="2667"/>
      <c r="Q31" s="2667"/>
      <c r="R31" s="2667"/>
      <c r="S31" s="2667"/>
      <c r="T31" s="2667"/>
      <c r="U31" s="2667"/>
      <c r="V31" s="2667"/>
    </row>
    <row r="32" spans="1:28">
      <c r="A32" s="3214"/>
      <c r="B32" s="2650"/>
      <c r="C32" s="2548" t="str">
        <f>IF(B32="现房","成新及维护状况是否正常",IF(B32="在建","工程状态是否正常",IF(B32="土地","是否闲置","-")))</f>
        <v>-</v>
      </c>
      <c r="D32" s="1559"/>
      <c r="E32" s="2651"/>
      <c r="F32" s="2892"/>
      <c r="G32" s="2892"/>
      <c r="H32" s="2892"/>
      <c r="I32" s="2892"/>
      <c r="J32" s="2667"/>
      <c r="K32" s="2843"/>
      <c r="L32" s="2840"/>
      <c r="M32" s="2840"/>
      <c r="N32" s="2667"/>
      <c r="O32" s="2678"/>
      <c r="P32" s="2667"/>
      <c r="Q32" s="2667"/>
      <c r="R32" s="2667"/>
      <c r="S32" s="2667"/>
      <c r="T32" s="2667"/>
      <c r="U32" s="2667"/>
      <c r="V32" s="2667"/>
    </row>
    <row r="33" spans="1:30">
      <c r="A33" s="3214"/>
      <c r="B33" s="2653"/>
      <c r="C33" s="1777" t="str">
        <f>IF(B33="现房","成新及维护状况是否正常",IF(B33="在建","工程状态是否正常",IF(B33="土地","是否闲置","-")))</f>
        <v>-</v>
      </c>
      <c r="D33" s="1551"/>
      <c r="E33" s="2654"/>
      <c r="F33" s="2892"/>
      <c r="G33" s="2892"/>
      <c r="H33" s="2892"/>
      <c r="I33" s="2892"/>
      <c r="J33" s="2667"/>
      <c r="K33" s="2843"/>
      <c r="L33" s="2840"/>
      <c r="M33" s="2840"/>
      <c r="N33" s="2667"/>
      <c r="O33" s="2678"/>
      <c r="P33" s="2667"/>
      <c r="Q33" s="2667"/>
      <c r="R33" s="2667"/>
      <c r="S33" s="2667"/>
      <c r="T33" s="2667"/>
      <c r="U33" s="2667"/>
      <c r="V33" s="2667"/>
    </row>
    <row r="34" spans="1:30">
      <c r="A34" s="308" t="s">
        <v>2965</v>
      </c>
      <c r="B34" s="2216"/>
      <c r="C34" s="2216"/>
      <c r="D34" s="2216"/>
      <c r="E34" s="2216"/>
      <c r="F34" s="2216"/>
      <c r="G34" s="2216"/>
      <c r="H34" s="2216"/>
      <c r="I34" s="2892"/>
      <c r="J34" s="2667"/>
      <c r="K34" s="2655">
        <f>COUNTIF(B34:H34,"——")</f>
        <v>0</v>
      </c>
      <c r="L34" s="329" t="s">
        <v>2966</v>
      </c>
      <c r="M34" s="329" t="s">
        <v>2967</v>
      </c>
      <c r="N34" s="329" t="s">
        <v>2968</v>
      </c>
      <c r="O34" s="329" t="s">
        <v>2969</v>
      </c>
      <c r="P34" s="329" t="s">
        <v>2970</v>
      </c>
      <c r="Q34" s="329" t="s">
        <v>2971</v>
      </c>
      <c r="R34" s="329" t="s">
        <v>2972</v>
      </c>
      <c r="S34" s="3208" t="s">
        <v>2973</v>
      </c>
      <c r="T34" s="2656" t="str">
        <f>NUMBERSTRING(7-K34,1)&amp;"通"</f>
        <v>七通</v>
      </c>
      <c r="U34" s="2667"/>
      <c r="V34" s="2667"/>
    </row>
    <row r="35" spans="1:30">
      <c r="A35" s="2657"/>
      <c r="B35" s="3215" t="s">
        <v>2974</v>
      </c>
      <c r="C35" s="3215"/>
      <c r="D35" s="3215"/>
      <c r="E35" s="3215"/>
      <c r="F35" s="673">
        <f>C10</f>
        <v>0</v>
      </c>
      <c r="G35" s="2892"/>
      <c r="H35" s="2892"/>
      <c r="I35" s="2892"/>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08"/>
      <c r="T35" s="335" t="str">
        <f>IF(T34="一通",L35,IF(T34="二通",M35,IF(T34="三通",N35,IF(T34="四通",O35,IF(T34="五通",P35,IF(T34="六通",Q35,R35))))))</f>
        <v>、、、、、、</v>
      </c>
      <c r="U35" s="2667"/>
      <c r="V35" s="2667"/>
    </row>
    <row r="36" spans="1:30">
      <c r="A36" s="2658"/>
      <c r="B36" s="673" t="s">
        <v>2930</v>
      </c>
      <c r="C36" s="673" t="s">
        <v>2931</v>
      </c>
      <c r="D36" s="673" t="s">
        <v>2929</v>
      </c>
      <c r="E36" s="673" t="s">
        <v>2934</v>
      </c>
      <c r="F36" s="2898"/>
      <c r="G36" s="2892"/>
      <c r="H36" s="2892"/>
      <c r="I36" s="2892"/>
      <c r="J36" s="2667"/>
      <c r="K36" s="2843"/>
      <c r="L36" s="2840"/>
      <c r="M36" s="2840"/>
      <c r="N36" s="2667"/>
      <c r="O36" s="2678"/>
      <c r="P36" s="2667"/>
      <c r="Q36" s="2667"/>
      <c r="R36" s="2667"/>
      <c r="S36" s="2667"/>
      <c r="T36" s="2667"/>
      <c r="U36" s="2667"/>
      <c r="V36" s="2667"/>
    </row>
    <row r="37" spans="1:30">
      <c r="A37" s="2858" t="s">
        <v>2975</v>
      </c>
      <c r="B37" s="2659"/>
      <c r="C37" s="2659" t="s">
        <v>442</v>
      </c>
      <c r="D37" s="2659"/>
      <c r="E37" s="2659"/>
      <c r="F37" s="2898"/>
      <c r="G37" s="2892"/>
      <c r="H37" s="2892"/>
      <c r="I37" s="2892"/>
      <c r="J37" s="2667"/>
      <c r="K37" s="2843"/>
      <c r="L37" s="2840"/>
      <c r="M37" s="2840"/>
      <c r="N37" s="2667"/>
      <c r="O37" s="2678"/>
      <c r="P37" s="2667"/>
      <c r="Q37" s="2667"/>
      <c r="R37" s="2667"/>
      <c r="S37" s="2667"/>
      <c r="T37" s="2667"/>
      <c r="U37" s="2667"/>
      <c r="V37" s="2667"/>
    </row>
    <row r="38" spans="1:30" ht="17.25" thickBot="1">
      <c r="A38" s="2859" t="s">
        <v>2976</v>
      </c>
      <c r="B38" s="2660"/>
      <c r="C38" s="3141" t="s">
        <v>3330</v>
      </c>
      <c r="D38" s="2660"/>
      <c r="E38" s="2660"/>
      <c r="F38" s="2899"/>
      <c r="G38" s="2893"/>
      <c r="H38" s="2893"/>
      <c r="I38" s="2893"/>
      <c r="J38" s="2667"/>
      <c r="K38" s="2843"/>
      <c r="L38" s="2840"/>
      <c r="M38" s="2840"/>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6"/>
      <c r="B40" s="2596"/>
      <c r="C40" s="2596"/>
      <c r="D40" s="2596"/>
      <c r="E40" s="2596"/>
      <c r="F40" s="2596"/>
      <c r="G40" s="2596"/>
      <c r="H40" s="2596"/>
      <c r="I40" s="1765"/>
      <c r="J40" s="2736"/>
      <c r="K40" s="2842"/>
      <c r="L40" s="2679"/>
      <c r="M40" s="2679"/>
      <c r="N40" s="2736"/>
      <c r="O40" s="2679"/>
      <c r="P40" s="2667"/>
      <c r="Q40" s="2667"/>
      <c r="R40" s="2667"/>
      <c r="S40" s="2667"/>
      <c r="T40" s="2667"/>
      <c r="U40" s="2667"/>
      <c r="V40" s="2667"/>
    </row>
    <row r="41" spans="1:30">
      <c r="A41" s="2664" t="s">
        <v>2978</v>
      </c>
      <c r="B41" s="1945"/>
      <c r="C41" s="1559"/>
      <c r="D41" s="2596"/>
      <c r="E41" s="2596"/>
      <c r="F41" s="2596"/>
      <c r="G41" s="2596"/>
      <c r="H41" s="2596"/>
      <c r="I41" s="1763"/>
      <c r="J41" s="2667"/>
      <c r="K41" s="2843"/>
      <c r="L41" s="2840"/>
      <c r="M41" s="2840"/>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4742.46</v>
      </c>
      <c r="B3" s="14">
        <f>IF(C3="否",G5-AT5,G5)</f>
        <v>2826.8999999999996</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2826.8999999999996</v>
      </c>
      <c r="H5" s="16">
        <f t="shared" ref="H5:AT5" si="0">SUM(H13:H656)</f>
        <v>2826.8999999999996</v>
      </c>
      <c r="I5" s="16">
        <f t="shared" si="0"/>
        <v>2414.1999999999998</v>
      </c>
      <c r="J5" s="16">
        <f t="shared" si="0"/>
        <v>0</v>
      </c>
      <c r="K5" s="16">
        <f t="shared" si="0"/>
        <v>412.7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2826.8999999999996</v>
      </c>
      <c r="BA5" s="18">
        <f t="shared" si="1"/>
        <v>2826.8999999999996</v>
      </c>
      <c r="BB5" s="18">
        <f t="shared" si="1"/>
        <v>2414.1999999999998</v>
      </c>
      <c r="BC5" s="18">
        <f t="shared" si="1"/>
        <v>412.7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4742.46</v>
      </c>
      <c r="F6" s="16" t="s">
        <v>1</v>
      </c>
      <c r="G6" s="16" t="s">
        <v>2</v>
      </c>
      <c r="H6" s="20">
        <f>SUMIF(I$12:AB$12,"总值",I6:AB6)</f>
        <v>4742.46</v>
      </c>
      <c r="I6" s="16">
        <f t="shared" ref="I6:AB6" si="2">ROUND($A$3*I5/$B$3,2)</f>
        <v>4050.11</v>
      </c>
      <c r="J6" s="16">
        <f t="shared" si="2"/>
        <v>0</v>
      </c>
      <c r="K6" s="16">
        <f t="shared" si="2"/>
        <v>692.35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4742.46</v>
      </c>
      <c r="AZ6" s="16" t="s">
        <v>3</v>
      </c>
      <c r="BA6" s="16">
        <f>ROUND($AY$6*BA5/$AZ$5,2)</f>
        <v>4742.46</v>
      </c>
      <c r="BB6" s="16">
        <f>ROUND($AY$6*BB5/$AZ$5,2)</f>
        <v>4050.11</v>
      </c>
      <c r="BC6" s="16">
        <f t="shared" ref="BC6:BH6" si="4">ROUND($AY$6*BC5/$AZ$5,2)</f>
        <v>692.35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3066</v>
      </c>
      <c r="J9" s="918"/>
      <c r="K9" s="1790" t="s">
        <v>3070</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27</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3067</v>
      </c>
      <c r="J11" s="1802"/>
      <c r="K11" s="1801" t="s">
        <v>3067</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办公</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t="str">
        <f>K11</f>
        <v>办公楼</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38.25">
      <c r="A13" s="1182" t="s">
        <v>3065</v>
      </c>
      <c r="B13" s="1182"/>
      <c r="C13" s="1182"/>
      <c r="D13" s="1812" t="s">
        <v>3068</v>
      </c>
      <c r="E13" s="16">
        <f>IF($C$3="是",ROUND($A$3*G13/$B$3,2),ROUND($A$3*(G13-AT13)/$B$3,2))</f>
        <v>4154.12</v>
      </c>
      <c r="F13" s="32"/>
      <c r="G13" s="33">
        <f>H13+AC13+AT13</f>
        <v>2476.1999999999998</v>
      </c>
      <c r="H13" s="20">
        <f>SUMIF(I$12:AB$12,"总值",I13:AB13)</f>
        <v>2476.1999999999998</v>
      </c>
      <c r="I13" s="1813">
        <f>2476.2-K13</f>
        <v>2063.5</v>
      </c>
      <c r="J13" s="1813"/>
      <c r="K13" s="1813">
        <f>2476.2/6</f>
        <v>412.7</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t="str">
        <f t="shared" ref="AV13:AX17" si="6">A13</f>
        <v>X京房权证海字第284883号</v>
      </c>
      <c r="AW13" s="11">
        <f t="shared" si="6"/>
        <v>0</v>
      </c>
      <c r="AX13" s="11">
        <f t="shared" si="6"/>
        <v>0</v>
      </c>
      <c r="AY13" s="1535">
        <f>ROUND($AY$6*AZ13/$AZ$5,2)</f>
        <v>4154.12</v>
      </c>
      <c r="AZ13" s="16">
        <f>BA13+BL13</f>
        <v>2476.1999999999998</v>
      </c>
      <c r="BA13" s="16">
        <f>SUM(BB13:BK13)</f>
        <v>2476.1999999999998</v>
      </c>
      <c r="BB13" s="16">
        <f>IF($D13="是",I13-J13,0)</f>
        <v>2063.5</v>
      </c>
      <c r="BC13" s="16">
        <f>IF($D13="是",K13-L13,0)</f>
        <v>412.7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38.25">
      <c r="A14" s="1182" t="s">
        <v>3069</v>
      </c>
      <c r="B14" s="1182"/>
      <c r="C14" s="1757"/>
      <c r="D14" s="1812" t="s">
        <v>3068</v>
      </c>
      <c r="E14" s="16">
        <f>IF($C$3="是",ROUND($A$3*G14/$B$3,2),ROUND($A$3*(G14-AT14)/$B$3,2))</f>
        <v>588.34</v>
      </c>
      <c r="F14" s="32"/>
      <c r="G14" s="33">
        <f>H14+AC14+AT14</f>
        <v>350.7</v>
      </c>
      <c r="H14" s="20">
        <f>SUMIF(I$12:AB$12,"总值",I14:AB14)</f>
        <v>350.7</v>
      </c>
      <c r="I14" s="1813">
        <v>350.7</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t="str">
        <f t="shared" si="6"/>
        <v>X京房权证海字第284311号</v>
      </c>
      <c r="AW14" s="11">
        <f t="shared" si="6"/>
        <v>0</v>
      </c>
      <c r="AX14" s="11">
        <f t="shared" si="6"/>
        <v>0</v>
      </c>
      <c r="AY14" s="1535">
        <f>ROUND($AY$6*AZ14/$AZ$5,2)</f>
        <v>588.34</v>
      </c>
      <c r="AZ14" s="16">
        <f>BA14+BL14</f>
        <v>350.7</v>
      </c>
      <c r="BA14" s="16">
        <f>SUM(BB14:BK14)</f>
        <v>350.7</v>
      </c>
      <c r="BB14" s="16">
        <f>IF($D14="是",I14-J14,0)</f>
        <v>350.7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5" zoomScale="70" zoomScaleNormal="100" zoomScaleSheetLayoutView="70" workbookViewId="0">
      <selection activeCell="I17" sqref="I17"/>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227" t="s">
        <v>1816</v>
      </c>
      <c r="B2" s="3227"/>
      <c r="C2" s="3227"/>
      <c r="D2" s="904" t="s">
        <v>1793</v>
      </c>
      <c r="E2" s="1826" t="s">
        <v>1794</v>
      </c>
      <c r="F2" s="2887"/>
      <c r="G2" s="2878"/>
      <c r="H2" s="2879"/>
      <c r="I2" s="2550" t="s">
        <v>1817</v>
      </c>
      <c r="J2" s="2887"/>
      <c r="K2" s="2887"/>
      <c r="L2" s="2887"/>
      <c r="M2" s="2887"/>
      <c r="N2" s="2889"/>
      <c r="O2" s="2887"/>
      <c r="P2" s="2887"/>
    </row>
    <row r="3" spans="1:16" ht="15.75" thickBot="1">
      <c r="A3" s="3228" t="s">
        <v>1791</v>
      </c>
      <c r="B3" s="3228"/>
      <c r="C3" s="3228"/>
      <c r="D3" s="46">
        <f>'数据-基础表'!AY6</f>
        <v>4742.46</v>
      </c>
      <c r="E3" s="46">
        <f>'数据-基础表'!AZ5</f>
        <v>2826.8999999999996</v>
      </c>
      <c r="F3" s="2887"/>
      <c r="G3" s="1307"/>
      <c r="H3" s="1157" t="s">
        <v>1792</v>
      </c>
      <c r="I3" s="964">
        <f>ROUND('数据-基础表'!B3/'数据-基础表'!A3,2)</f>
        <v>0.6</v>
      </c>
      <c r="J3" s="2887"/>
      <c r="K3" s="2887"/>
      <c r="L3" s="2887"/>
      <c r="M3" s="2887"/>
      <c r="N3" s="2889"/>
      <c r="O3" s="2887"/>
      <c r="P3" s="2887"/>
    </row>
    <row r="4" spans="1:16" ht="15">
      <c r="A4" s="3229"/>
      <c r="B4" s="3230"/>
      <c r="C4" s="3231"/>
      <c r="D4" s="1828" t="s">
        <v>1793</v>
      </c>
      <c r="E4" s="1829" t="s">
        <v>1794</v>
      </c>
      <c r="F4" s="2887"/>
      <c r="G4" s="2880" t="s">
        <v>1818</v>
      </c>
      <c r="H4" s="1157" t="s">
        <v>1799</v>
      </c>
      <c r="I4" s="964">
        <f>ROUND(SUMIF('数据-基础表'!I9:AS9,"地上",'数据-基础表'!I5:AS5)/'数据-基础表'!A3,2)</f>
        <v>0.51</v>
      </c>
      <c r="J4" s="2887"/>
      <c r="K4" s="2887"/>
      <c r="L4" s="2887"/>
      <c r="M4" s="2887"/>
      <c r="N4" s="2889"/>
      <c r="O4" s="2887"/>
      <c r="P4" s="2887"/>
    </row>
    <row r="5" spans="1:16">
      <c r="A5" s="47" t="s">
        <v>1795</v>
      </c>
      <c r="B5" s="3232" t="s">
        <v>1796</v>
      </c>
      <c r="C5" s="3232"/>
      <c r="D5" s="48">
        <f>ROUND($D$3*E5/$E$3,2)</f>
        <v>0</v>
      </c>
      <c r="E5" s="49">
        <f>SUMIF('数据-基础表'!$11:$11,"住宅",'数据-基础表'!$5:$5)</f>
        <v>0</v>
      </c>
      <c r="F5" s="2887"/>
      <c r="G5" s="1307"/>
      <c r="H5" s="1157" t="s">
        <v>1792</v>
      </c>
      <c r="I5" s="964">
        <f>ROUND(E31/D31,2)</f>
        <v>0.6</v>
      </c>
      <c r="J5" s="2887"/>
      <c r="K5" s="2887"/>
      <c r="L5" s="2887"/>
      <c r="M5" s="2887"/>
      <c r="N5" s="2887"/>
      <c r="O5" s="2887"/>
      <c r="P5" s="2887"/>
    </row>
    <row r="6" spans="1:16" ht="15" thickBot="1">
      <c r="A6" s="1831"/>
      <c r="B6" s="3232" t="s">
        <v>1797</v>
      </c>
      <c r="C6" s="3232"/>
      <c r="D6" s="48">
        <f>ROUND($D$3*E6/$E$3,2)</f>
        <v>4742.46</v>
      </c>
      <c r="E6" s="49">
        <f>E3-E5</f>
        <v>2826.8999999999996</v>
      </c>
      <c r="F6" s="2887"/>
      <c r="G6" s="2881" t="s">
        <v>1798</v>
      </c>
      <c r="H6" s="1308" t="s">
        <v>1799</v>
      </c>
      <c r="I6" s="2882">
        <f>ROUND(F31/D31,2)</f>
        <v>0.51</v>
      </c>
      <c r="J6" s="2887"/>
      <c r="K6" s="2887"/>
      <c r="L6" s="2887"/>
      <c r="M6" s="2887"/>
      <c r="N6" s="2887"/>
      <c r="O6" s="2887"/>
      <c r="P6" s="2887"/>
    </row>
    <row r="7" spans="1:16" ht="15.75" thickBot="1">
      <c r="A7" s="3224"/>
      <c r="B7" s="3225"/>
      <c r="C7" s="3226"/>
      <c r="D7" s="1828" t="s">
        <v>1793</v>
      </c>
      <c r="E7" s="1832" t="s">
        <v>1800</v>
      </c>
      <c r="F7" s="2887"/>
      <c r="G7" s="2883" t="s">
        <v>1801</v>
      </c>
      <c r="H7" s="2884"/>
      <c r="I7" s="2885">
        <v>2.5</v>
      </c>
      <c r="J7" s="2887"/>
      <c r="K7" s="2887"/>
      <c r="L7" s="2887"/>
      <c r="M7" s="2887"/>
      <c r="N7" s="2887"/>
      <c r="O7" s="2887"/>
      <c r="P7" s="2887"/>
    </row>
    <row r="8" spans="1:16">
      <c r="A8" s="47" t="s">
        <v>1802</v>
      </c>
      <c r="B8" s="50" t="s">
        <v>1803</v>
      </c>
      <c r="C8" s="48" t="s">
        <v>1804</v>
      </c>
      <c r="D8" s="48">
        <f t="shared" ref="D8:D15" si="0">ROUND($D$3*E8/$E$3,2)</f>
        <v>4050.11</v>
      </c>
      <c r="E8" s="51">
        <f>SUMIF('数据-基础表'!BB10:BK10,"地上",'数据-基础表'!BB5:BK5)</f>
        <v>2414.1999999999998</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1813</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692.35</v>
      </c>
      <c r="E11" s="51">
        <f>SUMPRODUCT(('数据-基础表'!BB10:BK10="地下")*('数据-基础表'!BB11:BK11="办公")*('数据-基础表'!BB5:BK5))+'数据-基础表'!BP5</f>
        <v>412.7</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1819</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1814</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1809</v>
      </c>
      <c r="D16" s="50">
        <f>SUM(D8:D15)</f>
        <v>4742.46</v>
      </c>
      <c r="E16" s="53">
        <f>SUM(E8:E15)</f>
        <v>2826.8999999999996</v>
      </c>
      <c r="F16" s="2887"/>
      <c r="G16" s="2888"/>
      <c r="H16" s="1835" t="s">
        <v>1820</v>
      </c>
      <c r="I16" s="1836"/>
      <c r="J16" s="1301"/>
      <c r="K16" s="3221" t="s">
        <v>1820</v>
      </c>
      <c r="L16" s="3222"/>
      <c r="M16" s="3222"/>
      <c r="N16" s="3222"/>
      <c r="O16" s="3222"/>
      <c r="P16" s="3223"/>
    </row>
    <row r="17" spans="1:19" ht="15">
      <c r="A17" s="1837" t="s">
        <v>1821</v>
      </c>
      <c r="B17" s="1838" t="s">
        <v>1822</v>
      </c>
      <c r="C17" s="1839" t="s">
        <v>1823</v>
      </c>
      <c r="D17" s="1840" t="s">
        <v>1811</v>
      </c>
      <c r="E17" s="1841" t="s">
        <v>1812</v>
      </c>
      <c r="F17" s="1842"/>
      <c r="G17" s="1843"/>
      <c r="H17" s="1844" t="s">
        <v>1824</v>
      </c>
      <c r="I17" s="1845" t="s">
        <v>3329</v>
      </c>
      <c r="J17" s="1301"/>
      <c r="K17" s="3218" t="s">
        <v>1825</v>
      </c>
      <c r="L17" s="3219"/>
      <c r="M17" s="3220"/>
      <c r="N17" s="3218" t="s">
        <v>1826</v>
      </c>
      <c r="O17" s="3219"/>
      <c r="P17" s="3220"/>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122" t="s">
        <v>3321</v>
      </c>
      <c r="D19" s="48">
        <f>ROUND($D$3*E19/$E$3,2)</f>
        <v>4154.12</v>
      </c>
      <c r="E19" s="56">
        <f t="shared" ref="E19:E26" si="1">SUM(F19:G19)</f>
        <v>2476.1999999999998</v>
      </c>
      <c r="F19" s="3027">
        <f>'数据-基础表'!I13</f>
        <v>2063.5</v>
      </c>
      <c r="G19" s="3028">
        <f>'数据-基础表'!K13</f>
        <v>412.7</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4154.12</v>
      </c>
      <c r="S19" s="1158">
        <f t="shared" si="5"/>
        <v>2476.1999999999998</v>
      </c>
    </row>
    <row r="20" spans="1:19">
      <c r="A20" s="1858"/>
      <c r="B20" s="50" t="s">
        <v>1838</v>
      </c>
      <c r="C20" s="1855" t="s">
        <v>3322</v>
      </c>
      <c r="D20" s="48">
        <f t="shared" ref="D20:D26" si="6">ROUND($D$3*E20/$E$3,2)</f>
        <v>588.34</v>
      </c>
      <c r="E20" s="56">
        <f t="shared" si="1"/>
        <v>350.7</v>
      </c>
      <c r="F20" s="3027">
        <f>'数据-基础表'!I14</f>
        <v>350.7</v>
      </c>
      <c r="G20" s="3028"/>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588.34</v>
      </c>
      <c r="S20" s="1158">
        <f t="shared" si="5"/>
        <v>350.7</v>
      </c>
    </row>
    <row r="21" spans="1:19">
      <c r="A21" s="1858"/>
      <c r="B21" s="50" t="s">
        <v>1838</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4742.46</v>
      </c>
      <c r="E27" s="1303">
        <f>IF(SUM(E19:E26)='数据-基础表'!BA5,SUM(E19:E26),IF(F27="地上面积有误","面积有误","地下面积有误"))</f>
        <v>2826.8999999999996</v>
      </c>
      <c r="F27" s="1302">
        <f>IF(SUM(F19:F26)=E8,SUM(F19:F26),"地上面积有误")</f>
        <v>2414.1999999999998</v>
      </c>
      <c r="G27" s="1304">
        <f>SUM(G19:G26)</f>
        <v>412.7</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4742.46</v>
      </c>
      <c r="S27" s="1157">
        <f>IF(SUM(S19:S26)=$E$3,SUM(S19:S26),SUM(S19:S26)&amp;"误差"&amp;ROUND(SUM(S19:S26)-E3,2))</f>
        <v>2826.8999999999996</v>
      </c>
    </row>
    <row r="28" spans="1:19">
      <c r="A28" s="1858"/>
      <c r="B28" s="50" t="s">
        <v>1840</v>
      </c>
      <c r="C28" s="1169" t="s">
        <v>1841</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8"/>
      <c r="B29" s="50" t="s">
        <v>1840</v>
      </c>
      <c r="C29" s="1862" t="s">
        <v>1842</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8"/>
      <c r="B30" s="50"/>
      <c r="C30" s="1863" t="s">
        <v>1839</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4"/>
      <c r="B31" s="1865"/>
      <c r="C31" s="944" t="s">
        <v>1843</v>
      </c>
      <c r="D31" s="685">
        <f>D27+D30</f>
        <v>4742.46</v>
      </c>
      <c r="E31" s="685">
        <f>E27+E30</f>
        <v>2826.8999999999996</v>
      </c>
      <c r="F31" s="686">
        <f>F27+F30</f>
        <v>2414.1999999999998</v>
      </c>
      <c r="G31" s="687">
        <f>G27+G30</f>
        <v>412.7</v>
      </c>
      <c r="H31" s="2887"/>
      <c r="I31" s="2887"/>
      <c r="J31" s="2887"/>
      <c r="K31" s="2887"/>
      <c r="L31" s="2887"/>
      <c r="M31" s="2887"/>
      <c r="N31" s="2887"/>
      <c r="O31" s="2887"/>
      <c r="P31" s="2887"/>
    </row>
    <row r="32" spans="1:19">
      <c r="A32" s="1830"/>
      <c r="B32" s="1830" t="s">
        <v>1844</v>
      </c>
      <c r="C32" s="1830"/>
      <c r="D32" s="1830"/>
      <c r="E32" s="1184">
        <f>SUMIF(C19:C26,"*住宅*",E19:E26)</f>
        <v>0</v>
      </c>
      <c r="F32" s="1830"/>
      <c r="G32" s="1830"/>
      <c r="H32" s="2887"/>
      <c r="I32" s="2887"/>
      <c r="J32" s="2887"/>
      <c r="K32" s="2887"/>
      <c r="L32" s="2887"/>
      <c r="M32" s="2887"/>
      <c r="N32" s="2887"/>
      <c r="O32" s="2887"/>
      <c r="P32" s="2887"/>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I15"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1846</v>
      </c>
      <c r="B2" s="1176">
        <f>项目基本情况!D3</f>
        <v>44201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6" t="str">
        <f>'数据-汇总表'!I17</f>
        <v>自定义</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3220</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办公-楼房</v>
      </c>
      <c r="B6" s="1901" t="str">
        <f>IF(A6=0,"","经营性")</f>
        <v>经营性</v>
      </c>
      <c r="C6" s="1902" t="s">
        <v>27</v>
      </c>
      <c r="D6" s="967">
        <f>SUMIF(项目基本情况!D$12:I$12,C6,项目基本情况!D$14:I$14)</f>
        <v>50</v>
      </c>
      <c r="E6" s="966">
        <f>IF(B6="","",SUMIF(项目基本情况!D$12:I$12,C6,项目基本情况!D$13:I$13))</f>
        <v>58471</v>
      </c>
      <c r="F6" s="68">
        <f>SUMIF(项目基本情况!D$12:I$12,C6,项目基本情况!D$15:I$15)</f>
        <v>39.090000000000003</v>
      </c>
      <c r="G6" s="69">
        <f>IF(ISERROR(ROUND(POWER(1+H6,D6-F6)*(POWER(1+H6,F6)-1)/(POWER(1+H6,D6)-1),3)),0,ROUND(POWER(1+H6,D6-F6)*(POWER(1+H6,F6)-1)/(POWER(1+H6,D6)-1),3))</f>
        <v>0</v>
      </c>
      <c r="H6" s="741"/>
      <c r="I6" s="741">
        <v>0.05</v>
      </c>
      <c r="J6" s="70"/>
      <c r="K6" s="1161">
        <f>SUMIF('数据-汇总表'!C$19:C$33,A6,'数据-汇总表'!E$19:E$33)</f>
        <v>2476.1999999999998</v>
      </c>
      <c r="L6" s="742">
        <f>1720+800</f>
        <v>2520</v>
      </c>
      <c r="M6" s="71">
        <f t="shared" ref="M6:M14" si="0">ROUND(K6*L6/10000,0)</f>
        <v>624</v>
      </c>
      <c r="N6" s="740">
        <v>0.65</v>
      </c>
      <c r="O6" s="71" t="str">
        <f>IF($N$5="成新度","——",ROUND(M6*N6,0))</f>
        <v>——</v>
      </c>
      <c r="P6" s="72" t="str">
        <f>IF($N$5="成新度","——",M6-O6)</f>
        <v>——</v>
      </c>
      <c r="Q6" s="743">
        <v>0.2</v>
      </c>
      <c r="R6" s="73">
        <f ca="1">SUMIF('数据-汇总表'!C$19:C$33,A6,'数据-汇总表'!R$19:R$27)</f>
        <v>4154.12</v>
      </c>
      <c r="S6" s="54">
        <f>IF('数据-汇总表'!$I$17="按面积比例",SUMIF('数据-汇总表'!C$19:C$33,A6,'数据-汇总表'!K$19:K$33),SUMIF('数据-汇总表'!C$19:C$33,A6,'数据-汇总表'!N$19:N$33))</f>
        <v>0</v>
      </c>
      <c r="T6" s="1334">
        <f>ROUND($L$14*S6/10000,0)</f>
        <v>0</v>
      </c>
      <c r="U6" s="74"/>
      <c r="V6" s="75">
        <v>3.5000000000000003E-2</v>
      </c>
      <c r="W6" s="75">
        <v>0.15</v>
      </c>
      <c r="X6" s="1171"/>
      <c r="Y6" s="76"/>
      <c r="Z6" s="77"/>
      <c r="AA6" s="70"/>
      <c r="AB6" s="70"/>
      <c r="AC6" s="1171"/>
      <c r="AD6" s="78"/>
      <c r="AE6" s="1172">
        <f ca="1">IF(AN6="",0,SUMIF(INDIRECT("'"&amp;AN6&amp;"'"&amp;"!E:E"),$AE$5,INDIRECT("'"&amp;AN6&amp;"'"&amp;"!F:F")))</f>
        <v>0</v>
      </c>
      <c r="AF6" s="1534"/>
      <c r="AG6" s="143">
        <f>IF(AF6="",0,AE6-AF6)</f>
        <v>0</v>
      </c>
      <c r="AH6" s="79"/>
      <c r="AI6" s="81"/>
      <c r="AJ6" s="82"/>
      <c r="AK6" s="83">
        <v>1.4999999999999999E-2</v>
      </c>
      <c r="AL6" s="84">
        <v>1.5E-3</v>
      </c>
      <c r="AM6" s="85">
        <v>0.01</v>
      </c>
      <c r="AN6" s="1903"/>
      <c r="AO6" s="55" t="e">
        <f ca="1">SUMIF(INDIRECT("'"&amp;AN6&amp;"'"&amp;"!A:A"),"总价",INDIRECT("'"&amp;AN6&amp;"'"&amp;"!B:B"))</f>
        <v>#REF!</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办公-平房</v>
      </c>
      <c r="B7" s="1901" t="str">
        <f t="shared" ref="B7:B13" si="1">IF(A7=0,"","经营性")</f>
        <v>经营性</v>
      </c>
      <c r="C7" s="1902" t="s">
        <v>27</v>
      </c>
      <c r="D7" s="967">
        <f>SUMIF(项目基本情况!D$12:I$12,C7,项目基本情况!D$14:I$14)</f>
        <v>50</v>
      </c>
      <c r="E7" s="966">
        <f>IF(B7="","",SUMIF(项目基本情况!D$12:I$12,C7,项目基本情况!D$13:I$13))</f>
        <v>58471</v>
      </c>
      <c r="F7" s="68">
        <f>SUMIF(项目基本情况!D$12:I$12,C7,项目基本情况!D$15:I$15)</f>
        <v>39.090000000000003</v>
      </c>
      <c r="G7" s="69">
        <f t="shared" ref="G7:G11" si="2">IF(ISERROR(ROUND(POWER(1+H7,D7-F7)*(POWER(1+H7,F7)-1)/(POWER(1+H7,D7)-1),3)),0,ROUND(POWER(1+H7,D7-F7)*(POWER(1+H7,F7)-1)/(POWER(1+H7,D7)-1),3))</f>
        <v>0</v>
      </c>
      <c r="H7" s="741"/>
      <c r="I7" s="741">
        <f>I6</f>
        <v>0.05</v>
      </c>
      <c r="J7" s="70"/>
      <c r="K7" s="1161">
        <f>SUMIF('数据-汇总表'!C$19:C$33,A7,'数据-汇总表'!E$19:E$33)</f>
        <v>350.7</v>
      </c>
      <c r="L7" s="742">
        <f>1000+800</f>
        <v>1800</v>
      </c>
      <c r="M7" s="71">
        <f t="shared" si="0"/>
        <v>63</v>
      </c>
      <c r="N7" s="740">
        <f>N6</f>
        <v>0.65</v>
      </c>
      <c r="O7" s="71" t="str">
        <f t="shared" ref="O7:O14" si="3">IF($N$5="成新度","——",ROUND(M7*N7,0))</f>
        <v>——</v>
      </c>
      <c r="P7" s="72" t="str">
        <f t="shared" ref="P7:P14" si="4">IF($N$5="成新度","——",M7-O7)</f>
        <v>——</v>
      </c>
      <c r="Q7" s="743">
        <f>Q6</f>
        <v>0.2</v>
      </c>
      <c r="R7" s="73">
        <f ca="1">SUMIF('数据-汇总表'!C$19:C$33,A7,'数据-汇总表'!R$19:R$27)</f>
        <v>588.34</v>
      </c>
      <c r="S7" s="54">
        <f>IF('数据-汇总表'!$I$17="按面积比例",SUMIF('数据-汇总表'!C$19:C$33,A7,'数据-汇总表'!K$19:K$33),SUMIF('数据-汇总表'!C$19:C$33,A7,'数据-汇总表'!N$19:N$33))</f>
        <v>0</v>
      </c>
      <c r="T7" s="1334">
        <f t="shared" ref="T7:T13" si="5">ROUND($L$14*S7/10000,0)</f>
        <v>0</v>
      </c>
      <c r="U7" s="74"/>
      <c r="V7" s="75">
        <f>V6</f>
        <v>3.5000000000000003E-2</v>
      </c>
      <c r="W7" s="75">
        <f>W6</f>
        <v>0.15</v>
      </c>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f>AK6</f>
        <v>1.4999999999999999E-2</v>
      </c>
      <c r="AL7" s="84">
        <f>AL6</f>
        <v>1.5E-3</v>
      </c>
      <c r="AM7" s="85">
        <f>AM6</f>
        <v>0.01</v>
      </c>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t="e">
        <f>ROUND(SUMPRODUCT(G6:G13,K6:K13)/SUMPRODUCT((G6:G13&gt;0)*(K6:K13)),3)</f>
        <v>#DIV/0!</v>
      </c>
      <c r="H16" s="95" t="e">
        <f>ROUND(SUMPRODUCT(H6:H13,K6:K13)/SUMPRODUCT((H6:H13&gt;0)*(K6:K13)),3)</f>
        <v>#DIV/0!</v>
      </c>
      <c r="I16" s="96"/>
      <c r="J16" s="96"/>
      <c r="K16" s="97">
        <f>SUM(K6:K15)</f>
        <v>2826.8999999999996</v>
      </c>
      <c r="L16" s="98">
        <f>ROUND(M16*10000/SUM(K6:K14),0)</f>
        <v>2430</v>
      </c>
      <c r="M16" s="98">
        <f>SUM(M6:M14)</f>
        <v>687</v>
      </c>
      <c r="N16" s="99">
        <f>ROUND(SUMPRODUCT(M6:M14,N6:N14)/M16,3)</f>
        <v>0.65</v>
      </c>
      <c r="O16" s="98">
        <f>SUM(O6:O14)</f>
        <v>0</v>
      </c>
      <c r="P16" s="98">
        <f>SUM(P6:P14)</f>
        <v>0</v>
      </c>
      <c r="Q16" s="100">
        <f>ROUND(SUMPRODUCT(Q6:Q13,K6:K13)/SUMPRODUCT((Q6:Q13&gt;0)*(K6:K13)),2)</f>
        <v>0.2</v>
      </c>
      <c r="R16" s="1165">
        <f ca="1">SUM(R6:R13)</f>
        <v>4742.46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1895</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1896</v>
      </c>
      <c r="B19" s="108">
        <v>0</v>
      </c>
      <c r="C19" s="3031" t="s">
        <v>3050</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1" t="s">
        <v>1897</v>
      </c>
      <c r="B20" s="109">
        <v>1.5</v>
      </c>
      <c r="C20" s="3032" t="s">
        <v>3048</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2" t="s">
        <v>1898</v>
      </c>
      <c r="B21" s="109">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1899</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1900</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1901</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1902</v>
      </c>
      <c r="B26" s="1914" t="s">
        <v>1903</v>
      </c>
      <c r="C26" s="2907" t="s">
        <v>1904</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1905</v>
      </c>
      <c r="B27" s="112">
        <v>160</v>
      </c>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300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300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5" t="s">
        <v>3040</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1915</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1916</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1917</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1918</v>
      </c>
      <c r="B40" s="1210">
        <f ca="1">存贷款利率!G1</f>
        <v>4.7500000000000001E-2</v>
      </c>
      <c r="C40" s="3035" t="s">
        <v>3044</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1922</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1923</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1924</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1925</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1926</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1927</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1930</v>
      </c>
      <c r="B52" s="129">
        <f>SUMIF(A54:A63,B53,B54:B63)</f>
        <v>0</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1931</v>
      </c>
      <c r="B53" s="1926"/>
      <c r="C53" s="2889" t="s">
        <v>1932</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4"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74"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4"/>
  </cols>
  <sheetData>
    <row r="1" spans="1:29" s="2685" customFormat="1" ht="18.75" thickBot="1">
      <c r="A1" s="3233" t="s">
        <v>3030</v>
      </c>
      <c r="B1" s="3234"/>
      <c r="C1" s="3234"/>
      <c r="D1" s="3234"/>
      <c r="E1" s="3234"/>
      <c r="F1" s="3234"/>
      <c r="G1" s="3234"/>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3025</v>
      </c>
      <c r="D2" s="2689"/>
      <c r="E2" s="2686"/>
      <c r="F2" s="2690"/>
      <c r="G2" s="2688" t="s">
        <v>3026</v>
      </c>
      <c r="H2" s="907"/>
      <c r="I2" s="907"/>
      <c r="J2" s="907"/>
      <c r="K2" s="907"/>
      <c r="L2" s="907"/>
      <c r="M2" s="907"/>
      <c r="N2" s="907"/>
      <c r="O2" s="907"/>
      <c r="P2" s="907"/>
      <c r="Q2" s="907"/>
      <c r="R2" s="907"/>
    </row>
    <row r="3" spans="1:29" ht="48">
      <c r="A3" s="2669" t="s">
        <v>3027</v>
      </c>
      <c r="B3" s="2691" t="s">
        <v>2997</v>
      </c>
      <c r="C3" s="2692" t="s">
        <v>3028</v>
      </c>
      <c r="D3" s="2693"/>
      <c r="E3" s="2670" t="s">
        <v>3027</v>
      </c>
      <c r="F3" s="2694" t="s">
        <v>2998</v>
      </c>
      <c r="G3" s="2695" t="s">
        <v>3029</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3142"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3128" t="s">
        <v>3267</v>
      </c>
      <c r="D7" s="2699"/>
      <c r="E7" s="2700"/>
      <c r="F7" s="2701" t="s">
        <v>3010</v>
      </c>
      <c r="G7" s="2702" t="s">
        <v>3011</v>
      </c>
      <c r="H7" s="907"/>
      <c r="I7" s="907"/>
      <c r="J7" s="907"/>
      <c r="K7" s="907"/>
      <c r="L7" s="907"/>
      <c r="M7" s="907"/>
      <c r="N7" s="907"/>
      <c r="O7" s="907"/>
      <c r="P7" s="907"/>
      <c r="Q7" s="907"/>
      <c r="R7" s="907"/>
    </row>
    <row r="8" spans="1:29">
      <c r="A8" s="2670"/>
      <c r="B8" s="329" t="s">
        <v>3008</v>
      </c>
      <c r="C8" s="3128" t="s">
        <v>3269</v>
      </c>
      <c r="D8" s="2699"/>
      <c r="E8" s="2699"/>
      <c r="F8" s="2703"/>
      <c r="G8" s="2703"/>
      <c r="H8" s="907"/>
      <c r="I8" s="907"/>
      <c r="J8" s="907"/>
      <c r="K8" s="907"/>
      <c r="L8" s="907"/>
      <c r="M8" s="907"/>
      <c r="N8" s="907"/>
      <c r="O8" s="907"/>
      <c r="P8" s="907"/>
      <c r="Q8" s="907"/>
      <c r="R8" s="907"/>
    </row>
    <row r="9" spans="1:29" ht="24">
      <c r="A9" s="2670"/>
      <c r="B9" s="329" t="s">
        <v>3012</v>
      </c>
      <c r="C9" s="3130" t="s">
        <v>3271</v>
      </c>
      <c r="D9" s="2693"/>
      <c r="E9" s="2699"/>
      <c r="F9" s="2703"/>
      <c r="G9" s="2703"/>
      <c r="H9" s="907"/>
      <c r="I9" s="907"/>
      <c r="J9" s="907"/>
      <c r="K9" s="907"/>
      <c r="L9" s="907"/>
      <c r="M9" s="907"/>
      <c r="N9" s="907"/>
      <c r="O9" s="907"/>
      <c r="P9" s="907"/>
      <c r="Q9" s="907"/>
      <c r="R9" s="907"/>
    </row>
    <row r="10" spans="1:29" s="2708" customFormat="1" ht="15" thickBot="1">
      <c r="A10" s="2671"/>
      <c r="B10" s="2704" t="s">
        <v>3013</v>
      </c>
      <c r="C10" s="3129" t="s">
        <v>3270</v>
      </c>
      <c r="D10" s="2693"/>
      <c r="E10" s="2693"/>
      <c r="F10" s="2703"/>
      <c r="G10" s="2703"/>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9"/>
      <c r="C11" s="2693"/>
      <c r="D11" s="2693"/>
      <c r="E11" s="2693"/>
      <c r="F11" s="2699"/>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5" customFormat="1" ht="18">
      <c r="A12" s="2709"/>
      <c r="B12" s="2699"/>
      <c r="C12" s="2693"/>
      <c r="D12" s="2711"/>
      <c r="E12" s="2693"/>
      <c r="F12" s="2699"/>
      <c r="G12" s="2710"/>
      <c r="H12" s="2712"/>
      <c r="I12" s="2713"/>
      <c r="J12" s="2712"/>
      <c r="K12" s="2712"/>
      <c r="L12" s="2714"/>
      <c r="M12" s="2712"/>
      <c r="N12" s="2715"/>
      <c r="O12" s="2716"/>
      <c r="P12" s="2715"/>
      <c r="Q12" s="2715"/>
      <c r="R12" s="2683"/>
      <c r="S12" s="2684"/>
      <c r="T12" s="2684"/>
      <c r="U12" s="2684"/>
      <c r="V12" s="2684"/>
      <c r="W12" s="2684"/>
      <c r="X12" s="2684"/>
      <c r="Y12" s="2684"/>
      <c r="Z12" s="2684"/>
      <c r="AA12" s="2684"/>
      <c r="AB12" s="2684"/>
      <c r="AC12" s="2684"/>
    </row>
    <row r="13" spans="1:29" ht="15.75" thickBot="1">
      <c r="A13" s="2717" t="s">
        <v>3031</v>
      </c>
      <c r="B13" s="2711"/>
      <c r="C13" s="2711"/>
      <c r="D13" s="2709"/>
      <c r="E13" s="2711"/>
      <c r="F13" s="2711"/>
      <c r="G13" s="2711"/>
    </row>
    <row r="14" spans="1:29" ht="15" thickBot="1">
      <c r="A14" s="2721"/>
      <c r="B14" s="2721"/>
      <c r="C14" s="2722" t="s">
        <v>3014</v>
      </c>
      <c r="D14" s="2693"/>
      <c r="E14" s="2723"/>
      <c r="F14" s="2723"/>
      <c r="G14" s="2688" t="s">
        <v>3015</v>
      </c>
    </row>
    <row r="15" spans="1:29" ht="51">
      <c r="A15" s="2672" t="s">
        <v>3016</v>
      </c>
      <c r="B15" s="2724" t="s">
        <v>2997</v>
      </c>
      <c r="C15" s="2725" t="str">
        <f>C3</f>
        <v>估价对象周边居住用地比例、居住小区规模和社区发展完善程度，综合评价居住社区成熟度一般</v>
      </c>
      <c r="D15" s="2693"/>
      <c r="E15" s="2673" t="s">
        <v>3017</v>
      </c>
      <c r="F15" s="2724" t="s">
        <v>3018</v>
      </c>
      <c r="G15" s="2726" t="str">
        <f>G3</f>
        <v>估价对象位于XX开发区，园区建设成熟度XX，产业集聚程度XX</v>
      </c>
    </row>
    <row r="16" spans="1:29" ht="38.25">
      <c r="A16" s="2674"/>
      <c r="B16" s="2727" t="s">
        <v>2999</v>
      </c>
      <c r="C16" s="2728" t="str">
        <f>C4</f>
        <v>估价对象位于XX商圈，周边商业氛围成熟，人流量大，商业繁华度好</v>
      </c>
      <c r="D16" s="2693"/>
      <c r="E16" s="2675"/>
      <c r="F16" s="2729" t="s">
        <v>3001</v>
      </c>
      <c r="G16" s="2730" t="str">
        <f>G4</f>
        <v>估价对象周边道路状况、公共交通通达情况、停车便捷程度，综合评价交通便捷度较好</v>
      </c>
    </row>
    <row r="17" spans="1:18" ht="38.25">
      <c r="A17" s="2674"/>
      <c r="B17" s="2727" t="s">
        <v>3003</v>
      </c>
      <c r="C17" s="2728" t="str">
        <f>C5</f>
        <v>估价对象位于XX商圈，周边办公楼项目较多，入驻率高，办公集聚程度较好</v>
      </c>
      <c r="D17" s="2699"/>
      <c r="E17" s="2675"/>
      <c r="F17" s="2729" t="s">
        <v>3019</v>
      </c>
      <c r="G17" s="2731"/>
    </row>
    <row r="18" spans="1:18" ht="38.25">
      <c r="A18" s="2674"/>
      <c r="B18" s="2729" t="s">
        <v>3007</v>
      </c>
      <c r="C18" s="2730" t="str">
        <f>C6</f>
        <v>估价对象周边道路状况、公共交通通达情况、停车便捷程度，综合评价交通便捷度较好</v>
      </c>
      <c r="D18" s="2699"/>
      <c r="E18" s="2675"/>
      <c r="F18" s="2729" t="s">
        <v>3010</v>
      </c>
      <c r="G18" s="2730" t="str">
        <f>G7</f>
        <v>该园区内是否有污染型企业，绿化情况，卫生条件，整体环境状况判断</v>
      </c>
    </row>
    <row r="19" spans="1:18" ht="25.5">
      <c r="A19" s="2674"/>
      <c r="B19" s="2729" t="s">
        <v>3020</v>
      </c>
      <c r="C19" s="2731"/>
      <c r="D19" s="2693"/>
      <c r="E19" s="2675"/>
      <c r="F19" s="329" t="s">
        <v>3005</v>
      </c>
      <c r="G19" s="2730" t="str">
        <f>G5</f>
        <v>估价对象所在区域公共配套设施齐备情况</v>
      </c>
    </row>
    <row r="20" spans="1:18" ht="25.5">
      <c r="A20" s="2674"/>
      <c r="B20" s="2729" t="s">
        <v>3021</v>
      </c>
      <c r="C20" s="2728" t="str">
        <f>C9</f>
        <v>区域自然环境：；人文环境；综合评价环境状况较好</v>
      </c>
      <c r="D20" s="2699"/>
      <c r="E20" s="2675"/>
      <c r="F20" s="329" t="s">
        <v>3008</v>
      </c>
      <c r="G20" s="2730" t="str">
        <f>G6</f>
        <v>估价对象所在区域基础设施水平</v>
      </c>
    </row>
    <row r="21" spans="1:18" ht="25.5">
      <c r="A21" s="2674"/>
      <c r="B21" s="329" t="s">
        <v>3005</v>
      </c>
      <c r="C21" s="2730" t="str">
        <f>C7</f>
        <v>估价对象所在区域公共配套设施齐备</v>
      </c>
      <c r="D21" s="2693"/>
      <c r="E21" s="2675"/>
      <c r="F21" s="2729" t="s">
        <v>3022</v>
      </c>
      <c r="G21" s="2732"/>
    </row>
    <row r="22" spans="1:18" ht="13.5" customHeight="1">
      <c r="A22" s="2674"/>
      <c r="B22" s="329" t="s">
        <v>3008</v>
      </c>
      <c r="C22" s="2730" t="str">
        <f>C8</f>
        <v>七通</v>
      </c>
      <c r="D22" s="2693"/>
      <c r="E22" s="2675"/>
      <c r="F22" s="2729" t="s">
        <v>3013</v>
      </c>
      <c r="G22" s="2731"/>
    </row>
    <row r="23" spans="1:18" s="907" customFormat="1" ht="15" thickBot="1">
      <c r="A23" s="2674"/>
      <c r="B23" s="2729" t="s">
        <v>3022</v>
      </c>
      <c r="C23" s="2732"/>
      <c r="D23" s="1929"/>
      <c r="E23" s="2676"/>
      <c r="F23" s="2733" t="s">
        <v>3023</v>
      </c>
      <c r="G23" s="2734"/>
      <c r="H23" s="2718"/>
      <c r="I23" s="2719"/>
      <c r="J23" s="2718"/>
      <c r="K23" s="2718"/>
      <c r="L23" s="2719"/>
      <c r="M23" s="2718"/>
      <c r="N23" s="2718"/>
      <c r="O23" s="2719"/>
      <c r="P23" s="2718"/>
      <c r="Q23" s="2718"/>
      <c r="R23" s="2720"/>
    </row>
    <row r="24" spans="1:18" s="907" customFormat="1" ht="15" thickBot="1">
      <c r="A24" s="2677"/>
      <c r="B24" s="2733" t="s">
        <v>3024</v>
      </c>
      <c r="C24" s="2735" t="str">
        <f>C10</f>
        <v>城市次干道——新街口外大街</v>
      </c>
      <c r="D24" s="1929"/>
      <c r="E24" s="2667"/>
      <c r="F24" s="2667"/>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F14" sqref="F14"/>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2826.8999999999996</v>
      </c>
      <c r="C1" s="2916"/>
      <c r="D1" s="2916"/>
      <c r="E1" s="2916"/>
      <c r="F1" s="2916"/>
      <c r="G1" s="2917"/>
      <c r="H1" s="2918"/>
      <c r="I1" s="2918"/>
      <c r="J1" s="2918"/>
      <c r="K1" s="2918"/>
    </row>
    <row r="2" spans="1:11" ht="16.5">
      <c r="A2" s="2739" t="s">
        <v>1319</v>
      </c>
      <c r="B2" s="2739">
        <f>SUM(C14:C23)</f>
        <v>4742.46</v>
      </c>
      <c r="C2" s="2916"/>
      <c r="D2" s="2916"/>
      <c r="E2" s="2916"/>
      <c r="F2" s="2916"/>
      <c r="G2" s="2917"/>
      <c r="H2" s="2918"/>
      <c r="I2" s="2918"/>
      <c r="J2" s="2918"/>
      <c r="K2" s="2918"/>
    </row>
    <row r="3" spans="1:11" ht="16.5">
      <c r="A3" s="2739" t="s">
        <v>1328</v>
      </c>
      <c r="B3" s="2741">
        <f>项目基本情况!D3</f>
        <v>44201</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9543</v>
      </c>
      <c r="C5" s="2739">
        <f ca="1">ROUND(B5*10000/$B$1,0)</f>
        <v>33758</v>
      </c>
      <c r="D5" s="2739">
        <f ca="1">ROUND(B5*10000/$B$2,0)</f>
        <v>20122</v>
      </c>
      <c r="E5" s="2916"/>
      <c r="F5" s="2917"/>
      <c r="G5" s="2917"/>
      <c r="H5" s="2918"/>
      <c r="I5" s="2918"/>
      <c r="J5" s="2918"/>
      <c r="K5" s="2918"/>
    </row>
    <row r="6" spans="1:11" ht="16.5">
      <c r="A6" s="2739" t="s">
        <v>1322</v>
      </c>
      <c r="B6" s="2739">
        <v>9600</v>
      </c>
      <c r="C6" s="2739">
        <v>33959</v>
      </c>
      <c r="D6" s="2739">
        <v>20243</v>
      </c>
      <c r="E6" s="2916"/>
      <c r="F6" s="2917"/>
      <c r="G6" s="2917"/>
      <c r="H6" s="2918"/>
      <c r="I6" s="2918"/>
      <c r="J6" s="2918"/>
      <c r="K6" s="2918"/>
    </row>
    <row r="7" spans="1:11" ht="16.5">
      <c r="A7" s="2739" t="s">
        <v>1330</v>
      </c>
      <c r="B7" s="2739">
        <v>9600</v>
      </c>
      <c r="C7" s="2739">
        <v>33959</v>
      </c>
      <c r="D7" s="2739">
        <v>20243</v>
      </c>
      <c r="E7" s="2916"/>
      <c r="F7" s="2917"/>
      <c r="G7" s="2917"/>
      <c r="H7" s="2918"/>
      <c r="I7" s="2918"/>
      <c r="J7" s="2918"/>
      <c r="K7" s="2918"/>
    </row>
    <row r="8" spans="1:11" ht="16.5">
      <c r="A8" s="2739" t="s">
        <v>1252</v>
      </c>
      <c r="B8" s="2739">
        <v>9600</v>
      </c>
      <c r="C8" s="2739">
        <v>33959</v>
      </c>
      <c r="D8" s="2739">
        <v>20243</v>
      </c>
      <c r="E8" s="2916"/>
      <c r="F8" s="2917"/>
      <c r="G8" s="2917"/>
      <c r="H8" s="2918"/>
      <c r="I8" s="2918"/>
      <c r="J8" s="2918"/>
      <c r="K8" s="2918"/>
    </row>
    <row r="9" spans="1:11" ht="16.5">
      <c r="A9" s="2739" t="s">
        <v>1321</v>
      </c>
      <c r="B9" s="2747">
        <v>9600</v>
      </c>
      <c r="C9" s="2916">
        <v>33959</v>
      </c>
      <c r="D9" s="2916">
        <v>20243</v>
      </c>
      <c r="E9" s="2916"/>
      <c r="F9" s="2917"/>
      <c r="G9" s="2917"/>
      <c r="H9" s="2918"/>
      <c r="I9" s="2918"/>
      <c r="J9" s="2918"/>
      <c r="K9" s="2918"/>
    </row>
    <row r="10" spans="1:11" ht="16.5">
      <c r="A10" s="2739" t="s">
        <v>1320</v>
      </c>
      <c r="B10" s="2747">
        <v>9600</v>
      </c>
      <c r="C10" s="2916">
        <v>33959</v>
      </c>
      <c r="D10" s="2916">
        <v>20243</v>
      </c>
      <c r="E10" s="2916"/>
      <c r="F10" s="2917"/>
      <c r="G10" s="2917"/>
      <c r="H10" s="2918"/>
      <c r="I10" s="2918"/>
      <c r="J10" s="2918"/>
      <c r="K10" s="2918"/>
    </row>
    <row r="11" spans="1:11" ht="16.5">
      <c r="A11" s="2739" t="s">
        <v>1336</v>
      </c>
      <c r="B11" s="2747">
        <v>9600</v>
      </c>
      <c r="C11" s="2916">
        <v>33959</v>
      </c>
      <c r="D11" s="2916">
        <v>20243</v>
      </c>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2826.8999999999996</v>
      </c>
      <c r="C14" s="2745">
        <f>结果表!C118</f>
        <v>4742.46</v>
      </c>
      <c r="D14" s="2745">
        <f ca="1">成本法!B2</f>
        <v>9543</v>
      </c>
      <c r="E14" s="2745">
        <f ca="1">ROUND(D14*10000/B14,0)</f>
        <v>33758</v>
      </c>
      <c r="F14" s="2745">
        <f ca="1">ROUND(D14*10000/C14,0)</f>
        <v>20122</v>
      </c>
      <c r="G14" s="2745" t="e">
        <f ca="1">结果表!D122</f>
        <v>#REF!</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119" sqref="A119:C1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t="s">
        <v>27</v>
      </c>
      <c r="D1" s="1935"/>
      <c r="E1" s="1935"/>
      <c r="F1" s="1937" t="s">
        <v>1949</v>
      </c>
      <c r="G1" s="1748"/>
      <c r="H1" s="1938" t="str">
        <f>IF(G1="现房","——","估价对象范围")</f>
        <v>估价对象范围</v>
      </c>
      <c r="I1" s="1939"/>
    </row>
    <row r="2" spans="1:12" ht="21.75" customHeight="1" thickBot="1">
      <c r="A2" s="3305" t="str">
        <f>项目基本情况!S2</f>
        <v>北京市房地产</v>
      </c>
      <c r="B2" s="3306"/>
      <c r="C2" s="3306"/>
      <c r="D2" s="3306"/>
      <c r="E2" s="3306"/>
      <c r="F2" s="3306"/>
      <c r="G2" s="3306"/>
      <c r="H2" s="3306"/>
      <c r="I2" s="3307"/>
    </row>
    <row r="3" spans="1:12" ht="12.75">
      <c r="A3" s="3309" t="s">
        <v>1950</v>
      </c>
      <c r="B3" s="3310"/>
      <c r="C3" s="3310"/>
      <c r="D3" s="3310"/>
      <c r="E3" s="3310"/>
      <c r="F3" s="3310"/>
      <c r="G3" s="3310"/>
      <c r="H3" s="3310"/>
      <c r="I3" s="3310"/>
    </row>
    <row r="4" spans="1:12" ht="14.25">
      <c r="A4" s="1942" t="s">
        <v>1951</v>
      </c>
      <c r="B4" s="1943" t="s">
        <v>1952</v>
      </c>
      <c r="C4" s="1944" t="s">
        <v>3311</v>
      </c>
      <c r="D4" s="1944" t="s">
        <v>3311</v>
      </c>
      <c r="E4" s="3314" t="s">
        <v>1953</v>
      </c>
      <c r="F4" s="3315"/>
      <c r="G4" s="3315"/>
      <c r="H4" s="3315"/>
      <c r="I4" s="331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50" t="s">
        <v>1954</v>
      </c>
      <c r="B5" s="3308">
        <v>25</v>
      </c>
      <c r="C5" s="3311">
        <v>5</v>
      </c>
      <c r="D5" s="3299">
        <v>5</v>
      </c>
      <c r="E5" s="136" t="s">
        <v>1955</v>
      </c>
      <c r="F5" s="1945"/>
      <c r="G5" s="1945"/>
      <c r="H5" s="1945"/>
      <c r="I5" s="1559"/>
    </row>
    <row r="6" spans="1:12" ht="12.75">
      <c r="A6" s="3250"/>
      <c r="B6" s="3308"/>
      <c r="C6" s="3313"/>
      <c r="D6" s="3299"/>
      <c r="E6" s="136" t="s">
        <v>1956</v>
      </c>
      <c r="F6" s="1945"/>
      <c r="G6" s="1945"/>
      <c r="H6" s="1945"/>
      <c r="I6" s="1559"/>
    </row>
    <row r="7" spans="1:12" ht="12.75">
      <c r="A7" s="3250"/>
      <c r="B7" s="3308"/>
      <c r="C7" s="3312"/>
      <c r="D7" s="3299"/>
      <c r="E7" s="136" t="s">
        <v>1957</v>
      </c>
      <c r="F7" s="1945"/>
      <c r="G7" s="1945"/>
      <c r="H7" s="1945"/>
      <c r="I7" s="1559"/>
    </row>
    <row r="8" spans="1:12" ht="12.75">
      <c r="A8" s="3250" t="s">
        <v>1958</v>
      </c>
      <c r="B8" s="3308">
        <v>15</v>
      </c>
      <c r="C8" s="3311"/>
      <c r="D8" s="3299"/>
      <c r="E8" s="136" t="s">
        <v>1959</v>
      </c>
      <c r="F8" s="1945"/>
      <c r="G8" s="1945"/>
      <c r="H8" s="1945"/>
      <c r="I8" s="1559"/>
    </row>
    <row r="9" spans="1:12" ht="12.75">
      <c r="A9" s="3250"/>
      <c r="B9" s="3308"/>
      <c r="C9" s="3312"/>
      <c r="D9" s="3299"/>
      <c r="E9" s="136" t="s">
        <v>1960</v>
      </c>
      <c r="F9" s="1945"/>
      <c r="G9" s="1945"/>
      <c r="H9" s="1945"/>
      <c r="I9" s="1559"/>
    </row>
    <row r="10" spans="1:12" ht="12.75">
      <c r="A10" s="3250" t="s">
        <v>1961</v>
      </c>
      <c r="B10" s="3308">
        <v>15</v>
      </c>
      <c r="C10" s="3311"/>
      <c r="D10" s="3299"/>
      <c r="E10" s="136" t="s">
        <v>1962</v>
      </c>
      <c r="F10" s="1945"/>
      <c r="G10" s="1945"/>
      <c r="H10" s="1945"/>
      <c r="I10" s="1559"/>
    </row>
    <row r="11" spans="1:12" ht="12.75">
      <c r="A11" s="3250"/>
      <c r="B11" s="3308"/>
      <c r="C11" s="3312"/>
      <c r="D11" s="3299"/>
      <c r="E11" s="136" t="s">
        <v>1963</v>
      </c>
      <c r="F11" s="1945"/>
      <c r="G11" s="1945"/>
      <c r="H11" s="1945"/>
      <c r="I11" s="1559"/>
    </row>
    <row r="12" spans="1:12" ht="12.75">
      <c r="A12" s="3250" t="s">
        <v>1964</v>
      </c>
      <c r="B12" s="3308">
        <v>15</v>
      </c>
      <c r="C12" s="3311"/>
      <c r="D12" s="3299"/>
      <c r="E12" s="136" t="s">
        <v>1965</v>
      </c>
      <c r="F12" s="1945"/>
      <c r="G12" s="1945"/>
      <c r="H12" s="1945"/>
      <c r="I12" s="1559"/>
    </row>
    <row r="13" spans="1:12" ht="12.75">
      <c r="A13" s="3250"/>
      <c r="B13" s="3308"/>
      <c r="C13" s="3312"/>
      <c r="D13" s="3299"/>
      <c r="E13" s="136" t="s">
        <v>1966</v>
      </c>
      <c r="F13" s="1945"/>
      <c r="G13" s="1945"/>
      <c r="H13" s="1945"/>
      <c r="I13" s="1559"/>
    </row>
    <row r="14" spans="1:12" ht="12.75">
      <c r="A14" s="3250" t="s">
        <v>1967</v>
      </c>
      <c r="B14" s="3308">
        <v>30</v>
      </c>
      <c r="C14" s="3311"/>
      <c r="D14" s="3299"/>
      <c r="E14" s="136" t="s">
        <v>1968</v>
      </c>
      <c r="F14" s="1945"/>
      <c r="G14" s="1945"/>
      <c r="H14" s="1945"/>
      <c r="I14" s="1559"/>
    </row>
    <row r="15" spans="1:12" ht="12.75">
      <c r="A15" s="3250"/>
      <c r="B15" s="3308"/>
      <c r="C15" s="3313"/>
      <c r="D15" s="3299"/>
      <c r="E15" s="136" t="s">
        <v>1969</v>
      </c>
      <c r="F15" s="1945"/>
      <c r="G15" s="1945"/>
      <c r="H15" s="1945"/>
      <c r="I15" s="1559"/>
    </row>
    <row r="16" spans="1:12" ht="12.75">
      <c r="A16" s="3250"/>
      <c r="B16" s="3308"/>
      <c r="C16" s="3312"/>
      <c r="D16" s="3299"/>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330" t="s">
        <v>2872</v>
      </c>
      <c r="F18" s="3331"/>
      <c r="G18" s="3331"/>
      <c r="H18" s="3331"/>
      <c r="I18" s="3331"/>
      <c r="K18" s="308" t="s">
        <v>1975</v>
      </c>
      <c r="L18" s="308">
        <f>'数据-汇总表'!E3</f>
        <v>2826.8999999999996</v>
      </c>
      <c r="M18" s="308">
        <f>IF(C1="",'数据-汇总表'!E3,SUMIF(项目类型,C1,'数据-汇总表'!E17:E26))</f>
        <v>0</v>
      </c>
    </row>
    <row r="19" spans="1:36" ht="15">
      <c r="A19" s="1949" t="s">
        <v>1976</v>
      </c>
      <c r="B19" s="1950" t="s">
        <v>1977</v>
      </c>
      <c r="C19" s="139">
        <f ca="1">SUMIF(INDIRECT("'"&amp;C4&amp;"'"&amp;"!A:A"),结果表!B19,INDIRECT("'"&amp;C4&amp;"'"&amp;"!B:B"))</f>
        <v>0</v>
      </c>
      <c r="D19" s="140">
        <f ca="1">SUMIF(INDIRECT("'"&amp;D4&amp;"'"&amp;"!A:A"),结果表!B19,INDIRECT("'"&amp;D4&amp;"'"&amp;"!B:B"))</f>
        <v>0</v>
      </c>
      <c r="E19" s="1949" t="s">
        <v>1978</v>
      </c>
      <c r="F19" s="1950" t="s">
        <v>1977</v>
      </c>
      <c r="G19" s="141">
        <f ca="1">ROUND(C19*$C$18+D19*$D$18,0)</f>
        <v>0</v>
      </c>
      <c r="H19" s="1951" t="s">
        <v>1979</v>
      </c>
      <c r="I19" s="134"/>
      <c r="K19" s="308" t="s">
        <v>1980</v>
      </c>
      <c r="L19" s="308">
        <f>'数据-汇总表'!D3</f>
        <v>4742.46</v>
      </c>
      <c r="M19" s="308">
        <f>IF(C1="",'数据-汇总表'!D3,SUMIF(项目类型,C1,'数据-汇总表'!D17:D26))</f>
        <v>0</v>
      </c>
    </row>
    <row r="20" spans="1:36" ht="15">
      <c r="A20" s="1952"/>
      <c r="B20" s="1157" t="s">
        <v>1981</v>
      </c>
      <c r="C20" s="142">
        <f ca="1">SUMIF(INDIRECT("'"&amp;C4&amp;"'"&amp;"!A:A"),结果表!B20,INDIRECT("'"&amp;C4&amp;"'"&amp;"!B:B"))</f>
        <v>5.8</v>
      </c>
      <c r="D20" s="143">
        <f ca="1">SUMIF(INDIRECT("'"&amp;D4&amp;"'"&amp;"!A:A"),结果表!B20,INDIRECT("'"&amp;D4&amp;"'"&amp;"!B:B"))</f>
        <v>5.8</v>
      </c>
      <c r="E20" s="1952"/>
      <c r="F20" s="1157" t="s">
        <v>1981</v>
      </c>
      <c r="G20" s="144">
        <f ca="1">ROUND(C20*$C$18+D20*$D$18,0)</f>
        <v>6</v>
      </c>
      <c r="H20" s="917" t="s">
        <v>1982</v>
      </c>
      <c r="I20" s="134"/>
    </row>
    <row r="21" spans="1:36" ht="15" customHeight="1" thickBot="1">
      <c r="A21" s="937"/>
      <c r="B21" s="1953" t="s">
        <v>1983</v>
      </c>
      <c r="C21" s="728">
        <f ca="1">ROUND(C19*10000/L19,0)</f>
        <v>0</v>
      </c>
      <c r="D21" s="729">
        <f ca="1">ROUND(D19*10000/L19,0)</f>
        <v>0</v>
      </c>
      <c r="E21" s="937"/>
      <c r="F21" s="1953" t="s">
        <v>1983</v>
      </c>
      <c r="G21" s="145">
        <f ca="1">ROUND(G19*10000/L19,0)</f>
        <v>0</v>
      </c>
      <c r="H21" s="1954" t="s">
        <v>1982</v>
      </c>
      <c r="I21" s="134"/>
    </row>
    <row r="22" spans="1:36" ht="15" thickBot="1">
      <c r="A22" s="1876" t="s">
        <v>1984</v>
      </c>
      <c r="B22" s="1955"/>
      <c r="C22" s="1956"/>
      <c r="D22" s="730" t="e">
        <f ca="1">IF(C19&lt;D19,D19/C19-1,C19/D19-1)</f>
        <v>#DIV/0!</v>
      </c>
      <c r="E22" s="134"/>
      <c r="F22" s="134"/>
      <c r="G22" s="134"/>
      <c r="H22" s="134"/>
      <c r="I22" s="134"/>
    </row>
    <row r="23" spans="1:36" ht="13.5" thickBot="1">
      <c r="A23" s="1935"/>
      <c r="B23" s="1935"/>
      <c r="C23" s="1935"/>
      <c r="D23" s="1935"/>
      <c r="E23" s="134"/>
      <c r="F23" s="134"/>
      <c r="G23" s="134"/>
      <c r="H23" s="134"/>
      <c r="I23" s="134"/>
    </row>
    <row r="24" spans="1:36" ht="14.25">
      <c r="A24" s="3323" t="s">
        <v>1985</v>
      </c>
      <c r="B24" s="1950" t="s">
        <v>1977</v>
      </c>
      <c r="C24" s="141">
        <f>IF(B30=0,0,D30)</f>
        <v>0</v>
      </c>
      <c r="D24" s="1957"/>
      <c r="E24" s="134"/>
      <c r="F24" s="134"/>
      <c r="G24" s="134"/>
      <c r="H24" s="134"/>
      <c r="I24" s="134"/>
    </row>
    <row r="25" spans="1:36" ht="14.25">
      <c r="A25" s="3324"/>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9"/>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6</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300" t="s">
        <v>1998</v>
      </c>
      <c r="B36" s="1975" t="s">
        <v>1999</v>
      </c>
      <c r="C36" s="150"/>
      <c r="D36" s="1976"/>
      <c r="E36" s="1977"/>
      <c r="F36" s="1978"/>
      <c r="G36" s="134"/>
      <c r="H36" s="134"/>
      <c r="I36" s="134"/>
    </row>
    <row r="37" spans="1:15" ht="15.75" thickBot="1">
      <c r="A37" s="3301"/>
      <c r="B37" s="1862" t="s">
        <v>2000</v>
      </c>
      <c r="C37" s="152"/>
      <c r="D37" s="1301"/>
      <c r="E37" s="1301"/>
      <c r="F37" s="1978"/>
      <c r="G37" s="134"/>
      <c r="H37" s="134"/>
      <c r="I37" s="134"/>
    </row>
    <row r="38" spans="1:15" ht="15.75" thickBot="1">
      <c r="A38" s="3302"/>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320" t="s">
        <v>2012</v>
      </c>
      <c r="B45" s="3321"/>
      <c r="C45" s="3322"/>
      <c r="D45" s="160" t="e">
        <f ca="1">ROUND(H101*F45,0)</f>
        <v>#REF!</v>
      </c>
      <c r="E45" s="161" t="s">
        <v>2013</v>
      </c>
      <c r="F45" s="162">
        <v>1</v>
      </c>
      <c r="G45" s="163" t="s">
        <v>2014</v>
      </c>
      <c r="H45" s="134"/>
      <c r="I45" s="134"/>
      <c r="J45" s="3237" t="s">
        <v>2015</v>
      </c>
      <c r="K45" s="3237"/>
      <c r="L45" s="3237"/>
      <c r="M45" s="3237"/>
      <c r="N45" s="3237"/>
      <c r="O45" s="3237"/>
    </row>
    <row r="46" spans="1:15" ht="14.25" customHeight="1">
      <c r="A46" s="3317" t="s">
        <v>2016</v>
      </c>
      <c r="B46" s="3318"/>
      <c r="C46" s="3318"/>
      <c r="D46" s="3318"/>
      <c r="E46" s="3318"/>
      <c r="F46" s="3318"/>
      <c r="G46" s="3319"/>
      <c r="H46" s="1994"/>
      <c r="I46" s="164"/>
      <c r="J46" s="2750">
        <v>1</v>
      </c>
      <c r="K46" s="3238" t="s">
        <v>2017</v>
      </c>
      <c r="L46" s="3238"/>
      <c r="M46" s="3239"/>
      <c r="N46" s="3239"/>
      <c r="O46" s="3239"/>
    </row>
    <row r="47" spans="1:15" ht="12" customHeight="1">
      <c r="A47" s="165" t="s">
        <v>2018</v>
      </c>
      <c r="B47" s="166"/>
      <c r="C47" s="167"/>
      <c r="D47" s="1247" t="s">
        <v>2019</v>
      </c>
      <c r="E47" s="308" t="s">
        <v>2020</v>
      </c>
      <c r="F47" s="168" t="s">
        <v>2021</v>
      </c>
      <c r="G47" s="2773" t="s">
        <v>2022</v>
      </c>
      <c r="H47" s="2774"/>
      <c r="I47" s="164"/>
      <c r="J47" s="2750">
        <v>2</v>
      </c>
      <c r="K47" s="3238" t="s">
        <v>2023</v>
      </c>
      <c r="L47" s="3238"/>
      <c r="M47" s="3240">
        <f>'数据-取费表'!B2</f>
        <v>44201</v>
      </c>
      <c r="N47" s="3240"/>
      <c r="O47" s="3240"/>
    </row>
    <row r="48" spans="1:15" ht="25.5">
      <c r="A48" s="3303" t="s">
        <v>2024</v>
      </c>
      <c r="B48" s="3304"/>
      <c r="C48" s="3304"/>
      <c r="D48" s="2549" t="b">
        <f>IF(H48="情况1",0,IF(H48="情况2",D52,IF(H48="情况3",D53,IF(H48="情况4",D54))))</f>
        <v>0</v>
      </c>
      <c r="E48" s="2559" t="str">
        <f>IF(H48="情况4","(销售额-原购置价)×税（费）率","销售额×税（费）率")</f>
        <v>销售额×税（费）率</v>
      </c>
      <c r="F48" s="2775">
        <f>IF(H48="情况1","免征",'数据-取费表'!B41)</f>
        <v>5.6000000000000001E-2</v>
      </c>
      <c r="G48" s="2776" t="s">
        <v>2025</v>
      </c>
      <c r="H48" s="2777"/>
      <c r="I48" s="1994"/>
      <c r="J48" s="2750">
        <v>3</v>
      </c>
      <c r="K48" s="3238" t="s">
        <v>2026</v>
      </c>
      <c r="L48" s="3238"/>
      <c r="M48" s="3241" t="e">
        <f ca="1">H101</f>
        <v>#REF!</v>
      </c>
      <c r="N48" s="3241"/>
      <c r="O48" s="3241"/>
    </row>
    <row r="49" spans="1:35" ht="25.5" customHeight="1">
      <c r="A49" s="2558" t="s">
        <v>2027</v>
      </c>
      <c r="B49" s="3286" t="s">
        <v>2028</v>
      </c>
      <c r="C49" s="3286"/>
      <c r="D49" s="1777">
        <v>0</v>
      </c>
      <c r="E49" s="330" t="s">
        <v>2029</v>
      </c>
      <c r="F49" s="2652" t="s">
        <v>34</v>
      </c>
      <c r="G49" s="3269"/>
      <c r="H49" s="2530" t="s">
        <v>2875</v>
      </c>
      <c r="I49" s="2531"/>
      <c r="J49" s="2750">
        <v>4</v>
      </c>
      <c r="K49" s="3238" t="str">
        <f>IF(项目基本情况!E8="房地产抵押价值","房地产抵押价值","抵押担保权已注销时的房地产抵押价值")</f>
        <v>抵押担保权已注销时的房地产抵押价值</v>
      </c>
      <c r="L49" s="3238"/>
      <c r="M49" s="3241" t="str">
        <f>IF(项目基本情况!E8="房地产抵押价值",H107,H109)</f>
        <v>——</v>
      </c>
      <c r="N49" s="3241"/>
      <c r="O49" s="3241"/>
    </row>
    <row r="50" spans="1:35" ht="25.5" customHeight="1">
      <c r="A50" s="2778"/>
      <c r="B50" s="3286" t="s">
        <v>2030</v>
      </c>
      <c r="C50" s="3286"/>
      <c r="D50" s="2779"/>
      <c r="E50" s="338"/>
      <c r="F50" s="2652"/>
      <c r="G50" s="3270"/>
      <c r="H50" s="2532" t="s">
        <v>2876</v>
      </c>
      <c r="I50" s="2531"/>
      <c r="J50" s="3237" t="s">
        <v>2031</v>
      </c>
      <c r="K50" s="3237"/>
      <c r="L50" s="3237"/>
      <c r="M50" s="3237"/>
      <c r="N50" s="3237"/>
      <c r="O50" s="3237"/>
    </row>
    <row r="51" spans="1:35" ht="20.45" customHeight="1">
      <c r="A51" s="2780"/>
      <c r="B51" s="3286" t="s">
        <v>2032</v>
      </c>
      <c r="C51" s="3286"/>
      <c r="D51" s="1247"/>
      <c r="E51" s="333"/>
      <c r="F51" s="2652"/>
      <c r="G51" s="3271"/>
      <c r="H51" s="2532" t="s">
        <v>2877</v>
      </c>
      <c r="I51" s="2531"/>
      <c r="J51" s="2751" t="s">
        <v>2033</v>
      </c>
      <c r="K51" s="3238" t="s">
        <v>2034</v>
      </c>
      <c r="L51" s="3238"/>
      <c r="M51" s="2751" t="s">
        <v>2035</v>
      </c>
      <c r="N51" s="2751" t="s">
        <v>2036</v>
      </c>
      <c r="O51" s="2751" t="s">
        <v>2037</v>
      </c>
    </row>
    <row r="52" spans="1:35" ht="24" customHeight="1">
      <c r="A52" s="2560" t="s">
        <v>2038</v>
      </c>
      <c r="B52" s="3286" t="s">
        <v>2039</v>
      </c>
      <c r="C52" s="3286"/>
      <c r="D52" s="1247" t="e">
        <f ca="1">ROUND(D45*'数据-取费表'!B41/(1+'数据-取费表'!C42),0)</f>
        <v>#REF!</v>
      </c>
      <c r="E52" s="2559" t="s">
        <v>2040</v>
      </c>
      <c r="F52" s="2781">
        <f>'数据-取费表'!B41</f>
        <v>5.6000000000000001E-2</v>
      </c>
      <c r="G52" s="2782"/>
      <c r="H52" s="2771"/>
      <c r="I52" s="1995"/>
      <c r="J52" s="2750">
        <v>1</v>
      </c>
      <c r="K52" s="3263" t="s">
        <v>2041</v>
      </c>
      <c r="L52" s="3263"/>
      <c r="M52" s="2752" t="b">
        <f>D48</f>
        <v>0</v>
      </c>
      <c r="N52" s="2750" t="str">
        <f>E48</f>
        <v>销售额×税（费）率</v>
      </c>
      <c r="O52" s="2753">
        <f>F48</f>
        <v>5.6000000000000001E-2</v>
      </c>
    </row>
    <row r="53" spans="1:35" ht="12" customHeight="1">
      <c r="A53" s="2560" t="s">
        <v>2042</v>
      </c>
      <c r="B53" s="3287" t="s">
        <v>3035</v>
      </c>
      <c r="C53" s="3288"/>
      <c r="D53" s="1247" t="e">
        <f ca="1">ROUND(D45*'数据-取费表'!B41/(1+'数据-取费表'!C42),0)</f>
        <v>#REF!</v>
      </c>
      <c r="E53" s="2559" t="s">
        <v>2040</v>
      </c>
      <c r="F53" s="2781">
        <f>'数据-取费表'!B41</f>
        <v>5.6000000000000001E-2</v>
      </c>
      <c r="G53" s="2782"/>
      <c r="H53" s="2771"/>
      <c r="I53" s="1995"/>
      <c r="J53" s="2750">
        <v>2</v>
      </c>
      <c r="K53" s="3263" t="s">
        <v>2043</v>
      </c>
      <c r="L53" s="3263"/>
      <c r="M53" s="2752" t="e">
        <f t="shared" ref="M53:O54" ca="1" si="0">D55</f>
        <v>#REF!</v>
      </c>
      <c r="N53" s="2750" t="str">
        <f t="shared" si="0"/>
        <v>销售额×税（费）率</v>
      </c>
      <c r="O53" s="2753" t="str">
        <f t="shared" si="0"/>
        <v>免征</v>
      </c>
    </row>
    <row r="54" spans="1:35" ht="12" customHeight="1">
      <c r="A54" s="2560" t="s">
        <v>2044</v>
      </c>
      <c r="B54" s="3287" t="s">
        <v>3036</v>
      </c>
      <c r="C54" s="3288"/>
      <c r="D54" s="1247" t="e">
        <f ca="1">C68</f>
        <v>#REF!</v>
      </c>
      <c r="E54" s="333" t="s">
        <v>2045</v>
      </c>
      <c r="F54" s="2781">
        <f>'数据-取费表'!B41</f>
        <v>5.6000000000000001E-2</v>
      </c>
      <c r="G54" s="2782"/>
      <c r="H54" s="2783"/>
      <c r="I54" s="1995"/>
      <c r="J54" s="2750">
        <v>3</v>
      </c>
      <c r="K54" s="3263" t="s">
        <v>2046</v>
      </c>
      <c r="L54" s="3263"/>
      <c r="M54" s="2752" t="e">
        <f t="shared" ca="1" si="0"/>
        <v>#REF!</v>
      </c>
      <c r="N54" s="2750" t="str">
        <f t="shared" si="0"/>
        <v>增值额×税（费）率</v>
      </c>
      <c r="O54" s="2754" t="str">
        <f t="shared" si="0"/>
        <v>免征</v>
      </c>
    </row>
    <row r="55" spans="1:35" ht="24" customHeight="1">
      <c r="A55" s="3326" t="s">
        <v>2047</v>
      </c>
      <c r="B55" s="3304"/>
      <c r="C55" s="3304"/>
      <c r="D55" s="2549" t="e">
        <f ca="1">IF(H55="个人住宅",0,ROUND(D45*I55,0))</f>
        <v>#REF!</v>
      </c>
      <c r="E55" s="2559" t="s">
        <v>2048</v>
      </c>
      <c r="F55" s="2781" t="str">
        <f>IF(H55="正常",I55,"免征")</f>
        <v>免征</v>
      </c>
      <c r="G55" s="2782"/>
      <c r="H55" s="2777"/>
      <c r="I55" s="170">
        <f>'数据-取费表'!B49</f>
        <v>5.0000000000000001E-4</v>
      </c>
      <c r="J55" s="2750">
        <f>IF(H59="非个人房产","",4)</f>
        <v>4</v>
      </c>
      <c r="K55" s="3263" t="str">
        <f>IF(H59="非个人房产","——","个人所得税")</f>
        <v>个人所得税</v>
      </c>
      <c r="L55" s="3263"/>
      <c r="M55" s="2755" t="e">
        <f ca="1">D59</f>
        <v>#REF!</v>
      </c>
      <c r="N55" s="2230" t="str">
        <f>E59</f>
        <v>差额计税</v>
      </c>
      <c r="O55" s="2756">
        <f>F59</f>
        <v>0.01</v>
      </c>
    </row>
    <row r="56" spans="1:35" ht="24.75">
      <c r="A56" s="3326" t="s">
        <v>2049</v>
      </c>
      <c r="B56" s="3304"/>
      <c r="C56" s="3304"/>
      <c r="D56" s="2549" t="e">
        <f ca="1">IF(H56="个人住宅",D57,D58)</f>
        <v>#REF!</v>
      </c>
      <c r="E56" s="2559" t="s">
        <v>2050</v>
      </c>
      <c r="F56" s="2781" t="str">
        <f>IF(H56="正常",F58,"免征")</f>
        <v>免征</v>
      </c>
      <c r="G56" s="2784" t="s">
        <v>2051</v>
      </c>
      <c r="H56" s="2785"/>
      <c r="I56" s="1996"/>
      <c r="J56" s="2750" t="str">
        <f>IF(项目基本情况!K6="上海银行",IF(J55="",4,J55+1),"")</f>
        <v/>
      </c>
      <c r="K56" s="3244" t="str">
        <f>IF(项目基本情况!K6="上海银行","其他处置费用","")</f>
        <v/>
      </c>
      <c r="L56" s="3245"/>
      <c r="M56" s="2752" t="str">
        <f>IF(项目基本情况!K6="上海银行",M69,"")</f>
        <v/>
      </c>
      <c r="N56" s="3244" t="str">
        <f>IF(项目基本情况!K6="上海银行","包含处置中涉及的律师、诉讼、拍卖、评估等费用","")</f>
        <v/>
      </c>
      <c r="O56" s="3247"/>
    </row>
    <row r="57" spans="1:35" ht="12.75">
      <c r="A57" s="2560" t="s">
        <v>2027</v>
      </c>
      <c r="B57" s="3287" t="s">
        <v>2052</v>
      </c>
      <c r="C57" s="3288"/>
      <c r="D57" s="1777">
        <v>0</v>
      </c>
      <c r="E57" s="330" t="s">
        <v>2029</v>
      </c>
      <c r="F57" s="308"/>
      <c r="G57" s="2782"/>
      <c r="H57" s="2786"/>
      <c r="I57" s="1996"/>
      <c r="J57" s="3263">
        <f>IF(AND(J55="",J56=""),4,IF(项目基本情况!K6="上海银行",结果表!J56+1,结果表!J55+1))</f>
        <v>5</v>
      </c>
      <c r="K57" s="3263" t="s">
        <v>2053</v>
      </c>
      <c r="L57" s="2757" t="s">
        <v>2054</v>
      </c>
      <c r="M57" s="2758"/>
      <c r="N57" s="2759">
        <f ca="1">SUMIF(M52:M56,"&lt;9e307")</f>
        <v>0</v>
      </c>
      <c r="O57" s="2760"/>
      <c r="P57" s="2920" t="e">
        <f ca="1">N57/M49</f>
        <v>#VALUE!</v>
      </c>
    </row>
    <row r="58" spans="1:35" ht="24.75">
      <c r="A58" s="2560" t="s">
        <v>2038</v>
      </c>
      <c r="B58" s="3287" t="s">
        <v>2055</v>
      </c>
      <c r="C58" s="3286"/>
      <c r="D58" s="2549" t="e">
        <f ca="1">IF(H58="转让取得",C81,C97)</f>
        <v>#REF!</v>
      </c>
      <c r="E58" s="2559" t="s">
        <v>2050</v>
      </c>
      <c r="F58" s="308" t="s">
        <v>34</v>
      </c>
      <c r="G58" s="2782"/>
      <c r="H58" s="2785"/>
      <c r="I58" s="1996"/>
      <c r="J58" s="3263"/>
      <c r="K58" s="3263"/>
      <c r="L58" s="2757" t="s">
        <v>2056</v>
      </c>
      <c r="M58" s="2761"/>
      <c r="N58" s="2762" t="str">
        <f ca="1">NUMBERSTRING(INT(N57*10000),2)&amp;"元整"</f>
        <v>零元整</v>
      </c>
      <c r="O58" s="2763"/>
    </row>
    <row r="59" spans="1:35" ht="24.75" thickBot="1">
      <c r="A59" s="3267" t="s">
        <v>2057</v>
      </c>
      <c r="B59" s="3268"/>
      <c r="C59" s="3268"/>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4"/>
      <c r="I59" s="2533" t="s">
        <v>2878</v>
      </c>
      <c r="J59" s="3265">
        <f>J57+1</f>
        <v>6</v>
      </c>
      <c r="K59" s="3263" t="s">
        <v>2058</v>
      </c>
      <c r="L59" s="2750" t="s">
        <v>2054</v>
      </c>
      <c r="M59" s="2764"/>
      <c r="N59" s="2765" t="e">
        <f ca="1">M49-N57</f>
        <v>#VALUE!</v>
      </c>
      <c r="O59" s="2766"/>
    </row>
    <row r="60" spans="1:35" ht="12" customHeight="1">
      <c r="A60" s="1997"/>
      <c r="B60" s="1935"/>
      <c r="C60" s="1935"/>
      <c r="D60" s="1935"/>
      <c r="E60" s="1765"/>
      <c r="F60" s="1996"/>
      <c r="G60" s="1996"/>
      <c r="H60" s="1998"/>
      <c r="I60" s="134"/>
      <c r="J60" s="3266"/>
      <c r="K60" s="3263"/>
      <c r="L60" s="2757" t="s">
        <v>2056</v>
      </c>
      <c r="M60" s="2761"/>
      <c r="N60" s="2762" t="e">
        <f ca="1">NUMBERSTRING(INT(N59*10000),2)&amp;"元整"</f>
        <v>#VALUE!</v>
      </c>
      <c r="O60" s="2763"/>
    </row>
    <row r="61" spans="1:35" ht="13.5" thickBot="1">
      <c r="A61" s="3325" t="s">
        <v>2059</v>
      </c>
      <c r="B61" s="3325"/>
      <c r="C61" s="3325"/>
      <c r="D61" s="3325"/>
      <c r="E61" s="3325"/>
      <c r="F61" s="1996"/>
      <c r="G61" s="1996"/>
      <c r="H61" s="1998"/>
      <c r="I61" s="134"/>
      <c r="J61" s="2750">
        <f>J59+1</f>
        <v>7</v>
      </c>
      <c r="K61" s="3263" t="s">
        <v>2060</v>
      </c>
      <c r="L61" s="3263"/>
      <c r="M61" s="2767"/>
      <c r="N61" s="2768" t="e">
        <f ca="1">ROUND(N59*10000/'数据-汇总表'!E3,0)</f>
        <v>#VALUE!</v>
      </c>
      <c r="O61" s="2769"/>
    </row>
    <row r="62" spans="1:35" ht="12.75">
      <c r="A62" s="3282" t="s">
        <v>2061</v>
      </c>
      <c r="B62" s="3283"/>
      <c r="C62" s="2211"/>
      <c r="D62" s="2211" t="s">
        <v>2062</v>
      </c>
      <c r="E62" s="171" t="s">
        <v>2063</v>
      </c>
      <c r="F62" s="1996"/>
      <c r="G62" s="1996"/>
      <c r="H62" s="1998"/>
      <c r="I62" s="134"/>
    </row>
    <row r="63" spans="1:35" ht="12.75">
      <c r="A63" s="178" t="s">
        <v>775</v>
      </c>
      <c r="B63" s="172" t="s">
        <v>2064</v>
      </c>
      <c r="C63" s="2791" t="e">
        <f ca="1">ROUND((C64+C65)/(1+'数据-取费表'!C42),0)</f>
        <v>#REF!</v>
      </c>
      <c r="D63" s="172"/>
      <c r="E63" s="173"/>
      <c r="F63" s="1996"/>
      <c r="G63" s="1996"/>
      <c r="H63" s="1998"/>
      <c r="I63" s="134"/>
      <c r="J63" s="3246" t="s">
        <v>2065</v>
      </c>
      <c r="K63" s="1503" t="s">
        <v>2066</v>
      </c>
      <c r="L63" s="1503" t="e">
        <f>IF(M49&gt;10000,M49*0.5%,IF(AND(M49&gt;1000,M49&lt;=10000),M49*1%,IF(AND(M49&gt;100,M49&lt;=1000),M49*3%,IF(AND(M49&gt;10,M49&lt;=100),M49*5%,M49*8%))))</f>
        <v>#VALUE!</v>
      </c>
      <c r="M63" s="308" t="e">
        <f>ROUND(L63,1)</f>
        <v>#VALUE!</v>
      </c>
      <c r="N63" s="2770"/>
      <c r="Z63" s="1940"/>
      <c r="AI63" s="1941"/>
    </row>
    <row r="64" spans="1:35" ht="14.25" customHeight="1">
      <c r="A64" s="174" t="s">
        <v>770</v>
      </c>
      <c r="B64" s="175" t="s">
        <v>2067</v>
      </c>
      <c r="C64" s="2792" t="e">
        <f ca="1">D45</f>
        <v>#REF!</v>
      </c>
      <c r="D64" s="175" t="s">
        <v>32</v>
      </c>
      <c r="E64" s="177"/>
      <c r="F64" s="1996"/>
      <c r="G64" s="1996"/>
      <c r="H64" s="1998"/>
      <c r="I64" s="134"/>
      <c r="J64" s="3246"/>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1" t="s">
        <v>2069</v>
      </c>
      <c r="Z64" s="1940"/>
      <c r="AI64" s="1941"/>
    </row>
    <row r="65" spans="1:35" ht="14.25" customHeight="1">
      <c r="A65" s="174" t="s">
        <v>771</v>
      </c>
      <c r="B65" s="175" t="s">
        <v>2070</v>
      </c>
      <c r="C65" s="2793"/>
      <c r="D65" s="175"/>
      <c r="E65" s="177"/>
      <c r="F65" s="1996"/>
      <c r="G65" s="1996"/>
      <c r="H65" s="1998"/>
      <c r="I65" s="134"/>
      <c r="J65" s="3246"/>
      <c r="K65" s="1503" t="s">
        <v>2071</v>
      </c>
      <c r="L65" s="1503" t="e">
        <f>IF(M49&gt;1000,M49*0.1%,IF(AND(M49&gt;500,M49&lt;=1000),M49*0.5%,IF(AND(M49&gt;50,M49&lt;=500),M49*1%,IF(AND(M49&gt;1,M49&lt;=50),M49*1.5%))))</f>
        <v>#VALUE!</v>
      </c>
      <c r="M65" s="308" t="e">
        <f t="shared" si="1"/>
        <v>#VALUE!</v>
      </c>
      <c r="N65" s="2771" t="s">
        <v>2069</v>
      </c>
      <c r="Z65" s="1940"/>
      <c r="AI65" s="1941"/>
    </row>
    <row r="66" spans="1:35" ht="14.25" customHeight="1">
      <c r="A66" s="178" t="s">
        <v>772</v>
      </c>
      <c r="B66" s="179" t="s">
        <v>2072</v>
      </c>
      <c r="C66" s="2794"/>
      <c r="D66" s="179" t="s">
        <v>32</v>
      </c>
      <c r="E66" s="1511" t="s">
        <v>1337</v>
      </c>
      <c r="F66" s="1996"/>
      <c r="G66" s="1996"/>
      <c r="H66" s="1998"/>
      <c r="I66" s="134"/>
      <c r="J66" s="3246"/>
      <c r="K66" s="1503" t="s">
        <v>2073</v>
      </c>
      <c r="L66" s="1503" t="e">
        <f>M49*0.5%</f>
        <v>#VALUE!</v>
      </c>
      <c r="M66" s="308" t="e">
        <f>IF(L66&gt;0.5,0.5,ROUND(L66,0))</f>
        <v>#VALUE!</v>
      </c>
      <c r="N66" s="2771" t="s">
        <v>2074</v>
      </c>
      <c r="Z66" s="1940"/>
      <c r="AI66" s="1941"/>
    </row>
    <row r="67" spans="1:35" ht="14.25" customHeight="1">
      <c r="A67" s="178" t="s">
        <v>773</v>
      </c>
      <c r="B67" s="179" t="s">
        <v>2075</v>
      </c>
      <c r="C67" s="2795" t="e">
        <f ca="1">C63-C66</f>
        <v>#REF!</v>
      </c>
      <c r="D67" s="175" t="s">
        <v>32</v>
      </c>
      <c r="E67" s="177"/>
      <c r="F67" s="1996"/>
      <c r="G67" s="1996"/>
      <c r="H67" s="1998"/>
      <c r="I67" s="134"/>
      <c r="J67" s="3246"/>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0"/>
      <c r="Z67" s="1940"/>
      <c r="AI67" s="1941"/>
    </row>
    <row r="68" spans="1:35" ht="14.25" customHeight="1" thickBot="1">
      <c r="A68" s="181" t="s">
        <v>774</v>
      </c>
      <c r="B68" s="182" t="s">
        <v>2077</v>
      </c>
      <c r="C68" s="2796" t="e">
        <f ca="1">IF(C67&lt;=0,0,ROUND(C67*D68,0))</f>
        <v>#REF!</v>
      </c>
      <c r="D68" s="2797">
        <f>'数据-取费表'!B41</f>
        <v>5.6000000000000001E-2</v>
      </c>
      <c r="E68" s="184"/>
      <c r="F68" s="1996"/>
      <c r="G68" s="1996"/>
      <c r="H68" s="1998"/>
      <c r="I68" s="134"/>
      <c r="J68" s="3246"/>
      <c r="K68" s="1503" t="s">
        <v>2078</v>
      </c>
      <c r="L68" s="1503" t="e">
        <f>IF(M49&gt;10000,M49*0.5%,IF(AND(M49&gt;5000,M49&lt;=10000),M49*1%,IF(AND(M49&gt;1000,M49&lt;=5000),M49*2%,IF(AND(M49&gt;200,M49&lt;=1000),M49*3%,M49*5%))))</f>
        <v>#VALUE!</v>
      </c>
      <c r="M68" s="308" t="e">
        <f>ROUND(L68,1)</f>
        <v>#VALUE!</v>
      </c>
      <c r="N68" s="2770"/>
      <c r="Z68" s="1940"/>
      <c r="AI68" s="1941"/>
    </row>
    <row r="69" spans="1:35" s="1960" customFormat="1" ht="16.5" customHeight="1">
      <c r="A69" s="1999"/>
      <c r="B69" s="2000"/>
      <c r="C69" s="2001"/>
      <c r="D69" s="2002"/>
      <c r="E69" s="2003"/>
      <c r="F69" s="1765"/>
      <c r="G69" s="1765"/>
      <c r="H69" s="1764"/>
      <c r="I69" s="1935"/>
      <c r="J69" s="3246"/>
      <c r="K69" s="1503" t="s">
        <v>2079</v>
      </c>
      <c r="L69" s="1503"/>
      <c r="M69" s="308" t="e">
        <f>ROUND(SUM(M63:M68),0)</f>
        <v>#VALUE!</v>
      </c>
      <c r="N69" s="2772"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90" t="s">
        <v>2080</v>
      </c>
      <c r="B70" s="3291"/>
      <c r="C70" s="3291"/>
      <c r="D70" s="3291"/>
      <c r="E70" s="3291"/>
      <c r="F70" s="3291"/>
      <c r="G70" s="3291"/>
      <c r="H70" s="3291"/>
      <c r="I70" s="2004"/>
      <c r="J70" s="2921"/>
      <c r="K70" s="2921"/>
      <c r="L70" s="2921"/>
      <c r="M70" s="2921"/>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82" t="s">
        <v>2061</v>
      </c>
      <c r="B71" s="3283"/>
      <c r="C71" s="2211"/>
      <c r="D71" s="2211" t="s">
        <v>2062</v>
      </c>
      <c r="E71" s="185" t="s">
        <v>2063</v>
      </c>
      <c r="F71" s="186"/>
      <c r="G71" s="186"/>
      <c r="H71" s="187"/>
      <c r="I71" s="2008"/>
      <c r="J71" s="2921"/>
      <c r="K71" s="2921"/>
      <c r="L71" s="2921"/>
      <c r="M71" s="2921"/>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5" t="e">
        <f ca="1">ROUND(D45/(1+'数据-取费表'!C42),0)</f>
        <v>#REF!</v>
      </c>
      <c r="D72" s="175" t="s">
        <v>32</v>
      </c>
      <c r="E72" s="2556"/>
      <c r="F72" s="2555"/>
      <c r="G72" s="2555"/>
      <c r="H72" s="188"/>
      <c r="I72" s="2008"/>
      <c r="J72" s="2921"/>
      <c r="K72" s="2921"/>
      <c r="L72" s="2921"/>
      <c r="M72" s="2921"/>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5"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8"/>
      <c r="D75" s="175" t="s">
        <v>32</v>
      </c>
      <c r="E75" s="190" t="s">
        <v>2085</v>
      </c>
      <c r="F75" s="2799"/>
      <c r="G75" s="190" t="s">
        <v>2086</v>
      </c>
      <c r="H75" s="2800"/>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1">
        <v>0.05</v>
      </c>
      <c r="E76" s="3287" t="s">
        <v>2088</v>
      </c>
      <c r="F76" s="3286"/>
      <c r="G76" s="3286"/>
      <c r="H76" s="3289"/>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2">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3" t="e">
        <f ca="1">ROUND(D45*D78/(1+'数据-取费表'!C42),0)</f>
        <v>#REF!</v>
      </c>
      <c r="D78" s="2804">
        <f>'数据-取费表'!B43</f>
        <v>6.000000000000001E-3</v>
      </c>
      <c r="E78" s="3279" t="s">
        <v>2092</v>
      </c>
      <c r="F78" s="3280"/>
      <c r="G78" s="3280"/>
      <c r="H78" s="3281"/>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5"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5"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6" t="e">
        <f ca="1">ROUND(IF(C79&lt;=0,0,IF(C80&gt;=200%,C79*60%-C73*35%,IF(C80&gt;=100%,C79*50%-C73*15%,IF(C80&gt;=50%,C79*40%-C73*5%,IF(C80&lt;50%,C79*30%,0))))),0)</f>
        <v>#REF!</v>
      </c>
      <c r="D81" s="280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90" t="s">
        <v>2096</v>
      </c>
      <c r="B83" s="3291"/>
      <c r="C83" s="3291"/>
      <c r="D83" s="3291"/>
      <c r="E83" s="3291"/>
      <c r="F83" s="3291"/>
      <c r="G83" s="3291"/>
      <c r="H83" s="3291"/>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82" t="s">
        <v>2061</v>
      </c>
      <c r="B84" s="3283"/>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5"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5" t="e">
        <f ca="1">IF(H88="仅含出让金",C87+C90+C91+C92+C93+C94,C87+C91+C92+C93+C94)</f>
        <v>#REF!</v>
      </c>
      <c r="D86" s="2808"/>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3">
        <f>C88+C89</f>
        <v>0</v>
      </c>
      <c r="D87" s="2804"/>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9"/>
      <c r="D88" s="2804"/>
      <c r="E88" s="199" t="s">
        <v>2099</v>
      </c>
      <c r="F88" s="2552"/>
      <c r="G88" s="200" t="s">
        <v>2100</v>
      </c>
      <c r="H88" s="2012"/>
      <c r="I88" s="2009"/>
      <c r="J88" s="2748" t="s">
        <v>3032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3">
        <f>ROUND(C88*D89,0)</f>
        <v>0</v>
      </c>
      <c r="D89" s="2804">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9"/>
      <c r="D90" s="2804"/>
      <c r="E90" s="199" t="str">
        <f>IF(H88="-","土地取得成本中已包含该笔费用"," ")</f>
        <v xml:space="preserve"> </v>
      </c>
      <c r="F90" s="2552"/>
      <c r="G90" s="3248" t="s">
        <v>2870</v>
      </c>
      <c r="H90" s="3249"/>
      <c r="I90" s="2009"/>
      <c r="J90" s="2748" t="s">
        <v>3033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3">
        <f>IF(H91="——",成本法!C33,I91)</f>
        <v>0</v>
      </c>
      <c r="D91" s="2804"/>
      <c r="E91" s="3279" t="s">
        <v>2105</v>
      </c>
      <c r="F91" s="3280"/>
      <c r="G91" s="3280"/>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3">
        <f>ROUND((C87+C90+C91)*D92,0)</f>
        <v>0</v>
      </c>
      <c r="D92" s="2810"/>
      <c r="E92" s="3279" t="s">
        <v>2108</v>
      </c>
      <c r="F92" s="3280"/>
      <c r="G92" s="3280"/>
      <c r="H92" s="3281"/>
      <c r="I92" s="2009"/>
      <c r="J92" s="2749" t="s">
        <v>3034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3" t="e">
        <f ca="1">ROUND(D45*D93/(1+'数据-取费表'!C42),0)</f>
        <v>#REF!</v>
      </c>
      <c r="D93" s="2804">
        <f>'数据-取费表'!B43</f>
        <v>6.000000000000001E-3</v>
      </c>
      <c r="E93" s="3279" t="s">
        <v>2092</v>
      </c>
      <c r="F93" s="3280"/>
      <c r="G93" s="3280"/>
      <c r="H93" s="3281"/>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9">
        <f>ROUND((C87+C90+C91)*D94,0)</f>
        <v>0</v>
      </c>
      <c r="D94" s="2804">
        <v>0.2</v>
      </c>
      <c r="E94" s="3327" t="s">
        <v>2112</v>
      </c>
      <c r="F94" s="3328"/>
      <c r="G94" s="3328"/>
      <c r="H94" s="3329"/>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5"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5"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6" t="e">
        <f ca="1">ROUND(IF(C95&lt;=0,0,IF(C96&gt;=200%,C95*60%-C86*35%,IF(C96&gt;=100%,C95*50%-C86*15%,IF(C96&gt;=50%,C95*40%-C86*5%,IF(C96&lt;50%,C95*30%,0))))),0)</f>
        <v>#REF!</v>
      </c>
      <c r="D97" s="280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229" t="s">
        <v>2114</v>
      </c>
      <c r="B100" s="3230"/>
      <c r="C100" s="3230"/>
      <c r="D100" s="3264"/>
      <c r="E100" s="3230" t="s">
        <v>2115</v>
      </c>
      <c r="F100" s="3230"/>
      <c r="G100" s="3230"/>
      <c r="H100" s="3264"/>
      <c r="I100" s="134"/>
    </row>
    <row r="101" spans="1:35" ht="18.75" customHeight="1">
      <c r="A101" s="3272" t="s">
        <v>2116</v>
      </c>
      <c r="B101" s="3273"/>
      <c r="C101" s="2812" t="str">
        <f>C4</f>
        <v>比较法-办公</v>
      </c>
      <c r="D101" s="2813" t="str">
        <f>D4</f>
        <v>比较法-办公</v>
      </c>
      <c r="E101" s="3242" t="s">
        <v>2117</v>
      </c>
      <c r="F101" s="3243"/>
      <c r="G101" s="2015" t="s">
        <v>2118</v>
      </c>
      <c r="H101" s="2822" t="e">
        <f ca="1">H118</f>
        <v>#REF!</v>
      </c>
      <c r="I101" s="134"/>
    </row>
    <row r="102" spans="1:35" ht="18.75" customHeight="1">
      <c r="A102" s="3274" t="s">
        <v>2119</v>
      </c>
      <c r="B102" s="2811" t="s">
        <v>2118</v>
      </c>
      <c r="C102" s="2812">
        <f ca="1">C19</f>
        <v>0</v>
      </c>
      <c r="D102" s="2813">
        <f ca="1">D19</f>
        <v>0</v>
      </c>
      <c r="E102" s="3242"/>
      <c r="F102" s="3243"/>
      <c r="G102" s="2015" t="s">
        <v>2120</v>
      </c>
      <c r="H102" s="2782" t="e">
        <f ca="1">I118</f>
        <v>#REF!</v>
      </c>
      <c r="I102" s="134"/>
    </row>
    <row r="103" spans="1:35" ht="42.75" customHeight="1">
      <c r="A103" s="3274"/>
      <c r="B103" s="2811" t="s">
        <v>2120</v>
      </c>
      <c r="C103" s="2814">
        <f ca="1">C20</f>
        <v>5.8</v>
      </c>
      <c r="D103" s="2815">
        <f ca="1">D20</f>
        <v>5.8</v>
      </c>
      <c r="E103" s="3235" t="s">
        <v>2121</v>
      </c>
      <c r="F103" s="3236"/>
      <c r="G103" s="2016" t="s">
        <v>2122</v>
      </c>
      <c r="H103" s="2822">
        <f>IF(D36="正常操作",H104+H105+H106,H105+H106)</f>
        <v>0</v>
      </c>
      <c r="I103" s="134"/>
    </row>
    <row r="104" spans="1:35" ht="18.75" customHeight="1">
      <c r="A104" s="3274" t="s">
        <v>2123</v>
      </c>
      <c r="B104" s="2816" t="s">
        <v>2118</v>
      </c>
      <c r="C104" s="2817" t="e">
        <f ca="1">H118</f>
        <v>#REF!</v>
      </c>
      <c r="D104" s="2818"/>
      <c r="E104" s="1862" t="s">
        <v>2124</v>
      </c>
      <c r="F104" s="1853"/>
      <c r="G104" s="2016" t="s">
        <v>2122</v>
      </c>
      <c r="H104" s="2823">
        <f>IF(D36="同一抵押权人同一抵押物续贷",C36&amp;"（续贷，未扣减，详见特别提示）",C36)</f>
        <v>0</v>
      </c>
      <c r="I104" s="134"/>
    </row>
    <row r="105" spans="1:35" ht="18.75" customHeight="1" thickBot="1">
      <c r="A105" s="3284"/>
      <c r="B105" s="2819" t="s">
        <v>2120</v>
      </c>
      <c r="C105" s="2820" t="e">
        <f ca="1">I118</f>
        <v>#REF!</v>
      </c>
      <c r="D105" s="2821"/>
      <c r="E105" s="1862" t="s">
        <v>2125</v>
      </c>
      <c r="F105" s="1853"/>
      <c r="G105" s="2016" t="s">
        <v>2122</v>
      </c>
      <c r="H105" s="2824">
        <f>C37</f>
        <v>0</v>
      </c>
      <c r="I105" s="134"/>
    </row>
    <row r="106" spans="1:35" ht="18.75" customHeight="1">
      <c r="A106" s="1935" t="s">
        <v>2126</v>
      </c>
      <c r="B106" s="1935"/>
      <c r="C106" s="1935"/>
      <c r="D106" s="1935"/>
      <c r="E106" s="2017" t="s">
        <v>2127</v>
      </c>
      <c r="F106" s="1853"/>
      <c r="G106" s="2016" t="s">
        <v>2122</v>
      </c>
      <c r="H106" s="2824">
        <f>C38</f>
        <v>0</v>
      </c>
      <c r="I106" s="134"/>
    </row>
    <row r="107" spans="1:35" ht="18.75" customHeight="1">
      <c r="A107" s="134"/>
      <c r="B107" s="134"/>
      <c r="C107" s="134"/>
      <c r="D107" s="134"/>
      <c r="E107" s="3275" t="str">
        <f>IF(项目基本情况!E8="已注销","——","3.房地产抵押价值")</f>
        <v>3.房地产抵押价值</v>
      </c>
      <c r="F107" s="3243"/>
      <c r="G107" s="2015" t="s">
        <v>2118</v>
      </c>
      <c r="H107" s="2822" t="e">
        <f ca="1">IF(E107="——","——",H101-H103)</f>
        <v>#REF!</v>
      </c>
      <c r="I107" s="134"/>
    </row>
    <row r="108" spans="1:35" ht="18.75" customHeight="1">
      <c r="A108" s="134"/>
      <c r="B108" s="134"/>
      <c r="C108" s="134"/>
      <c r="D108" s="134"/>
      <c r="E108" s="3275"/>
      <c r="F108" s="3243"/>
      <c r="G108" s="2015" t="s">
        <v>2120</v>
      </c>
      <c r="H108" s="2782" t="e">
        <f ca="1">ROUND(H107*10000/'数据-汇总表'!E3,0)</f>
        <v>#REF!</v>
      </c>
      <c r="I108" s="134"/>
    </row>
    <row r="109" spans="1:35" ht="18.75" customHeight="1">
      <c r="A109" s="134"/>
      <c r="B109" s="134"/>
      <c r="C109" s="134"/>
      <c r="D109" s="134"/>
      <c r="E109" s="3275" t="str">
        <f>IF(项目基本情况!E8="已注销及未注销","4.抵押担保权已注销时的房地产抵押价值",IF(项目基本情况!E8="已注销","3.抵押担保权已注销时的房地产抵押价值","——"))</f>
        <v>——</v>
      </c>
      <c r="F109" s="3243"/>
      <c r="G109" s="2015" t="s">
        <v>2118</v>
      </c>
      <c r="H109" s="2825" t="str">
        <f>IF(E109="——","——",H101-H105-H106)</f>
        <v>——</v>
      </c>
      <c r="I109" s="134"/>
    </row>
    <row r="110" spans="1:35" ht="18.75" customHeight="1">
      <c r="A110" s="134"/>
      <c r="B110" s="134"/>
      <c r="C110" s="134"/>
      <c r="D110" s="134"/>
      <c r="E110" s="3275"/>
      <c r="F110" s="3243"/>
      <c r="G110" s="2015" t="s">
        <v>2120</v>
      </c>
      <c r="H110" s="2782" t="str">
        <f>IF(H109="——","——",ROUND(H109*10000/'数据-汇总表'!E3,0))</f>
        <v>——</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62"/>
      <c r="G111" s="2015" t="s">
        <v>2118</v>
      </c>
      <c r="H111" s="2822" t="str">
        <f>IF(E111="——","——",N59)</f>
        <v>——</v>
      </c>
      <c r="I111" s="134"/>
    </row>
    <row r="112" spans="1:35" ht="18.75" customHeight="1" thickBot="1">
      <c r="A112" s="134"/>
      <c r="B112" s="134"/>
      <c r="C112" s="134"/>
      <c r="D112" s="134"/>
      <c r="E112" s="3277"/>
      <c r="F112" s="3278"/>
      <c r="G112" s="2018" t="s">
        <v>2120</v>
      </c>
      <c r="H112" s="2826" t="str">
        <f>IF(E111="——","——",N61)</f>
        <v>——</v>
      </c>
      <c r="I112" s="134"/>
    </row>
    <row r="113" spans="1:27" ht="18.75" customHeight="1">
      <c r="A113" s="134"/>
      <c r="B113" s="134"/>
      <c r="C113" s="134"/>
      <c r="D113" s="134"/>
      <c r="E113" s="3285" t="s">
        <v>2126</v>
      </c>
      <c r="F113" s="3285"/>
      <c r="G113" s="3285"/>
      <c r="H113" s="3285"/>
      <c r="I113" s="134"/>
    </row>
    <row r="114" spans="1:27" ht="3.75" customHeight="1">
      <c r="A114" s="1935"/>
      <c r="B114" s="1935"/>
      <c r="C114" s="1935"/>
      <c r="D114" s="1935"/>
      <c r="E114" s="1997"/>
      <c r="F114" s="1997"/>
      <c r="G114" s="1997"/>
      <c r="H114" s="1997"/>
      <c r="I114" s="1935"/>
    </row>
    <row r="115" spans="1:27" ht="18.75" customHeight="1">
      <c r="A115" s="3296" t="s">
        <v>2128</v>
      </c>
      <c r="B115" s="3297"/>
      <c r="C115" s="3297"/>
      <c r="D115" s="3297"/>
      <c r="E115" s="3297"/>
      <c r="F115" s="3297"/>
      <c r="G115" s="3297"/>
      <c r="H115" s="3297"/>
      <c r="I115" s="3298"/>
    </row>
    <row r="116" spans="1:27" ht="27" customHeight="1">
      <c r="A116" s="3250" t="s">
        <v>2129</v>
      </c>
      <c r="B116" s="3254" t="s">
        <v>2130</v>
      </c>
      <c r="C116" s="3254" t="s">
        <v>2131</v>
      </c>
      <c r="D116" s="3260" t="s">
        <v>2132</v>
      </c>
      <c r="E116" s="3261"/>
      <c r="F116" s="3292" t="s">
        <v>2133</v>
      </c>
      <c r="G116" s="3292"/>
      <c r="H116" s="3250" t="s">
        <v>2134</v>
      </c>
      <c r="I116" s="3250"/>
    </row>
    <row r="117" spans="1:27" ht="18.75" customHeight="1">
      <c r="A117" s="3250"/>
      <c r="B117" s="3255"/>
      <c r="C117" s="3255"/>
      <c r="D117" s="2554" t="s">
        <v>2135</v>
      </c>
      <c r="E117" s="2554" t="s">
        <v>2136</v>
      </c>
      <c r="F117" s="2554" t="s">
        <v>2135</v>
      </c>
      <c r="G117" s="2554" t="s">
        <v>2137</v>
      </c>
      <c r="H117" s="2554" t="s">
        <v>2135</v>
      </c>
      <c r="I117" s="2554" t="s">
        <v>2137</v>
      </c>
    </row>
    <row r="118" spans="1:27" ht="24.75" customHeight="1">
      <c r="A118" s="2827" t="str">
        <f>项目基本情况!S2</f>
        <v>北京市房地产</v>
      </c>
      <c r="B118" s="2554">
        <f>L18</f>
        <v>2826.8999999999996</v>
      </c>
      <c r="C118" s="2554">
        <f>L19</f>
        <v>4742.46</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250" t="s">
        <v>2138</v>
      </c>
      <c r="B119" s="3250"/>
      <c r="C119" s="3250"/>
      <c r="D119" s="3256" t="e">
        <f ca="1">NUMBERSTRING(INT(D118*10000),2)&amp;"元整"</f>
        <v>#REF!</v>
      </c>
      <c r="E119" s="3257"/>
      <c r="F119" s="3256" t="e">
        <f ca="1">NUMBERSTRING(INT(F118*10000),2)&amp;"元整"</f>
        <v>#REF!</v>
      </c>
      <c r="G119" s="3257"/>
      <c r="H119" s="3256" t="e">
        <f ca="1">NUMBERSTRING(INT(H118*10000),2)&amp;"元整"</f>
        <v>#REF!</v>
      </c>
      <c r="I119" s="3257"/>
    </row>
    <row r="120" spans="1:27" ht="18.75" customHeight="1">
      <c r="A120" s="3251" t="str">
        <f>IF(项目基本情况!B9="房地产市场价值","",MID(E103,3,LEN(E103)-2))</f>
        <v/>
      </c>
      <c r="B120" s="3252"/>
      <c r="C120" s="3253"/>
      <c r="D120" s="3251">
        <f>H103</f>
        <v>0</v>
      </c>
      <c r="E120" s="3252"/>
      <c r="F120" s="3252"/>
      <c r="G120" s="3252"/>
      <c r="H120" s="3252"/>
      <c r="I120" s="3253"/>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93" t="s">
        <v>2138</v>
      </c>
      <c r="B121" s="3294"/>
      <c r="C121" s="3295"/>
      <c r="D121" s="3256" t="str">
        <f>IF(D120=0,"零元整",NUMBERSTRING(INT(D120*10000),2)&amp;"元整")</f>
        <v>零元整</v>
      </c>
      <c r="E121" s="3258"/>
      <c r="F121" s="3258"/>
      <c r="G121" s="3258"/>
      <c r="H121" s="3258"/>
      <c r="I121" s="3257"/>
      <c r="AA121" s="734"/>
    </row>
    <row r="122" spans="1:27" ht="18.75" customHeight="1">
      <c r="A122" s="3262" t="str">
        <f>IF(项目基本情况!B9="房地产市场价值","",MID(E107,3,LEN(E107)-2))</f>
        <v/>
      </c>
      <c r="B122" s="3262"/>
      <c r="C122" s="3262"/>
      <c r="D122" s="3251" t="e">
        <f ca="1">H107</f>
        <v>#REF!</v>
      </c>
      <c r="E122" s="3252"/>
      <c r="F122" s="3252"/>
      <c r="G122" s="3252"/>
      <c r="H122" s="3252"/>
      <c r="I122" s="3253"/>
      <c r="AA122" s="734"/>
    </row>
    <row r="123" spans="1:27" ht="18.75" customHeight="1">
      <c r="A123" s="3250" t="s">
        <v>2138</v>
      </c>
      <c r="B123" s="3250"/>
      <c r="C123" s="3250"/>
      <c r="D123" s="3256" t="e">
        <f ca="1">NUMBERSTRING(INT(D122*10000),2)&amp;"元整"</f>
        <v>#REF!</v>
      </c>
      <c r="E123" s="3258"/>
      <c r="F123" s="3258"/>
      <c r="G123" s="3258"/>
      <c r="H123" s="3258"/>
      <c r="I123" s="3257"/>
      <c r="AA123" s="734"/>
    </row>
    <row r="124" spans="1:27" ht="18.75" customHeight="1">
      <c r="A124" s="3262" t="str">
        <f>IF(项目基本情况!B9="房地产市场价值","",MID(E109,3,LEN(E109)-2))</f>
        <v/>
      </c>
      <c r="B124" s="3262"/>
      <c r="C124" s="3262"/>
      <c r="D124" s="3251" t="str">
        <f>H109</f>
        <v>——</v>
      </c>
      <c r="E124" s="3252"/>
      <c r="F124" s="3252"/>
      <c r="G124" s="3252"/>
      <c r="H124" s="3252"/>
      <c r="I124" s="3253"/>
      <c r="AA124" s="734"/>
    </row>
    <row r="125" spans="1:27" ht="18.75" customHeight="1">
      <c r="A125" s="3250" t="s">
        <v>2138</v>
      </c>
      <c r="B125" s="3250"/>
      <c r="C125" s="3250"/>
      <c r="D125" s="3256" t="e">
        <f>NUMBERSTRING(INT(D124*10000),2)&amp;"元整"</f>
        <v>#VALUE!</v>
      </c>
      <c r="E125" s="3258"/>
      <c r="F125" s="3258"/>
      <c r="G125" s="3258"/>
      <c r="H125" s="3258"/>
      <c r="I125" s="3257"/>
      <c r="AA125" s="734"/>
    </row>
    <row r="126" spans="1:27" ht="18.75" customHeight="1">
      <c r="A126" s="3262" t="str">
        <f>IF(项目基本情况!B9="房地产市场价值","",MID(E111,3,LEN(E111)-2))</f>
        <v/>
      </c>
      <c r="B126" s="3262"/>
      <c r="C126" s="3262"/>
      <c r="D126" s="3251" t="str">
        <f>H111</f>
        <v>——</v>
      </c>
      <c r="E126" s="3252"/>
      <c r="F126" s="3252"/>
      <c r="G126" s="3252"/>
      <c r="H126" s="3252"/>
      <c r="I126" s="3253"/>
      <c r="AA126" s="734"/>
    </row>
    <row r="127" spans="1:27" ht="18.75" customHeight="1">
      <c r="A127" s="3250" t="s">
        <v>2138</v>
      </c>
      <c r="B127" s="3250"/>
      <c r="C127" s="3250"/>
      <c r="D127" s="3256" t="e">
        <f>NUMBERSTRING(INT(D126*10000),2)&amp;"元整"</f>
        <v>#VALUE!</v>
      </c>
      <c r="E127" s="3258"/>
      <c r="F127" s="3258"/>
      <c r="G127" s="3258"/>
      <c r="H127" s="3258"/>
      <c r="I127" s="3257"/>
      <c r="AA127" s="734"/>
    </row>
    <row r="128" spans="1:27" ht="21.75" customHeight="1">
      <c r="A128" s="3259" t="s">
        <v>2139</v>
      </c>
      <c r="B128" s="3259"/>
      <c r="C128" s="3259"/>
      <c r="D128" s="3259"/>
      <c r="E128" s="3259"/>
      <c r="F128" s="3259"/>
      <c r="G128" s="3259"/>
      <c r="H128" s="3259"/>
      <c r="I128" s="3259"/>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P5" sqref="P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t="s">
        <v>3320</v>
      </c>
      <c r="C1" s="204"/>
      <c r="D1" s="204"/>
      <c r="E1" s="204"/>
      <c r="F1" s="204"/>
      <c r="G1" s="1288">
        <f>MATCH(B1,'数据-取费表'!A6:A16,0)+5</f>
        <v>6</v>
      </c>
    </row>
    <row r="2" spans="1:9" s="206" customFormat="1" ht="18" customHeight="1">
      <c r="A2" s="207" t="s">
        <v>2148</v>
      </c>
      <c r="B2" s="208">
        <f ca="1">IF(D2="——",C52,C52-E2)</f>
        <v>9543</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38539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6342</v>
      </c>
      <c r="D5" s="217" t="s">
        <v>2155</v>
      </c>
      <c r="E5" s="218" t="s">
        <v>2156</v>
      </c>
      <c r="F5" s="218" t="s">
        <v>2157</v>
      </c>
      <c r="G5" s="219"/>
    </row>
    <row r="6" spans="1:9" s="220" customFormat="1" ht="13.5" customHeight="1">
      <c r="A6" s="886" t="s">
        <v>2158</v>
      </c>
      <c r="B6" s="221" t="s">
        <v>2159</v>
      </c>
      <c r="C6" s="222">
        <f ca="1">基准地价修正!B2</f>
        <v>6106</v>
      </c>
      <c r="D6" s="223"/>
      <c r="E6" s="224"/>
      <c r="F6" s="224"/>
      <c r="G6" s="225"/>
    </row>
    <row r="7" spans="1:9" s="220" customFormat="1" ht="13.5" customHeight="1">
      <c r="A7" s="886" t="s">
        <v>2160</v>
      </c>
      <c r="B7" s="221" t="s">
        <v>2161</v>
      </c>
      <c r="C7" s="226">
        <f ca="1">ROUND(C6*F7,0)</f>
        <v>186</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50</v>
      </c>
      <c r="D8" s="228"/>
      <c r="E8" s="226"/>
      <c r="F8" s="227"/>
      <c r="G8" s="2044" t="s">
        <v>3213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3219</v>
      </c>
      <c r="H9" s="1299"/>
      <c r="I9" s="2046" t="s">
        <v>2165</v>
      </c>
    </row>
    <row r="10" spans="1:9" s="220" customFormat="1" ht="13.5" customHeight="1">
      <c r="A10" s="887" t="s">
        <v>801</v>
      </c>
      <c r="B10" s="230" t="s">
        <v>2166</v>
      </c>
      <c r="C10" s="231">
        <f ca="1">ROUND(D10*E10/10000,0)</f>
        <v>50</v>
      </c>
      <c r="D10" s="954">
        <f ca="1">IF(B1="",'数据-汇总表'!E6,IF(INDIRECT("'数据-取费表'!c"&amp;$G$1)="住宅",INDIRECT("'数据-取费表'!s"&amp;$G$1),INDIRECT("'数据-取费表'!k"&amp;$G$1)+INDIRECT("'数据-取费表'!s"&amp;$G$1)))</f>
        <v>2476.1999999999998</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2476.1999999999998</v>
      </c>
      <c r="E19" s="217">
        <f>'数据-取费表'!B31</f>
        <v>300</v>
      </c>
      <c r="F19" s="237"/>
      <c r="G19" s="2044" t="s">
        <v>3214</v>
      </c>
    </row>
    <row r="20" spans="1:7" s="220" customFormat="1" ht="13.5" customHeight="1">
      <c r="A20" s="261" t="s">
        <v>2179</v>
      </c>
      <c r="B20" s="216" t="s">
        <v>2180</v>
      </c>
      <c r="C20" s="238">
        <f ca="1">ROUND((C5+C19)*F20,0)</f>
        <v>127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461</v>
      </c>
      <c r="D22" s="241">
        <f ca="1">C26</f>
        <v>6.9999999999999999E-4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457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1294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1294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8920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702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624</v>
      </c>
      <c r="D34" s="223"/>
      <c r="E34" s="226"/>
      <c r="F34" s="263">
        <f ca="1">IF('数据-取费表'!B24=0,1,IF(B1="",'数据-取费表'!N16,INDIRECT("'数据-取费表'!n"&amp;$G$1)))</f>
        <v>1</v>
      </c>
      <c r="G34" s="225" t="s">
        <v>2212</v>
      </c>
    </row>
    <row r="35" spans="1:7" ht="13.5" customHeight="1">
      <c r="A35" s="888" t="s">
        <v>796</v>
      </c>
      <c r="B35" s="221" t="s">
        <v>2213</v>
      </c>
      <c r="C35" s="226">
        <f ca="1">ROUND(C34*F35,0)</f>
        <v>19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50</v>
      </c>
      <c r="D37" s="223">
        <f ca="1">D19</f>
        <v>2476.1999999999998</v>
      </c>
      <c r="E37" s="255">
        <f>'数据-取费表'!B35</f>
        <v>200</v>
      </c>
      <c r="F37" s="265"/>
      <c r="G37" s="267" t="s">
        <v>2218</v>
      </c>
    </row>
    <row r="38" spans="1:7" ht="13.5" customHeight="1">
      <c r="A38" s="888" t="s">
        <v>799</v>
      </c>
      <c r="B38" s="221" t="s">
        <v>2219</v>
      </c>
      <c r="C38" s="226">
        <f ca="1">ROUND(C34*F38,0)</f>
        <v>9</v>
      </c>
      <c r="D38" s="226"/>
      <c r="E38" s="226"/>
      <c r="F38" s="265">
        <f>'数据-取费表'!B36</f>
        <v>1.4999999999999999E-2</v>
      </c>
      <c r="G38" s="225" t="s">
        <v>2214</v>
      </c>
    </row>
    <row r="39" spans="1:7" s="220" customFormat="1" ht="13.5" customHeight="1">
      <c r="A39" s="261" t="s">
        <v>2220</v>
      </c>
      <c r="B39" s="216" t="s">
        <v>2221</v>
      </c>
      <c r="C39" s="238">
        <f ca="1">ROUND(C33*F20,0)</f>
        <v>14</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25</v>
      </c>
      <c r="D41" s="241">
        <f ca="1">C44</f>
        <v>6.9999999999999999E-4</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25</v>
      </c>
      <c r="D42" s="244"/>
      <c r="E42" s="244"/>
      <c r="F42" s="245"/>
      <c r="G42" s="3332" t="s">
        <v>2230</v>
      </c>
    </row>
    <row r="43" spans="1:7" ht="13.5" customHeight="1">
      <c r="A43" s="888" t="s">
        <v>792</v>
      </c>
      <c r="B43" s="221" t="s">
        <v>2231</v>
      </c>
      <c r="C43" s="244">
        <f ca="1">ROUND(IF('数据-取费表'!B22&lt;=1,C39*F22*'数据-取费表'!B21/2,C39*(POWER((1+F22),'数据-取费表'!B21/2)-1)),0)</f>
        <v>0</v>
      </c>
      <c r="D43" s="244"/>
      <c r="E43" s="244"/>
      <c r="F43" s="245"/>
      <c r="G43" s="3333"/>
    </row>
    <row r="44" spans="1:7" ht="13.5" customHeight="1">
      <c r="A44" s="888" t="s">
        <v>793</v>
      </c>
      <c r="B44" s="221" t="s">
        <v>2232</v>
      </c>
      <c r="C44" s="244">
        <f ca="1">ROUND(IF('数据-取费表'!B22&lt;=1,C40*F22*'数据-取费表'!B21/2,C40*(POWER((1+F22),'数据-取费表'!B21/2)-1)),4)</f>
        <v>6.9999999999999999E-4</v>
      </c>
      <c r="D44" s="244"/>
      <c r="E44" s="244"/>
      <c r="F44" s="245"/>
      <c r="G44" s="3334"/>
    </row>
    <row r="45" spans="1:7" s="220" customFormat="1" ht="13.5" customHeight="1">
      <c r="A45" s="261" t="s">
        <v>2233</v>
      </c>
      <c r="B45" s="250" t="s">
        <v>2199</v>
      </c>
      <c r="C45" s="251">
        <f ca="1">C46</f>
        <v>143</v>
      </c>
      <c r="D45" s="241">
        <f ca="1">C47</f>
        <v>4.0000000000000001E-3</v>
      </c>
      <c r="E45" s="242" t="s">
        <v>2225</v>
      </c>
      <c r="F45" s="2539">
        <f ca="1">F27</f>
        <v>0.2</v>
      </c>
      <c r="G45" s="253" t="s">
        <v>2234</v>
      </c>
    </row>
    <row r="46" spans="1:7" s="220" customFormat="1" ht="13.5" customHeight="1">
      <c r="A46" s="888" t="s">
        <v>791</v>
      </c>
      <c r="B46" s="254" t="s">
        <v>2235</v>
      </c>
      <c r="C46" s="255">
        <f ca="1">ROUND((C33+C39)*F27,0)</f>
        <v>143</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959</v>
      </c>
      <c r="D49" s="238"/>
      <c r="E49" s="238"/>
      <c r="F49" s="270"/>
      <c r="G49" s="240" t="s">
        <v>2240</v>
      </c>
    </row>
    <row r="50" spans="1:7" s="264" customFormat="1" ht="24">
      <c r="A50" s="261" t="s">
        <v>2241</v>
      </c>
      <c r="B50" s="216" t="s">
        <v>2242</v>
      </c>
      <c r="C50" s="238"/>
      <c r="D50" s="238"/>
      <c r="E50" s="238"/>
      <c r="F50" s="270">
        <f>IF('数据-取费表'!B24=0,'数据-取费表'!N16,1)</f>
        <v>0.65</v>
      </c>
      <c r="G50" s="253" t="s">
        <v>2243</v>
      </c>
    </row>
    <row r="51" spans="1:7" ht="16.5" customHeight="1">
      <c r="A51" s="261" t="s">
        <v>2244</v>
      </c>
      <c r="B51" s="216" t="s">
        <v>2245</v>
      </c>
      <c r="C51" s="238">
        <f ca="1">ROUND(C49*F50,0)</f>
        <v>623</v>
      </c>
      <c r="D51" s="238"/>
      <c r="E51" s="238"/>
      <c r="F51" s="270"/>
      <c r="G51" s="240" t="s">
        <v>2246</v>
      </c>
    </row>
    <row r="52" spans="1:7" s="214" customFormat="1" ht="16.5" thickBot="1">
      <c r="A52" s="271" t="s">
        <v>2247</v>
      </c>
      <c r="B52" s="272"/>
      <c r="C52" s="273">
        <f ca="1">C31+C51</f>
        <v>9543</v>
      </c>
      <c r="D52" s="272"/>
      <c r="E52" s="272"/>
      <c r="F52" s="272"/>
      <c r="G52" s="274"/>
    </row>
    <row r="55" spans="1:7" ht="15">
      <c r="B55" s="276" t="s">
        <v>2248</v>
      </c>
      <c r="C55" s="277"/>
    </row>
    <row r="56" spans="1:7">
      <c r="B56" s="279" t="s">
        <v>1478</v>
      </c>
      <c r="C56" s="281">
        <f ca="1">1-C57</f>
        <v>0.93500000000000005</v>
      </c>
    </row>
    <row r="57" spans="1:7">
      <c r="B57" s="279" t="s">
        <v>1479</v>
      </c>
      <c r="C57" s="280">
        <f ca="1">ROUND(C51/C52,3)</f>
        <v>6.5000000000000002E-2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43" t="str">
        <f>项目基本情况!B1</f>
        <v>北京市房地产市场价值预评估</v>
      </c>
      <c r="C37" s="3143"/>
      <c r="D37" s="3143"/>
      <c r="E37" s="3143"/>
      <c r="F37" s="3143"/>
      <c r="G37" s="3143"/>
      <c r="H37" s="3143"/>
      <c r="I37" s="3143"/>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t="s">
        <v>27</v>
      </c>
      <c r="C1" s="2047" t="s">
        <v>2249</v>
      </c>
      <c r="D1" s="204"/>
      <c r="E1" s="204"/>
      <c r="F1" s="204"/>
      <c r="G1" s="1288" t="e">
        <f>MATCH(B1,'数据-取费表'!A6:A16,0)+5</f>
        <v>#N/A</v>
      </c>
      <c r="H1" s="1192" t="str">
        <f>IF(ISERROR(FIND("住宅",B1)),"非住宅","住宅")</f>
        <v>非住宅</v>
      </c>
    </row>
    <row r="2" spans="1:8" s="206" customFormat="1" ht="18" customHeight="1">
      <c r="A2" s="207" t="s">
        <v>2148</v>
      </c>
      <c r="B2" s="208" t="e">
        <f ca="1">ROUND(IF(D2="——",C52/10000,C52/10000-E2),0)</f>
        <v>#N/A</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t="e">
        <f ca="1">ROUND(B2*10000/(IF(B1="",'数据-汇总表'!E3,INDIRECT("'数据-取费表'!k"&amp;$G$1))),0)</f>
        <v>#N/A</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 ca="1">C6+C7+C8</f>
        <v>#N/A</v>
      </c>
      <c r="D5" s="217" t="s">
        <v>2155</v>
      </c>
      <c r="E5" s="218" t="s">
        <v>2156</v>
      </c>
      <c r="F5" s="218" t="s">
        <v>2157</v>
      </c>
      <c r="G5" s="219"/>
    </row>
    <row r="6" spans="1:8" s="220" customFormat="1" ht="13.5" customHeight="1">
      <c r="A6" s="886" t="s">
        <v>2158</v>
      </c>
      <c r="B6" s="221" t="s">
        <v>2159</v>
      </c>
      <c r="C6" s="222">
        <f ca="1">基准地价修正!E29</f>
        <v>5815</v>
      </c>
      <c r="D6" s="223"/>
      <c r="E6" s="224"/>
      <c r="F6" s="224"/>
      <c r="G6" s="225"/>
    </row>
    <row r="7" spans="1:8" s="220" customFormat="1" ht="13.5" customHeight="1">
      <c r="A7" s="886" t="s">
        <v>2160</v>
      </c>
      <c r="B7" s="221" t="s">
        <v>2161</v>
      </c>
      <c r="C7" s="226">
        <f ca="1">ROUND(C6*F7,0)</f>
        <v>177</v>
      </c>
      <c r="D7" s="226"/>
      <c r="E7" s="224"/>
      <c r="F7" s="227">
        <f>IF(项目基本情况!B8="出让",0,'数据-取费表'!B48+'数据-取费表'!B49)</f>
        <v>3.0499999999999999E-2</v>
      </c>
      <c r="G7" s="225"/>
    </row>
    <row r="8" spans="1:8" s="229" customFormat="1">
      <c r="A8" s="886" t="s">
        <v>2162</v>
      </c>
      <c r="B8" s="221" t="s">
        <v>2163</v>
      </c>
      <c r="C8" s="226" t="e">
        <f ca="1">IF(G8="已包含在土地购买价格中",0,C9+C10)</f>
        <v>#N/A</v>
      </c>
      <c r="D8" s="228"/>
      <c r="E8" s="226"/>
      <c r="F8" s="227"/>
      <c r="G8" s="2044" t="s">
        <v>3213</v>
      </c>
    </row>
    <row r="9" spans="1:8" s="220" customFormat="1" ht="13.5" customHeight="1">
      <c r="A9" s="887" t="s">
        <v>800</v>
      </c>
      <c r="B9" s="230" t="s">
        <v>2164</v>
      </c>
      <c r="C9" s="231" t="e">
        <f ca="1">ROUND(D9*E9,0)</f>
        <v>#N/A</v>
      </c>
      <c r="D9" s="954" t="e">
        <f ca="1">IF(B1="",'数据-汇总表'!E5,IF(INDIRECT("'数据-取费表'!c"&amp;$G$1)="住宅",INDIRECT("'数据-取费表'!k"&amp;$G$1),0))</f>
        <v>#N/A</v>
      </c>
      <c r="E9" s="231">
        <f>'数据-取费表'!B27</f>
        <v>160</v>
      </c>
      <c r="F9" s="227"/>
      <c r="G9" s="232"/>
    </row>
    <row r="10" spans="1:8" s="220" customFormat="1" ht="13.5" customHeight="1">
      <c r="A10" s="887" t="s">
        <v>801</v>
      </c>
      <c r="B10" s="230" t="s">
        <v>2166</v>
      </c>
      <c r="C10" s="231" t="e">
        <f ca="1">ROUND(D10*E10,0)</f>
        <v>#N/A</v>
      </c>
      <c r="D10" s="954" t="e">
        <f ca="1">IF(B1="",'数据-汇总表'!E6,IF(INDIRECT("'数据-取费表'!c"&amp;$G$1)="住宅",INDIRECT("'数据-取费表'!s"&amp;$G$1),INDIRECT("'数据-取费表'!k"&amp;$G$1)+INDIRECT("'数据-取费表'!s"&amp;$G$1)))</f>
        <v>#N/A</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t="e">
        <f ca="1">D9+D10</f>
        <v>#N/A</v>
      </c>
      <c r="E19" s="217">
        <f>'数据-取费表'!B31</f>
        <v>300</v>
      </c>
      <c r="F19" s="237"/>
      <c r="G19" s="2044" t="s">
        <v>3214</v>
      </c>
    </row>
    <row r="20" spans="1:7" s="220" customFormat="1" ht="13.5" customHeight="1">
      <c r="A20" s="261" t="s">
        <v>2260</v>
      </c>
      <c r="B20" s="216" t="s">
        <v>2261</v>
      </c>
      <c r="C20" s="238" t="e">
        <f ca="1">ROUND((C5+C19)*F20,0)</f>
        <v>#N/A</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t="e">
        <f ca="1">ROUND(SUM(C23:C25),0)</f>
        <v>#N/A</v>
      </c>
      <c r="D22" s="241">
        <f ca="1">C26</f>
        <v>6.9999999999999999E-4</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#N/A</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#N/A</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t="e">
        <f ca="1">C28</f>
        <v>#N/A</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ROUND((C5+C19+C20)*F27,0)</f>
        <v>#N/A</v>
      </c>
      <c r="D28" s="241"/>
      <c r="E28" s="242"/>
      <c r="F28" s="252"/>
      <c r="G28" s="253"/>
    </row>
    <row r="29" spans="1:7" s="220" customFormat="1" ht="13.5" customHeight="1">
      <c r="A29" s="888" t="s">
        <v>792</v>
      </c>
      <c r="B29" s="254" t="s">
        <v>2203</v>
      </c>
      <c r="C29" s="244" t="e">
        <f ca="1">ROUND(C21*F27,4)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#N/A</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t="e">
        <f ca="1">SUM(C34:C38)</f>
        <v>#N/A</v>
      </c>
      <c r="D33" s="238"/>
      <c r="E33" s="218"/>
      <c r="F33" s="247"/>
      <c r="G33" s="240"/>
    </row>
    <row r="34" spans="1:7" s="264" customFormat="1" ht="13.5" customHeight="1">
      <c r="A34" s="888" t="s">
        <v>791</v>
      </c>
      <c r="B34" s="221" t="s">
        <v>2211</v>
      </c>
      <c r="C34" s="226" t="e">
        <f ca="1">ROUND(IF(B1="",SUMPRODUCT('数据-取费表'!K6:K14,'数据-取费表'!L6:L14),INDIRECT("'数据-取费表'!l"&amp;$G$1)*INDIRECT("'数据-取费表'!k"&amp;$G$1)+'数据-取费表'!L14*INDIRECT("'数据-取费表'!S"&amp;$G$1)),0)</f>
        <v>#N/A</v>
      </c>
      <c r="D34" s="223"/>
      <c r="E34" s="226"/>
      <c r="F34" s="263"/>
      <c r="G34" s="225"/>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ROUND(IF(B1="",SUM('数据-取费表'!AP6:AP13)*F36,IF(INDIRECT("'数据-取费表'!c"&amp;$G$1)="住宅",INDIRECT("'数据-取费表'!k"&amp;$G$1)*INDIRECT("'数据-取费表'!l"&amp;$G$1)*F36,0)),0)</f>
        <v>#N/A</v>
      </c>
      <c r="D36" s="226"/>
      <c r="E36" s="226"/>
      <c r="F36" s="265">
        <f>'数据-取费表'!B34</f>
        <v>0</v>
      </c>
      <c r="G36" s="266" t="s">
        <v>2216</v>
      </c>
    </row>
    <row r="37" spans="1:7" s="264" customFormat="1" ht="13.5" customHeight="1">
      <c r="A37" s="888" t="s">
        <v>798</v>
      </c>
      <c r="B37" s="221" t="s">
        <v>2217</v>
      </c>
      <c r="C37" s="255" t="e">
        <f ca="1">ROUND(E37*D37,0)</f>
        <v>#N/A</v>
      </c>
      <c r="D37" s="223" t="e">
        <f ca="1">D19</f>
        <v>#N/A</v>
      </c>
      <c r="E37" s="255">
        <f>'数据-取费表'!B35</f>
        <v>200</v>
      </c>
      <c r="F37" s="265"/>
      <c r="G37" s="267"/>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t="e">
        <f ca="1">ROUND(SUM(C42:C43),0)</f>
        <v>#N/A</v>
      </c>
      <c r="D41" s="241">
        <f ca="1">C44</f>
        <v>6.9999999999999999E-4</v>
      </c>
      <c r="E41" s="242" t="s">
        <v>2225</v>
      </c>
      <c r="F41" s="2538">
        <f ca="1">F22</f>
        <v>4.7500000000000001E-2</v>
      </c>
      <c r="G41" s="240" t="str">
        <f>IF('数据-取费表'!B22&lt;=1,"单利计息","复利计息")</f>
        <v>复利计息</v>
      </c>
    </row>
    <row r="42" spans="1:7" ht="13.5" customHeight="1">
      <c r="A42" s="888" t="s">
        <v>791</v>
      </c>
      <c r="B42" s="221" t="s">
        <v>2229</v>
      </c>
      <c r="C42" s="244" t="e">
        <f ca="1">ROUND(IF('数据-取费表'!B22&lt;=1,C33*F22*'数据-取费表'!B20/2,C33*(POWER((1+F22),'数据-取费表'!B20/2)-1)),0)</f>
        <v>#N/A</v>
      </c>
      <c r="D42" s="244"/>
      <c r="E42" s="244"/>
      <c r="F42" s="245"/>
      <c r="G42" s="3332" t="s">
        <v>2277</v>
      </c>
    </row>
    <row r="43" spans="1:7" ht="13.5" customHeight="1">
      <c r="A43" s="888" t="s">
        <v>792</v>
      </c>
      <c r="B43" s="221" t="s">
        <v>2231</v>
      </c>
      <c r="C43" s="244" t="e">
        <f ca="1">ROUND(IF('数据-取费表'!B22&lt;=1,C39*F22*'数据-取费表'!B20/2,C39*(POWER((1+F22),'数据-取费表'!B20/2)-1)),0)</f>
        <v>#N/A</v>
      </c>
      <c r="D43" s="244"/>
      <c r="E43" s="244"/>
      <c r="F43" s="245"/>
      <c r="G43" s="3333"/>
    </row>
    <row r="44" spans="1:7" ht="13.5" customHeight="1">
      <c r="A44" s="888" t="s">
        <v>793</v>
      </c>
      <c r="B44" s="221" t="s">
        <v>2232</v>
      </c>
      <c r="C44" s="244">
        <f ca="1">ROUND(IF('数据-取费表'!B22&lt;=1,C40*F22*'数据-取费表'!B20/2,C40*(POWER((1+F22),'数据-取费表'!B20/2)-1)),4)</f>
        <v>6.9999999999999999E-4</v>
      </c>
      <c r="D44" s="244"/>
      <c r="E44" s="244"/>
      <c r="F44" s="245"/>
      <c r="G44" s="3334"/>
    </row>
    <row r="45" spans="1:7" s="220" customFormat="1" ht="13.5" customHeight="1">
      <c r="A45" s="261" t="s">
        <v>2233</v>
      </c>
      <c r="B45" s="250" t="s">
        <v>2199</v>
      </c>
      <c r="C45" s="251" t="e">
        <f ca="1">C46</f>
        <v>#N/A</v>
      </c>
      <c r="D45" s="241" t="e">
        <f ca="1">C47</f>
        <v>#N/A</v>
      </c>
      <c r="E45" s="242" t="s">
        <v>2225</v>
      </c>
      <c r="F45" s="2539"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t="e">
        <f ca="1">ROUND((C33+C39+C41+C45)/(1-C40-D41-D45-C48),0)</f>
        <v>#N/A</v>
      </c>
      <c r="D49" s="238"/>
      <c r="E49" s="238"/>
      <c r="F49" s="270"/>
      <c r="G49" s="240" t="s">
        <v>2240</v>
      </c>
    </row>
    <row r="50" spans="1:7" s="264" customFormat="1">
      <c r="A50" s="261" t="s">
        <v>2241</v>
      </c>
      <c r="B50" s="216" t="s">
        <v>2242</v>
      </c>
      <c r="C50" s="238"/>
      <c r="D50" s="238"/>
      <c r="E50" s="238"/>
      <c r="F50" s="270">
        <f>IF('数据-取费表'!B24=0,'数据-取费表'!N16,1)</f>
        <v>0.65</v>
      </c>
      <c r="G50" s="253"/>
    </row>
    <row r="51" spans="1:7" ht="16.5" customHeight="1">
      <c r="A51" s="261" t="s">
        <v>2244</v>
      </c>
      <c r="B51" s="216" t="s">
        <v>2279</v>
      </c>
      <c r="C51" s="238" t="e">
        <f ca="1">ROUND(C49*F50,0)</f>
        <v>#N/A</v>
      </c>
      <c r="D51" s="238"/>
      <c r="E51" s="238"/>
      <c r="F51" s="270"/>
      <c r="G51" s="240" t="s">
        <v>2246</v>
      </c>
    </row>
    <row r="52" spans="1:7" s="214" customFormat="1" ht="16.5" thickBot="1">
      <c r="A52" s="271" t="s">
        <v>2247</v>
      </c>
      <c r="B52" s="272"/>
      <c r="C52" s="273" t="e">
        <f ca="1">C31+C51</f>
        <v>#N/A</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8</v>
      </c>
    </row>
    <row r="2" spans="1:33" ht="18" customHeight="1">
      <c r="A2" s="207" t="s">
        <v>2148</v>
      </c>
      <c r="B2" s="210">
        <f ca="1">C32</f>
        <v>-68</v>
      </c>
      <c r="C2" s="282" t="s">
        <v>2281</v>
      </c>
      <c r="D2" s="282"/>
      <c r="E2" s="3038"/>
      <c r="F2" s="3038"/>
      <c r="G2" s="3038"/>
      <c r="H2" s="3038"/>
      <c r="I2" s="3038"/>
      <c r="J2" s="3038"/>
      <c r="K2" s="3038"/>
    </row>
    <row r="3" spans="1:33" ht="18" customHeight="1" thickBot="1">
      <c r="A3" s="209" t="s">
        <v>2150</v>
      </c>
      <c r="B3" s="210">
        <f ca="1">ROUND(B2*10000/IF(C1="",'数据-汇总表'!E3,INDIRECT("'数据-取费表'!K"&amp;$K$1)),0)</f>
        <v>-241</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2826.8999999999996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2826.8999999999996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57</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57</v>
      </c>
      <c r="D20" s="955">
        <f ca="1">IF(C1="",'数据-汇总表'!E6,IF(INDIRECT("'数据-取费表'!c"&amp;$K$1)="住宅",INDIRECT("'数据-取费表'!s"&amp;$K$1),INDIRECT("'数据-取费表'!k"&amp;$K$1)+INDIRECT("'数据-取费表'!s"&amp;$K$1)))</f>
        <v>2826.8999999999996</v>
      </c>
      <c r="E20" s="24">
        <f>'数据-取费表'!B28</f>
        <v>200</v>
      </c>
      <c r="F20" s="913"/>
      <c r="G20" s="15"/>
      <c r="H20" s="918"/>
      <c r="I20" s="918"/>
      <c r="J20" s="918"/>
      <c r="K20" s="919"/>
    </row>
    <row r="21" spans="1:33" s="912" customFormat="1" ht="13.5" customHeight="1">
      <c r="A21" s="898" t="s">
        <v>802</v>
      </c>
      <c r="B21" s="922" t="s">
        <v>2317</v>
      </c>
      <c r="C21" s="923">
        <f ca="1">C16+C17+C18</f>
        <v>57</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12</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12</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-68</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6"/>
      <c r="H2" s="2925"/>
      <c r="I2" s="2925"/>
      <c r="J2" s="2925"/>
      <c r="K2" s="2926"/>
      <c r="L2" s="2925"/>
      <c r="M2" s="2925"/>
    </row>
    <row r="3" spans="1:37" ht="18" customHeight="1" thickBot="1">
      <c r="A3" s="1576" t="s">
        <v>1482</v>
      </c>
      <c r="B3" s="1577">
        <f ca="1">IF(ISERROR(B2*10000/F43),0,ROUND(B2*10000/F43,0))</f>
        <v>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337" t="s">
        <v>1368</v>
      </c>
      <c r="C6" s="1206">
        <f ca="1">ROUND(F6*F8*F7*(1-F9)/10000,0)</f>
        <v>0</v>
      </c>
      <c r="D6" s="160" t="s">
        <v>2849</v>
      </c>
      <c r="E6" s="308" t="s">
        <v>1370</v>
      </c>
      <c r="F6" s="309">
        <f ca="1">INDIRECT("'数据-取费表'!u"&amp;$G$1)</f>
        <v>0</v>
      </c>
      <c r="G6" s="1570"/>
      <c r="H6" s="1201" t="s">
        <v>1003</v>
      </c>
      <c r="I6" s="3337" t="s">
        <v>1368</v>
      </c>
      <c r="J6" s="307">
        <f ca="1">ROUND(M6*M8*M7*(1-M9)/10000,0)</f>
        <v>0</v>
      </c>
      <c r="K6" s="160" t="s">
        <v>2848</v>
      </c>
      <c r="L6" s="308" t="s">
        <v>1370</v>
      </c>
      <c r="M6" s="309">
        <f ca="1">INDIRECT("'数据-取费表'!z"&amp;$G$1)</f>
        <v>0</v>
      </c>
    </row>
    <row r="7" spans="1:37" ht="18" customHeight="1">
      <c r="A7" s="1205"/>
      <c r="B7" s="3338"/>
      <c r="C7" s="1207"/>
      <c r="D7" s="313"/>
      <c r="E7" s="1208" t="s">
        <v>1371</v>
      </c>
      <c r="F7" s="309">
        <f ca="1">IF(INDIRECT("'数据-取费表'!ah"&amp;$G$1)="",INDIRECT("'数据-取费表'!k"&amp;$G$1),INDIRECT("'数据-取费表'!ah"&amp;$G$1))</f>
        <v>0</v>
      </c>
      <c r="G7" s="1570"/>
      <c r="H7" s="310"/>
      <c r="I7" s="3338"/>
      <c r="J7" s="312"/>
      <c r="K7" s="313"/>
      <c r="L7" s="308" t="s">
        <v>1371</v>
      </c>
      <c r="M7" s="309">
        <f ca="1">F7</f>
        <v>0</v>
      </c>
    </row>
    <row r="8" spans="1:37" ht="18" customHeight="1">
      <c r="A8" s="310"/>
      <c r="B8" s="3338"/>
      <c r="C8" s="312"/>
      <c r="D8" s="313"/>
      <c r="E8" s="308" t="s">
        <v>1372</v>
      </c>
      <c r="F8" s="309">
        <f ca="1">INDIRECT("'数据-取费表'!ai"&amp;$G$1)</f>
        <v>0</v>
      </c>
      <c r="G8" s="1570"/>
      <c r="H8" s="310"/>
      <c r="I8" s="3338"/>
      <c r="J8" s="312"/>
      <c r="K8" s="313"/>
      <c r="L8" s="308" t="s">
        <v>1372</v>
      </c>
      <c r="M8" s="309">
        <f ca="1">INDIRECT("'数据-取费表'!ai"&amp;$G$1)</f>
        <v>0</v>
      </c>
    </row>
    <row r="9" spans="1:37" ht="18" customHeight="1">
      <c r="A9" s="310"/>
      <c r="B9" s="3339"/>
      <c r="C9" s="312"/>
      <c r="D9" s="313"/>
      <c r="E9" s="308" t="s">
        <v>1373</v>
      </c>
      <c r="F9" s="318">
        <f ca="1">INDIRECT("'数据-取费表'!w"&amp;$G$1)</f>
        <v>0</v>
      </c>
      <c r="G9" s="1570"/>
      <c r="H9" s="310"/>
      <c r="I9" s="333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0" t="s">
        <v>3056</v>
      </c>
      <c r="I31" s="1584"/>
      <c r="J31" s="1585"/>
      <c r="K31" s="2703"/>
      <c r="L31" s="2928"/>
      <c r="M31" s="2929"/>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0</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ROUND(C29*F36,1)</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ROUND(C13*F37,1)</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335" t="s">
        <v>1513</v>
      </c>
      <c r="L53" s="3336"/>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37" t="s">
        <v>1368</v>
      </c>
      <c r="C6" s="1206">
        <f ca="1">ROUND(F6*F8*F7*(1-F9),0)</f>
        <v>0</v>
      </c>
      <c r="D6" s="160" t="s">
        <v>2846</v>
      </c>
      <c r="E6" s="308" t="s">
        <v>1370</v>
      </c>
      <c r="F6" s="309">
        <f ca="1">INDIRECT("'数据-取费表'!u"&amp;$G$1)</f>
        <v>0</v>
      </c>
      <c r="G6" s="1570"/>
      <c r="H6" s="1201" t="s">
        <v>1003</v>
      </c>
      <c r="I6" s="3337" t="s">
        <v>1368</v>
      </c>
      <c r="J6" s="307">
        <f ca="1">ROUND(M6*M8*M7*(1-M9),0)</f>
        <v>0</v>
      </c>
      <c r="K6" s="1562" t="s">
        <v>2847</v>
      </c>
      <c r="L6" s="308" t="s">
        <v>1370</v>
      </c>
      <c r="M6" s="309">
        <f ca="1">INDIRECT("'数据-取费表'!z"&amp;$G$1)</f>
        <v>0</v>
      </c>
    </row>
    <row r="7" spans="1:37" ht="18" customHeight="1">
      <c r="A7" s="1205"/>
      <c r="B7" s="3338"/>
      <c r="C7" s="1207"/>
      <c r="D7" s="313"/>
      <c r="E7" s="1208" t="s">
        <v>1371</v>
      </c>
      <c r="F7" s="309">
        <f ca="1">IF(INDIRECT("'数据-取费表'!ah"&amp;$G$1)="",INDIRECT("'数据-取费表'!k"&amp;$G$1),INDIRECT("'数据-取费表'!ah"&amp;$G$1))</f>
        <v>0</v>
      </c>
      <c r="G7" s="1570"/>
      <c r="H7" s="310"/>
      <c r="I7" s="3338"/>
      <c r="J7" s="312"/>
      <c r="K7" s="313"/>
      <c r="L7" s="308" t="s">
        <v>1371</v>
      </c>
      <c r="M7" s="309">
        <f ca="1">F7</f>
        <v>0</v>
      </c>
    </row>
    <row r="8" spans="1:37" ht="18" customHeight="1">
      <c r="A8" s="310"/>
      <c r="B8" s="3338"/>
      <c r="C8" s="312"/>
      <c r="D8" s="313"/>
      <c r="E8" s="308" t="s">
        <v>1372</v>
      </c>
      <c r="F8" s="309">
        <f ca="1">INDIRECT("'数据-取费表'!ai"&amp;$G$1)</f>
        <v>0</v>
      </c>
      <c r="G8" s="1570"/>
      <c r="H8" s="310"/>
      <c r="I8" s="3338"/>
      <c r="J8" s="312"/>
      <c r="K8" s="313"/>
      <c r="L8" s="308" t="s">
        <v>1372</v>
      </c>
      <c r="M8" s="309">
        <f ca="1">INDIRECT("'数据-取费表'!ai"&amp;$G$1)</f>
        <v>0</v>
      </c>
    </row>
    <row r="9" spans="1:37" ht="18" customHeight="1">
      <c r="A9" s="310"/>
      <c r="B9" s="3339"/>
      <c r="C9" s="312"/>
      <c r="D9" s="313"/>
      <c r="E9" s="308" t="s">
        <v>1373</v>
      </c>
      <c r="F9" s="318">
        <f ca="1">INDIRECT("'数据-取费表'!w"&amp;$G$1)</f>
        <v>0</v>
      </c>
      <c r="G9" s="1570"/>
      <c r="H9" s="310"/>
      <c r="I9" s="333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0" t="s">
        <v>3056</v>
      </c>
      <c r="I31" s="1584"/>
      <c r="J31" s="1585"/>
      <c r="K31" s="2703"/>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0</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335" t="s">
        <v>1513</v>
      </c>
      <c r="L53" s="3336"/>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7"/>
      <c r="G1" s="1676"/>
      <c r="H1" s="1676"/>
      <c r="I1" s="1676"/>
      <c r="J1" s="1676"/>
      <c r="K1" s="1676"/>
      <c r="L1" s="1676"/>
      <c r="M1" s="1676"/>
      <c r="N1" s="1676"/>
      <c r="O1" s="1676"/>
      <c r="P1" s="1676"/>
      <c r="Q1" s="1676"/>
      <c r="R1" s="1676"/>
      <c r="S1" s="1676"/>
    </row>
    <row r="2" spans="1:22" ht="15.75">
      <c r="A2" s="2058" t="s">
        <v>2148</v>
      </c>
      <c r="B2" s="2059">
        <f ca="1">SUMIF(B6:B13,"&lt;&gt;#ref!",B6:B13)</f>
        <v>0</v>
      </c>
      <c r="C2" s="2060" t="s">
        <v>2340</v>
      </c>
      <c r="D2" s="2061" t="s">
        <v>2341</v>
      </c>
      <c r="E2" s="2834">
        <f>SUM(E6:E13)</f>
        <v>0</v>
      </c>
      <c r="F2" s="2937"/>
      <c r="G2" s="1676"/>
      <c r="H2" s="1676"/>
      <c r="I2" s="1676"/>
      <c r="J2" s="1676"/>
      <c r="K2" s="1676"/>
      <c r="L2" s="1676"/>
      <c r="M2" s="1676"/>
      <c r="N2" s="1676"/>
      <c r="O2" s="1676"/>
      <c r="P2" s="1676"/>
      <c r="Q2" s="1676"/>
      <c r="R2" s="1676"/>
      <c r="S2" s="1676"/>
    </row>
    <row r="3" spans="1:22" ht="15.75">
      <c r="A3" s="2058" t="s">
        <v>1360</v>
      </c>
      <c r="B3" s="2828" t="e">
        <f ca="1">ROUND(B2*10000/E2,0)</f>
        <v>#DIV/0!</v>
      </c>
      <c r="C3" s="2060" t="s">
        <v>2348</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2342</v>
      </c>
      <c r="B5" s="3340" t="s">
        <v>2343</v>
      </c>
      <c r="C5" s="3341"/>
      <c r="D5" s="2938"/>
      <c r="E5" s="2062" t="s">
        <v>2344</v>
      </c>
      <c r="F5" s="2063" t="s">
        <v>2345</v>
      </c>
      <c r="G5" s="1676"/>
      <c r="H5" s="1676"/>
      <c r="I5" s="1676"/>
      <c r="J5" s="1676"/>
      <c r="K5" s="1676"/>
      <c r="L5" s="1676"/>
      <c r="M5" s="1676"/>
      <c r="N5" s="1676"/>
      <c r="O5" s="1676"/>
      <c r="P5" s="1676"/>
      <c r="Q5" s="1676"/>
      <c r="R5" s="1676"/>
      <c r="S5" s="1676"/>
    </row>
    <row r="6" spans="1:22">
      <c r="A6" s="2831">
        <f>'数据-取费表'!AN6</f>
        <v>0</v>
      </c>
      <c r="B6" s="2829" t="e">
        <f ca="1">IF(F6="是",'数据-取费表'!AO6,0)</f>
        <v>#REF!</v>
      </c>
      <c r="C6" s="2060" t="s">
        <v>2340</v>
      </c>
      <c r="D6" s="2939"/>
      <c r="E6" s="2833">
        <f>IF(OR(A6=0,F6="否"),0,'数据-取费表'!K6+'数据-取费表'!S6)</f>
        <v>0</v>
      </c>
      <c r="F6" s="2064" t="s">
        <v>2346</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60" t="s">
        <v>2340</v>
      </c>
      <c r="D7" s="2939"/>
      <c r="E7" s="2833">
        <f>IF(OR(A7=0,F7="否"),0,'数据-取费表'!K7+'数据-取费表'!S7)</f>
        <v>0</v>
      </c>
      <c r="F7" s="2064" t="s">
        <v>2346</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60" t="s">
        <v>2340</v>
      </c>
      <c r="D8" s="2939"/>
      <c r="E8" s="2833">
        <f>IF(OR(A8=0,F8="否"),0,'数据-取费表'!K8+'数据-取费表'!S8)</f>
        <v>0</v>
      </c>
      <c r="F8" s="2064" t="s">
        <v>2346</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60" t="s">
        <v>2340</v>
      </c>
      <c r="D9" s="2939"/>
      <c r="E9" s="2833">
        <f>IF(OR(A9=0,F9="否"),0,'数据-取费表'!K9+'数据-取费表'!S9)</f>
        <v>0</v>
      </c>
      <c r="F9" s="2064" t="s">
        <v>2346</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60" t="s">
        <v>2340</v>
      </c>
      <c r="D10" s="2939"/>
      <c r="E10" s="2833">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60" t="s">
        <v>2340</v>
      </c>
      <c r="D11" s="2939"/>
      <c r="E11" s="2833">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60" t="s">
        <v>2340</v>
      </c>
      <c r="D12" s="2939"/>
      <c r="E12" s="2833">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5" t="s">
        <v>2340</v>
      </c>
      <c r="D13" s="2940"/>
      <c r="E13" s="2833">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342" t="s">
        <v>1044</v>
      </c>
      <c r="B1" s="3343"/>
      <c r="C1" s="3344"/>
      <c r="D1" s="3345">
        <f>SUM(I10,I15,I20,I21,I23)</f>
        <v>0</v>
      </c>
      <c r="E1" s="3345"/>
      <c r="F1" s="3345"/>
      <c r="G1" s="3345"/>
      <c r="H1" s="3345"/>
      <c r="I1" s="3346"/>
    </row>
    <row r="2" spans="1:9">
      <c r="A2" s="3347" t="s">
        <v>1045</v>
      </c>
      <c r="B2" s="3348" t="s">
        <v>1046</v>
      </c>
      <c r="C2" s="3348"/>
      <c r="D2" s="1211" t="s">
        <v>1047</v>
      </c>
      <c r="E2" s="1211" t="s">
        <v>1048</v>
      </c>
      <c r="F2" s="1211" t="s">
        <v>1049</v>
      </c>
      <c r="G2" s="1211" t="s">
        <v>1050</v>
      </c>
      <c r="H2" s="1211" t="s">
        <v>1051</v>
      </c>
      <c r="I2" s="1212" t="s">
        <v>1052</v>
      </c>
    </row>
    <row r="3" spans="1:9">
      <c r="A3" s="3347"/>
      <c r="B3" s="3348" t="s">
        <v>1053</v>
      </c>
      <c r="C3" s="3348"/>
      <c r="D3" s="1213"/>
      <c r="E3" s="1211"/>
      <c r="F3" s="1214"/>
      <c r="G3" s="1214"/>
      <c r="H3" s="1215"/>
      <c r="I3" s="1216">
        <f>ROUND(D3*E3*F3*G3*H3/10000,0)</f>
        <v>0</v>
      </c>
    </row>
    <row r="4" spans="1:9">
      <c r="A4" s="3347"/>
      <c r="B4" s="3348" t="s">
        <v>1054</v>
      </c>
      <c r="C4" s="3348"/>
      <c r="D4" s="1213"/>
      <c r="E4" s="1211"/>
      <c r="F4" s="1214"/>
      <c r="G4" s="1214"/>
      <c r="H4" s="1215"/>
      <c r="I4" s="1216">
        <f t="shared" ref="I4:I9" si="0">ROUND(D4*E4*F4*G4*H4/10000,0)</f>
        <v>0</v>
      </c>
    </row>
    <row r="5" spans="1:9">
      <c r="A5" s="3347"/>
      <c r="B5" s="3348" t="s">
        <v>1055</v>
      </c>
      <c r="C5" s="3348"/>
      <c r="D5" s="1213"/>
      <c r="E5" s="1211"/>
      <c r="F5" s="1214"/>
      <c r="G5" s="1214"/>
      <c r="H5" s="1215"/>
      <c r="I5" s="1216">
        <f t="shared" si="0"/>
        <v>0</v>
      </c>
    </row>
    <row r="6" spans="1:9">
      <c r="A6" s="3347"/>
      <c r="B6" s="3348" t="s">
        <v>1056</v>
      </c>
      <c r="C6" s="3348"/>
      <c r="D6" s="1213"/>
      <c r="E6" s="1211"/>
      <c r="F6" s="1214"/>
      <c r="G6" s="1214"/>
      <c r="H6" s="1215"/>
      <c r="I6" s="1216">
        <f t="shared" si="0"/>
        <v>0</v>
      </c>
    </row>
    <row r="7" spans="1:9">
      <c r="A7" s="3347"/>
      <c r="B7" s="3348" t="s">
        <v>1057</v>
      </c>
      <c r="C7" s="3348"/>
      <c r="D7" s="1213"/>
      <c r="E7" s="1211"/>
      <c r="F7" s="1214"/>
      <c r="G7" s="1214"/>
      <c r="H7" s="1215"/>
      <c r="I7" s="1216">
        <f t="shared" si="0"/>
        <v>0</v>
      </c>
    </row>
    <row r="8" spans="1:9">
      <c r="A8" s="3347"/>
      <c r="B8" s="3348" t="s">
        <v>1058</v>
      </c>
      <c r="C8" s="3348"/>
      <c r="D8" s="1213"/>
      <c r="E8" s="1211"/>
      <c r="F8" s="1214"/>
      <c r="G8" s="1214"/>
      <c r="H8" s="1215"/>
      <c r="I8" s="1216">
        <f t="shared" si="0"/>
        <v>0</v>
      </c>
    </row>
    <row r="9" spans="1:9">
      <c r="A9" s="3347"/>
      <c r="B9" s="3348" t="s">
        <v>1059</v>
      </c>
      <c r="C9" s="3348"/>
      <c r="D9" s="1213"/>
      <c r="E9" s="1211"/>
      <c r="F9" s="1214"/>
      <c r="G9" s="1214"/>
      <c r="H9" s="1215"/>
      <c r="I9" s="1216">
        <f t="shared" si="0"/>
        <v>0</v>
      </c>
    </row>
    <row r="10" spans="1:9">
      <c r="A10" s="3347"/>
      <c r="B10" s="3349" t="s">
        <v>1060</v>
      </c>
      <c r="C10" s="3349"/>
      <c r="D10" s="1217"/>
      <c r="E10" s="1217" t="e">
        <f>ROUND(D1*10000/D10/H9,0)</f>
        <v>#DIV/0!</v>
      </c>
      <c r="F10" s="1218"/>
      <c r="G10" s="1218"/>
      <c r="H10" s="1219"/>
      <c r="I10" s="1220">
        <f>SUM(I3:I9)</f>
        <v>0</v>
      </c>
    </row>
    <row r="11" spans="1:9" ht="14.25">
      <c r="A11" s="3347" t="s">
        <v>1061</v>
      </c>
      <c r="B11" s="3348" t="s">
        <v>1062</v>
      </c>
      <c r="C11" s="3348"/>
      <c r="D11" s="1213" t="s">
        <v>1063</v>
      </c>
      <c r="E11" s="1213" t="s">
        <v>1064</v>
      </c>
      <c r="F11" s="1214" t="s">
        <v>1065</v>
      </c>
      <c r="G11" s="1214" t="s">
        <v>1051</v>
      </c>
      <c r="H11" s="1221" t="s">
        <v>1066</v>
      </c>
      <c r="I11" s="1212" t="s">
        <v>1052</v>
      </c>
    </row>
    <row r="12" spans="1:9">
      <c r="A12" s="3347"/>
      <c r="B12" s="3348" t="s">
        <v>1067</v>
      </c>
      <c r="C12" s="3348"/>
      <c r="D12" s="1213"/>
      <c r="E12" s="1213"/>
      <c r="F12" s="1214"/>
      <c r="G12" s="1215"/>
      <c r="H12" s="1222"/>
      <c r="I12" s="1212">
        <f>ROUND(D12*E12*F12*G12/10000,0)</f>
        <v>0</v>
      </c>
    </row>
    <row r="13" spans="1:9">
      <c r="A13" s="3347"/>
      <c r="B13" s="3348" t="s">
        <v>1068</v>
      </c>
      <c r="C13" s="3348"/>
      <c r="D13" s="1213"/>
      <c r="E13" s="1213"/>
      <c r="F13" s="1214"/>
      <c r="G13" s="1215"/>
      <c r="H13" s="1222"/>
      <c r="I13" s="1212">
        <f>ROUND(D13*E13*F13*G13/10000,0)</f>
        <v>0</v>
      </c>
    </row>
    <row r="14" spans="1:9">
      <c r="A14" s="3347"/>
      <c r="B14" s="3348" t="s">
        <v>1069</v>
      </c>
      <c r="C14" s="3348"/>
      <c r="D14" s="1213"/>
      <c r="E14" s="1213"/>
      <c r="F14" s="1214"/>
      <c r="G14" s="1215"/>
      <c r="H14" s="1222"/>
      <c r="I14" s="1212">
        <f>ROUND(D14*E14*F14*G14/10000,0)</f>
        <v>0</v>
      </c>
    </row>
    <row r="15" spans="1:9">
      <c r="A15" s="3347"/>
      <c r="B15" s="3349" t="s">
        <v>1060</v>
      </c>
      <c r="C15" s="3349"/>
      <c r="D15" s="1217"/>
      <c r="E15" s="1217">
        <f>SUM(E12:E14)</f>
        <v>0</v>
      </c>
      <c r="F15" s="1218"/>
      <c r="G15" s="1215"/>
      <c r="H15" s="1222"/>
      <c r="I15" s="1223">
        <f>SUM(I12:I14)</f>
        <v>0</v>
      </c>
    </row>
    <row r="16" spans="1:9" ht="24">
      <c r="A16" s="3347" t="s">
        <v>1070</v>
      </c>
      <c r="B16" s="3348" t="s">
        <v>1071</v>
      </c>
      <c r="C16" s="3348"/>
      <c r="D16" s="1213" t="s">
        <v>1047</v>
      </c>
      <c r="E16" s="1224" t="s">
        <v>1072</v>
      </c>
      <c r="F16" s="1214" t="s">
        <v>1073</v>
      </c>
      <c r="G16" s="1215" t="s">
        <v>1051</v>
      </c>
      <c r="H16" s="1221" t="s">
        <v>1066</v>
      </c>
      <c r="I16" s="1212" t="s">
        <v>1052</v>
      </c>
    </row>
    <row r="17" spans="1:9" ht="14.25">
      <c r="A17" s="3347"/>
      <c r="B17" s="3348" t="s">
        <v>1074</v>
      </c>
      <c r="C17" s="3348"/>
      <c r="D17" s="1213"/>
      <c r="E17" s="1213"/>
      <c r="F17" s="1214"/>
      <c r="G17" s="1215"/>
      <c r="H17" s="1225"/>
      <c r="I17" s="1226">
        <f>ROUND(D17*E17*F17*G17/10000,0)</f>
        <v>0</v>
      </c>
    </row>
    <row r="18" spans="1:9" ht="14.25">
      <c r="A18" s="3347"/>
      <c r="B18" s="3348" t="s">
        <v>1075</v>
      </c>
      <c r="C18" s="3348"/>
      <c r="D18" s="1213"/>
      <c r="E18" s="1213"/>
      <c r="F18" s="1214"/>
      <c r="G18" s="1215"/>
      <c r="H18" s="1225"/>
      <c r="I18" s="1226">
        <f>ROUND(D18*E18*F18*G18/10000,0)</f>
        <v>0</v>
      </c>
    </row>
    <row r="19" spans="1:9" ht="14.25">
      <c r="A19" s="3347"/>
      <c r="B19" s="3348" t="s">
        <v>1076</v>
      </c>
      <c r="C19" s="3348"/>
      <c r="D19" s="1213"/>
      <c r="E19" s="1213"/>
      <c r="F19" s="1214"/>
      <c r="G19" s="1215"/>
      <c r="H19" s="1225"/>
      <c r="I19" s="1226">
        <f>ROUND(D19*E19*F19*G19/10000,0)</f>
        <v>0</v>
      </c>
    </row>
    <row r="20" spans="1:9">
      <c r="A20" s="3347"/>
      <c r="B20" s="3349" t="s">
        <v>1060</v>
      </c>
      <c r="C20" s="3349"/>
      <c r="D20" s="1217">
        <f>SUM(D17:D19)</f>
        <v>0</v>
      </c>
      <c r="E20" s="1217"/>
      <c r="F20" s="1218"/>
      <c r="G20" s="1215"/>
      <c r="H20" s="1222"/>
      <c r="I20" s="1223">
        <f>SUM(I17:I19)</f>
        <v>0</v>
      </c>
    </row>
    <row r="21" spans="1:9">
      <c r="A21" s="3347" t="s">
        <v>1077</v>
      </c>
      <c r="B21" s="3351"/>
      <c r="C21" s="3351"/>
      <c r="D21" s="3351"/>
      <c r="E21" s="3351"/>
      <c r="F21" s="3351"/>
      <c r="G21" s="3351"/>
      <c r="H21" s="1504">
        <v>0.1</v>
      </c>
      <c r="I21" s="1220">
        <f>ROUND(I10*H21,0)</f>
        <v>0</v>
      </c>
    </row>
    <row r="22" spans="1:9" ht="14.25">
      <c r="A22" s="3352" t="s">
        <v>1078</v>
      </c>
      <c r="B22" s="3353"/>
      <c r="C22" s="3354"/>
      <c r="D22" s="1227" t="s">
        <v>1079</v>
      </c>
      <c r="E22" s="1227" t="s">
        <v>1080</v>
      </c>
      <c r="F22" s="1228" t="s">
        <v>1081</v>
      </c>
      <c r="G22" s="1228" t="s">
        <v>1082</v>
      </c>
      <c r="H22" s="1221" t="s">
        <v>1083</v>
      </c>
      <c r="I22" s="1212" t="s">
        <v>1084</v>
      </c>
    </row>
    <row r="23" spans="1:9" ht="14.25" thickBot="1">
      <c r="A23" s="3355"/>
      <c r="B23" s="3356"/>
      <c r="C23" s="3357"/>
      <c r="D23" s="1229"/>
      <c r="E23" s="1229"/>
      <c r="F23" s="1229"/>
      <c r="G23" s="1230"/>
      <c r="H23" s="1231"/>
      <c r="I23" s="1232">
        <f>ROUND(E23*D23*F23*(1-G23)/10000,0)</f>
        <v>0</v>
      </c>
    </row>
    <row r="26" spans="1:9">
      <c r="A26" s="1233" t="s">
        <v>1085</v>
      </c>
      <c r="B26" s="1233"/>
      <c r="C26" s="1233"/>
      <c r="D26" s="1233"/>
      <c r="E26" s="3358">
        <f>C27-C30-C31-C32</f>
        <v>0</v>
      </c>
      <c r="F26" s="3358"/>
      <c r="G26" s="3358"/>
      <c r="H26" s="1501" t="s">
        <v>1306</v>
      </c>
    </row>
    <row r="27" spans="1:9">
      <c r="A27" s="1234">
        <v>1</v>
      </c>
      <c r="B27" s="1235" t="s">
        <v>1086</v>
      </c>
      <c r="C27" s="1235">
        <f>C28+C29</f>
        <v>0</v>
      </c>
      <c r="D27" s="1235"/>
      <c r="E27" s="3359"/>
      <c r="F27" s="3359"/>
      <c r="G27" s="3359"/>
    </row>
    <row r="28" spans="1:9">
      <c r="A28" s="1236" t="s">
        <v>1087</v>
      </c>
      <c r="B28" s="1235" t="s">
        <v>1088</v>
      </c>
      <c r="C28" s="1235"/>
      <c r="D28" s="1235"/>
      <c r="E28" s="3359"/>
      <c r="F28" s="3359"/>
      <c r="G28" s="335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0"/>
      <c r="F32" s="3350"/>
      <c r="G32" s="3350"/>
    </row>
    <row r="33" spans="1:7" hidden="1">
      <c r="A33" s="3360" t="s">
        <v>1097</v>
      </c>
      <c r="B33" s="3361"/>
      <c r="C33" s="3361"/>
      <c r="D33" s="3362"/>
      <c r="E33" s="3358"/>
      <c r="F33" s="3358"/>
      <c r="G33" s="3358"/>
    </row>
    <row r="34" spans="1:7" hidden="1">
      <c r="A34" s="1238">
        <v>1</v>
      </c>
      <c r="B34" s="1235" t="s">
        <v>1098</v>
      </c>
      <c r="C34" s="1235"/>
      <c r="D34" s="1235"/>
      <c r="E34" s="3359"/>
      <c r="F34" s="3359"/>
      <c r="G34" s="3359"/>
    </row>
    <row r="35" spans="1:7" hidden="1">
      <c r="A35" s="1238">
        <v>2</v>
      </c>
      <c r="B35" s="1235" t="s">
        <v>1099</v>
      </c>
      <c r="C35" s="1235"/>
      <c r="D35" s="1235"/>
      <c r="E35" s="3359"/>
      <c r="F35" s="3359"/>
      <c r="G35" s="3359"/>
    </row>
    <row r="36" spans="1:7" hidden="1">
      <c r="A36" s="1238">
        <v>3</v>
      </c>
      <c r="B36" s="1235" t="s">
        <v>1100</v>
      </c>
      <c r="C36" s="1235"/>
      <c r="D36" s="1235"/>
      <c r="E36" s="3359"/>
      <c r="F36" s="3359"/>
      <c r="G36" s="3359"/>
    </row>
    <row r="37" spans="1:7" hidden="1">
      <c r="A37" s="1238">
        <v>4</v>
      </c>
      <c r="B37" s="1235" t="s">
        <v>1101</v>
      </c>
      <c r="C37" s="1235"/>
      <c r="D37" s="1235"/>
      <c r="E37" s="3359"/>
      <c r="F37" s="3359"/>
      <c r="G37" s="3359"/>
    </row>
    <row r="38" spans="1:7" hidden="1">
      <c r="A38" s="3360" t="s">
        <v>1102</v>
      </c>
      <c r="B38" s="3361"/>
      <c r="C38" s="3361"/>
      <c r="D38" s="3362"/>
      <c r="E38" s="3358"/>
      <c r="F38" s="3358"/>
      <c r="G38" s="33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3"/>
      <c r="M2" s="2944"/>
      <c r="N2" s="2944"/>
      <c r="O2" s="2944"/>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2826.8999999999996</v>
      </c>
      <c r="E3" s="1038"/>
      <c r="F3" s="2076"/>
      <c r="G3" s="1038"/>
      <c r="H3" s="1038"/>
      <c r="I3" s="1038"/>
      <c r="J3" s="1038"/>
      <c r="K3" s="2072"/>
      <c r="L3" s="2943"/>
      <c r="M3" s="2944"/>
      <c r="N3" s="2944"/>
      <c r="O3" s="2944"/>
      <c r="P3" s="2073"/>
      <c r="Q3" s="2074"/>
      <c r="R3" s="2074"/>
      <c r="S3" s="2074"/>
      <c r="T3" s="2074"/>
      <c r="U3" s="2074"/>
      <c r="V3" s="2074"/>
      <c r="W3" s="2074"/>
      <c r="X3" s="2074"/>
      <c r="Y3" s="2074"/>
      <c r="Z3" s="2074"/>
      <c r="AA3" s="2074"/>
      <c r="AB3" s="2074"/>
      <c r="AC3" s="1192"/>
    </row>
    <row r="4" spans="1:29" ht="15">
      <c r="A4" s="361" t="s">
        <v>2356</v>
      </c>
      <c r="B4" s="362"/>
      <c r="C4" s="3381" t="s">
        <v>2357</v>
      </c>
      <c r="D4" s="3382"/>
      <c r="E4" s="3383" t="s">
        <v>2358</v>
      </c>
      <c r="F4" s="3384"/>
      <c r="G4" s="3381" t="s">
        <v>2359</v>
      </c>
      <c r="H4" s="3382"/>
      <c r="I4" s="3381" t="s">
        <v>2360</v>
      </c>
      <c r="J4" s="3382"/>
      <c r="K4" s="2077" t="s">
        <v>2361</v>
      </c>
      <c r="L4" s="2945"/>
      <c r="M4" s="2946"/>
      <c r="N4" s="2946"/>
      <c r="O4" s="2946"/>
      <c r="P4" s="3385" t="s">
        <v>2362</v>
      </c>
      <c r="Q4" s="3386"/>
      <c r="R4" s="3368" t="s">
        <v>2358</v>
      </c>
      <c r="S4" s="3369"/>
      <c r="T4" s="3368" t="s">
        <v>2359</v>
      </c>
      <c r="U4" s="3369"/>
      <c r="V4" s="3393" t="s">
        <v>2360</v>
      </c>
      <c r="W4" s="3393"/>
      <c r="X4" s="1541"/>
      <c r="Y4" s="3368" t="s">
        <v>2362</v>
      </c>
      <c r="Z4" s="3369"/>
      <c r="AA4" s="3363" t="s">
        <v>2358</v>
      </c>
      <c r="AB4" s="3363" t="s">
        <v>2359</v>
      </c>
      <c r="AC4" s="3363" t="s">
        <v>2360</v>
      </c>
    </row>
    <row r="5" spans="1:29" ht="15">
      <c r="A5" s="364"/>
      <c r="B5" s="365"/>
      <c r="C5" s="3374" t="s">
        <v>2363</v>
      </c>
      <c r="D5" s="3375"/>
      <c r="E5" s="3372" t="s">
        <v>2364</v>
      </c>
      <c r="F5" s="3373"/>
      <c r="G5" s="3374" t="s">
        <v>2365</v>
      </c>
      <c r="H5" s="3375"/>
      <c r="I5" s="3374" t="s">
        <v>2366</v>
      </c>
      <c r="J5" s="3375"/>
      <c r="K5" s="2078"/>
      <c r="L5" s="2945"/>
      <c r="M5" s="2946"/>
      <c r="N5" s="2946"/>
      <c r="O5" s="2946"/>
      <c r="P5" s="3387"/>
      <c r="Q5" s="3388"/>
      <c r="R5" s="3370"/>
      <c r="S5" s="3371"/>
      <c r="T5" s="3370"/>
      <c r="U5" s="3371"/>
      <c r="V5" s="3393"/>
      <c r="W5" s="3393"/>
      <c r="X5" s="1541"/>
      <c r="Y5" s="3370"/>
      <c r="Z5" s="3371"/>
      <c r="AA5" s="3364"/>
      <c r="AB5" s="3364"/>
      <c r="AC5" s="3364"/>
    </row>
    <row r="6" spans="1:29" ht="15.75" thickBot="1">
      <c r="A6" s="366"/>
      <c r="B6" s="367"/>
      <c r="C6" s="3376" t="s">
        <v>2367</v>
      </c>
      <c r="D6" s="3377"/>
      <c r="E6" s="3378" t="s">
        <v>2367</v>
      </c>
      <c r="F6" s="3379"/>
      <c r="G6" s="3376" t="s">
        <v>2367</v>
      </c>
      <c r="H6" s="3377"/>
      <c r="I6" s="3376" t="s">
        <v>2367</v>
      </c>
      <c r="J6" s="3377"/>
      <c r="K6" s="2078" t="s">
        <v>2368</v>
      </c>
      <c r="L6" s="2945"/>
      <c r="M6" s="2946"/>
      <c r="N6" s="2946"/>
      <c r="O6" s="2946"/>
      <c r="P6" s="3389"/>
      <c r="Q6" s="3390"/>
      <c r="R6" s="3370"/>
      <c r="S6" s="3371"/>
      <c r="T6" s="3391"/>
      <c r="U6" s="3392"/>
      <c r="V6" s="3393"/>
      <c r="W6" s="3393"/>
      <c r="X6" s="1541"/>
      <c r="Y6" s="3391"/>
      <c r="Z6" s="3392"/>
      <c r="AA6" s="3365"/>
      <c r="AB6" s="3365"/>
      <c r="AC6" s="3365"/>
    </row>
    <row r="7" spans="1:29" s="113" customFormat="1" ht="15.75" thickBot="1">
      <c r="A7" s="368" t="s">
        <v>2369</v>
      </c>
      <c r="B7" s="369"/>
      <c r="C7" s="370">
        <f>'数据-取费表'!B2</f>
        <v>44201</v>
      </c>
      <c r="D7" s="371">
        <v>100</v>
      </c>
      <c r="E7" s="372"/>
      <c r="F7" s="373">
        <f>SUMIF(58:58,YEAR(E7)&amp;"-"&amp;MONTH(E7),59:59)</f>
        <v>0</v>
      </c>
      <c r="G7" s="372"/>
      <c r="H7" s="371">
        <f>SUMIF(58:58,YEAR(G7)&amp;"-"&amp;MONTH(G7),59:59)</f>
        <v>0</v>
      </c>
      <c r="I7" s="372"/>
      <c r="J7" s="371">
        <f>SUMIF(58:58,YEAR(I7)&amp;"-"&amp;MONTH(I7),59:59)</f>
        <v>0</v>
      </c>
      <c r="K7" s="2079"/>
      <c r="L7" s="2947"/>
      <c r="M7" s="2948"/>
      <c r="N7" s="2948"/>
      <c r="O7" s="2948"/>
      <c r="P7" s="3366" t="s">
        <v>2370</v>
      </c>
      <c r="Q7" s="3394"/>
      <c r="R7" s="710" t="s">
        <v>23</v>
      </c>
      <c r="S7" s="711">
        <f t="shared" ref="S7:S15" si="0">F7</f>
        <v>0</v>
      </c>
      <c r="T7" s="710" t="s">
        <v>23</v>
      </c>
      <c r="U7" s="711">
        <f t="shared" ref="U7:U15" si="1">H7</f>
        <v>0</v>
      </c>
      <c r="V7" s="710" t="s">
        <v>23</v>
      </c>
      <c r="W7" s="711">
        <f t="shared" ref="W7:W15" si="2">J7</f>
        <v>0</v>
      </c>
      <c r="X7" s="712"/>
      <c r="Y7" s="3366" t="s">
        <v>2370</v>
      </c>
      <c r="Z7" s="3367"/>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7"/>
      <c r="M8" s="2948"/>
      <c r="N8" s="2948"/>
      <c r="O8" s="2948"/>
      <c r="P8" s="3366" t="s">
        <v>2373</v>
      </c>
      <c r="Q8" s="3367"/>
      <c r="R8" s="710" t="s">
        <v>23</v>
      </c>
      <c r="S8" s="711">
        <f t="shared" si="0"/>
        <v>0</v>
      </c>
      <c r="T8" s="710" t="s">
        <v>23</v>
      </c>
      <c r="U8" s="711">
        <f t="shared" si="1"/>
        <v>0</v>
      </c>
      <c r="V8" s="710" t="s">
        <v>23</v>
      </c>
      <c r="W8" s="711">
        <f t="shared" si="2"/>
        <v>0</v>
      </c>
      <c r="X8" s="712"/>
      <c r="Y8" s="3366" t="s">
        <v>2373</v>
      </c>
      <c r="Z8" s="336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7"/>
      <c r="M9" s="2948"/>
      <c r="N9" s="2948"/>
      <c r="O9" s="2948"/>
      <c r="P9" s="3380"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80"/>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80"/>
      <c r="Q11" s="1529" t="str">
        <f t="shared" si="6"/>
        <v>容积率</v>
      </c>
      <c r="R11" s="710" t="s">
        <v>21</v>
      </c>
      <c r="S11" s="711" t="e">
        <f t="shared" si="0"/>
        <v>#N/A</v>
      </c>
      <c r="T11" s="710" t="s">
        <v>21</v>
      </c>
      <c r="U11" s="711" t="e">
        <f t="shared" si="1"/>
        <v>#N/A</v>
      </c>
      <c r="V11" s="710" t="s">
        <v>21</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7"/>
      <c r="M12" s="2948"/>
      <c r="N12" s="2948"/>
      <c r="O12" s="2948"/>
      <c r="P12" s="3380"/>
      <c r="Q12" s="1529">
        <f t="shared" si="6"/>
        <v>111</v>
      </c>
      <c r="R12" s="710" t="s">
        <v>21</v>
      </c>
      <c r="S12" s="711">
        <f t="shared" si="0"/>
        <v>100</v>
      </c>
      <c r="T12" s="710" t="s">
        <v>21</v>
      </c>
      <c r="U12" s="711">
        <f t="shared" si="1"/>
        <v>100</v>
      </c>
      <c r="V12" s="710" t="s">
        <v>21</v>
      </c>
      <c r="W12" s="711">
        <f t="shared" si="2"/>
        <v>100</v>
      </c>
      <c r="X12" s="712"/>
      <c r="Y12" s="330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2"/>
      <c r="M13" s="2946"/>
      <c r="N13" s="2946"/>
      <c r="O13" s="2946"/>
      <c r="P13" s="3380"/>
      <c r="Q13" s="1529">
        <f t="shared" si="6"/>
        <v>111</v>
      </c>
      <c r="R13" s="710" t="s">
        <v>21</v>
      </c>
      <c r="S13" s="711">
        <f t="shared" si="0"/>
        <v>100</v>
      </c>
      <c r="T13" s="710" t="s">
        <v>21</v>
      </c>
      <c r="U13" s="711">
        <f t="shared" si="1"/>
        <v>100</v>
      </c>
      <c r="V13" s="710" t="s">
        <v>21</v>
      </c>
      <c r="W13" s="711">
        <f t="shared" si="2"/>
        <v>100</v>
      </c>
      <c r="X13" s="712"/>
      <c r="Y13" s="330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2"/>
      <c r="M14" s="2946"/>
      <c r="N14" s="2946"/>
      <c r="O14" s="2946"/>
      <c r="P14" s="3380"/>
      <c r="Q14" s="1529">
        <f t="shared" si="6"/>
        <v>111</v>
      </c>
      <c r="R14" s="710" t="s">
        <v>21</v>
      </c>
      <c r="S14" s="711">
        <f t="shared" si="0"/>
        <v>100</v>
      </c>
      <c r="T14" s="710" t="s">
        <v>21</v>
      </c>
      <c r="U14" s="711">
        <f t="shared" si="1"/>
        <v>100</v>
      </c>
      <c r="V14" s="710" t="s">
        <v>21</v>
      </c>
      <c r="W14" s="711">
        <f t="shared" si="2"/>
        <v>100</v>
      </c>
      <c r="X14" s="712"/>
      <c r="Y14" s="3308"/>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407" t="s">
        <v>2381</v>
      </c>
      <c r="Q15" s="1538" t="str">
        <f t="shared" si="6"/>
        <v>居住社区成熟度</v>
      </c>
      <c r="R15" s="714" t="s">
        <v>21</v>
      </c>
      <c r="S15" s="715">
        <f t="shared" si="0"/>
        <v>100</v>
      </c>
      <c r="T15" s="714" t="s">
        <v>21</v>
      </c>
      <c r="U15" s="715">
        <f t="shared" si="1"/>
        <v>100</v>
      </c>
      <c r="V15" s="714" t="s">
        <v>21</v>
      </c>
      <c r="W15" s="715">
        <f t="shared" si="2"/>
        <v>100</v>
      </c>
      <c r="X15" s="1541"/>
      <c r="Y15" s="340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2"/>
      <c r="M16" s="2946"/>
      <c r="N16" s="2946"/>
      <c r="O16" s="2946"/>
      <c r="P16" s="3408"/>
      <c r="Q16" s="1538"/>
      <c r="R16" s="714"/>
      <c r="S16" s="715"/>
      <c r="T16" s="714"/>
      <c r="U16" s="715"/>
      <c r="V16" s="714"/>
      <c r="W16" s="715"/>
      <c r="X16" s="1541"/>
      <c r="Y16" s="340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408"/>
      <c r="Q17" s="1538" t="str">
        <f>B17</f>
        <v>交通便捷度</v>
      </c>
      <c r="R17" s="714" t="s">
        <v>21</v>
      </c>
      <c r="S17" s="715">
        <f>F17</f>
        <v>100</v>
      </c>
      <c r="T17" s="714" t="s">
        <v>21</v>
      </c>
      <c r="U17" s="715">
        <f>H17</f>
        <v>100</v>
      </c>
      <c r="V17" s="714" t="s">
        <v>21</v>
      </c>
      <c r="W17" s="715">
        <f>J17</f>
        <v>100</v>
      </c>
      <c r="X17" s="1541"/>
      <c r="Y17" s="340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2"/>
      <c r="M18" s="2946"/>
      <c r="N18" s="2946"/>
      <c r="O18" s="2946"/>
      <c r="P18" s="3408"/>
      <c r="Q18" s="1538"/>
      <c r="R18" s="714"/>
      <c r="S18" s="715"/>
      <c r="T18" s="714"/>
      <c r="U18" s="715"/>
      <c r="V18" s="714"/>
      <c r="W18" s="715"/>
      <c r="X18" s="1541"/>
      <c r="Y18" s="3401"/>
      <c r="Z18" s="1542"/>
      <c r="AA18" s="1539">
        <v>1</v>
      </c>
      <c r="AB18" s="1539">
        <v>1</v>
      </c>
      <c r="AC18" s="1539">
        <v>1</v>
      </c>
    </row>
    <row r="19" spans="1:29" ht="42.75">
      <c r="A19" s="387"/>
      <c r="B19" s="410" t="s">
        <v>1944</v>
      </c>
      <c r="C19" s="2088" t="str">
        <f>估价对象房地状况!C7</f>
        <v>估价对象所在区域公共配套设施齐备</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408"/>
      <c r="Q19" s="1538" t="str">
        <f>B19</f>
        <v>公共配套设施</v>
      </c>
      <c r="R19" s="714" t="s">
        <v>21</v>
      </c>
      <c r="S19" s="715">
        <f>F19</f>
        <v>100</v>
      </c>
      <c r="T19" s="714" t="s">
        <v>21</v>
      </c>
      <c r="U19" s="715">
        <f>H19</f>
        <v>100</v>
      </c>
      <c r="V19" s="714" t="s">
        <v>21</v>
      </c>
      <c r="W19" s="715">
        <f>J19</f>
        <v>100</v>
      </c>
      <c r="X19" s="1541"/>
      <c r="Y19" s="340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2"/>
      <c r="M20" s="2946"/>
      <c r="N20" s="2946"/>
      <c r="O20" s="2946"/>
      <c r="P20" s="3408"/>
      <c r="Q20" s="1538"/>
      <c r="R20" s="714"/>
      <c r="S20" s="715"/>
      <c r="T20" s="714"/>
      <c r="U20" s="715"/>
      <c r="V20" s="714"/>
      <c r="W20" s="715"/>
      <c r="X20" s="1541"/>
      <c r="Y20" s="3401"/>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408"/>
      <c r="Q21" s="1538" t="str">
        <f>B21</f>
        <v>基础设施水平</v>
      </c>
      <c r="R21" s="714" t="s">
        <v>17</v>
      </c>
      <c r="S21" s="715">
        <f>F21</f>
        <v>100</v>
      </c>
      <c r="T21" s="714" t="s">
        <v>17</v>
      </c>
      <c r="U21" s="715">
        <f>H21</f>
        <v>100</v>
      </c>
      <c r="V21" s="714" t="s">
        <v>17</v>
      </c>
      <c r="W21" s="715">
        <f>J21</f>
        <v>100</v>
      </c>
      <c r="X21" s="1541"/>
      <c r="Y21" s="34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2"/>
      <c r="M22" s="2946"/>
      <c r="N22" s="2946"/>
      <c r="O22" s="2946"/>
      <c r="P22" s="3408"/>
      <c r="Q22" s="1538"/>
      <c r="R22" s="714"/>
      <c r="S22" s="715"/>
      <c r="T22" s="714"/>
      <c r="U22" s="715"/>
      <c r="V22" s="714"/>
      <c r="W22" s="715"/>
      <c r="X22" s="1541"/>
      <c r="Y22" s="3401"/>
      <c r="Z22" s="1542"/>
      <c r="AA22" s="1539">
        <v>1</v>
      </c>
      <c r="AB22" s="1539">
        <v>1</v>
      </c>
      <c r="AC22" s="1539">
        <v>1</v>
      </c>
    </row>
    <row r="23" spans="1:29" ht="57">
      <c r="A23" s="387"/>
      <c r="B23" s="410" t="s">
        <v>1947</v>
      </c>
      <c r="C23" s="2088" t="str">
        <f>估价对象房地状况!C9</f>
        <v>区域自然环境：；人文环境；综合评价环境状况较好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408"/>
      <c r="Q23" s="1538" t="str">
        <f>B23</f>
        <v>自然及人文环境</v>
      </c>
      <c r="R23" s="714" t="s">
        <v>21</v>
      </c>
      <c r="S23" s="715">
        <f>F23</f>
        <v>100</v>
      </c>
      <c r="T23" s="714" t="s">
        <v>21</v>
      </c>
      <c r="U23" s="715">
        <f>H23</f>
        <v>100</v>
      </c>
      <c r="V23" s="714" t="s">
        <v>21</v>
      </c>
      <c r="W23" s="715">
        <f>J23</f>
        <v>100</v>
      </c>
      <c r="X23" s="1541"/>
      <c r="Y23" s="340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2"/>
      <c r="M24" s="2946"/>
      <c r="N24" s="2946"/>
      <c r="O24" s="2946"/>
      <c r="P24" s="3408"/>
      <c r="Q24" s="1538"/>
      <c r="R24" s="714"/>
      <c r="S24" s="715"/>
      <c r="T24" s="714"/>
      <c r="U24" s="715"/>
      <c r="V24" s="714"/>
      <c r="W24" s="715"/>
      <c r="X24" s="1541"/>
      <c r="Y24" s="340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2"/>
      <c r="M25" s="2946"/>
      <c r="N25" s="2946"/>
      <c r="O25" s="2946"/>
      <c r="P25" s="340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40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2"/>
      <c r="M26" s="2946"/>
      <c r="N26" s="2946"/>
      <c r="O26" s="2946"/>
      <c r="P26" s="3408"/>
      <c r="Q26" s="1538" t="str">
        <f t="shared" si="11"/>
        <v>朝向</v>
      </c>
      <c r="R26" s="714" t="s">
        <v>21</v>
      </c>
      <c r="S26" s="715">
        <f t="shared" si="12"/>
        <v>100</v>
      </c>
      <c r="T26" s="714" t="s">
        <v>21</v>
      </c>
      <c r="U26" s="715">
        <f t="shared" si="13"/>
        <v>100</v>
      </c>
      <c r="V26" s="714" t="s">
        <v>21</v>
      </c>
      <c r="W26" s="715">
        <f t="shared" si="14"/>
        <v>100</v>
      </c>
      <c r="X26" s="1541"/>
      <c r="Y26" s="340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7"/>
      <c r="M27" s="2948"/>
      <c r="N27" s="2948"/>
      <c r="O27" s="2948"/>
      <c r="P27" s="3408"/>
      <c r="Q27" s="1529">
        <f t="shared" si="11"/>
        <v>111</v>
      </c>
      <c r="R27" s="710" t="s">
        <v>21</v>
      </c>
      <c r="S27" s="711">
        <f t="shared" si="12"/>
        <v>100</v>
      </c>
      <c r="T27" s="710" t="s">
        <v>21</v>
      </c>
      <c r="U27" s="711">
        <f t="shared" si="13"/>
        <v>100</v>
      </c>
      <c r="V27" s="710" t="s">
        <v>21</v>
      </c>
      <c r="W27" s="711">
        <f t="shared" si="14"/>
        <v>100</v>
      </c>
      <c r="X27" s="712"/>
      <c r="Y27" s="340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2"/>
      <c r="M28" s="2946"/>
      <c r="N28" s="2946"/>
      <c r="O28" s="2946"/>
      <c r="P28" s="3408"/>
      <c r="Q28" s="1538">
        <f t="shared" si="11"/>
        <v>111</v>
      </c>
      <c r="R28" s="714" t="s">
        <v>21</v>
      </c>
      <c r="S28" s="715">
        <f t="shared" si="12"/>
        <v>100</v>
      </c>
      <c r="T28" s="714" t="s">
        <v>21</v>
      </c>
      <c r="U28" s="715">
        <f t="shared" si="13"/>
        <v>100</v>
      </c>
      <c r="V28" s="714" t="s">
        <v>21</v>
      </c>
      <c r="W28" s="715">
        <f t="shared" si="14"/>
        <v>100</v>
      </c>
      <c r="X28" s="1541"/>
      <c r="Y28" s="340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2"/>
      <c r="M29" s="2946"/>
      <c r="N29" s="2946"/>
      <c r="O29" s="2946"/>
      <c r="P29" s="3408"/>
      <c r="Q29" s="1538">
        <f t="shared" si="11"/>
        <v>111</v>
      </c>
      <c r="R29" s="714" t="s">
        <v>21</v>
      </c>
      <c r="S29" s="715">
        <f t="shared" si="12"/>
        <v>100</v>
      </c>
      <c r="T29" s="714" t="s">
        <v>21</v>
      </c>
      <c r="U29" s="715">
        <f t="shared" si="13"/>
        <v>100</v>
      </c>
      <c r="V29" s="714" t="s">
        <v>21</v>
      </c>
      <c r="W29" s="715">
        <f t="shared" si="14"/>
        <v>100</v>
      </c>
      <c r="X29" s="1541"/>
      <c r="Y29" s="340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2"/>
      <c r="M30" s="2946"/>
      <c r="N30" s="2946"/>
      <c r="O30" s="2946"/>
      <c r="P30" s="3408"/>
      <c r="Q30" s="1538">
        <f t="shared" si="11"/>
        <v>111</v>
      </c>
      <c r="R30" s="714" t="s">
        <v>21</v>
      </c>
      <c r="S30" s="715">
        <f t="shared" si="12"/>
        <v>100</v>
      </c>
      <c r="T30" s="714" t="s">
        <v>21</v>
      </c>
      <c r="U30" s="715">
        <f t="shared" si="13"/>
        <v>100</v>
      </c>
      <c r="V30" s="714" t="s">
        <v>21</v>
      </c>
      <c r="W30" s="715">
        <f t="shared" si="14"/>
        <v>100</v>
      </c>
      <c r="X30" s="1541"/>
      <c r="Y30" s="340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2"/>
      <c r="M31" s="2946"/>
      <c r="N31" s="2946"/>
      <c r="O31" s="2946"/>
      <c r="P31" s="3408"/>
      <c r="Q31" s="1538">
        <f t="shared" si="11"/>
        <v>111</v>
      </c>
      <c r="R31" s="714" t="s">
        <v>21</v>
      </c>
      <c r="S31" s="715">
        <f t="shared" si="12"/>
        <v>100</v>
      </c>
      <c r="T31" s="714" t="s">
        <v>21</v>
      </c>
      <c r="U31" s="715">
        <f t="shared" si="13"/>
        <v>100</v>
      </c>
      <c r="V31" s="714" t="s">
        <v>21</v>
      </c>
      <c r="W31" s="715">
        <f t="shared" si="14"/>
        <v>100</v>
      </c>
      <c r="X31" s="1541"/>
      <c r="Y31" s="340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2"/>
      <c r="M32" s="2946"/>
      <c r="N32" s="2946"/>
      <c r="O32" s="2946"/>
      <c r="P32" s="3402" t="s">
        <v>2386</v>
      </c>
      <c r="Q32" s="1538" t="str">
        <f t="shared" si="11"/>
        <v>建筑类型</v>
      </c>
      <c r="R32" s="714" t="s">
        <v>21</v>
      </c>
      <c r="S32" s="715">
        <f t="shared" si="12"/>
        <v>100</v>
      </c>
      <c r="T32" s="714" t="s">
        <v>21</v>
      </c>
      <c r="U32" s="715">
        <f t="shared" si="13"/>
        <v>100</v>
      </c>
      <c r="V32" s="714" t="s">
        <v>21</v>
      </c>
      <c r="W32" s="715">
        <f t="shared" si="14"/>
        <v>100</v>
      </c>
      <c r="X32" s="1541"/>
      <c r="Y32" s="340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1"/>
      <c r="M33" s="2953"/>
      <c r="N33" s="2953"/>
      <c r="O33" s="2953"/>
      <c r="P33" s="3403"/>
      <c r="Q33" s="716" t="str">
        <f t="shared" si="11"/>
        <v>项目建筑规模</v>
      </c>
      <c r="R33" s="717" t="s">
        <v>21</v>
      </c>
      <c r="S33" s="718" t="e">
        <f t="shared" si="12"/>
        <v>#N/A</v>
      </c>
      <c r="T33" s="717" t="s">
        <v>21</v>
      </c>
      <c r="U33" s="718" t="e">
        <f t="shared" si="13"/>
        <v>#N/A</v>
      </c>
      <c r="V33" s="717" t="s">
        <v>21</v>
      </c>
      <c r="W33" s="718" t="e">
        <f t="shared" si="14"/>
        <v>#N/A</v>
      </c>
      <c r="X33" s="719"/>
      <c r="Y33" s="340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2"/>
      <c r="M34" s="2946"/>
      <c r="N34" s="2946"/>
      <c r="O34" s="2946"/>
      <c r="P34" s="3403"/>
      <c r="Q34" s="1538" t="str">
        <f t="shared" si="11"/>
        <v>建筑结构</v>
      </c>
      <c r="R34" s="714" t="s">
        <v>21</v>
      </c>
      <c r="S34" s="715">
        <f t="shared" si="12"/>
        <v>100</v>
      </c>
      <c r="T34" s="714" t="s">
        <v>21</v>
      </c>
      <c r="U34" s="715">
        <f t="shared" si="13"/>
        <v>100</v>
      </c>
      <c r="V34" s="714" t="s">
        <v>21</v>
      </c>
      <c r="W34" s="715">
        <f t="shared" si="14"/>
        <v>100</v>
      </c>
      <c r="X34" s="1541"/>
      <c r="Y34" s="340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2"/>
      <c r="M35" s="2946"/>
      <c r="N35" s="2946"/>
      <c r="O35" s="2946"/>
      <c r="P35" s="3403"/>
      <c r="Q35" s="1538" t="str">
        <f t="shared" si="11"/>
        <v>建筑品质</v>
      </c>
      <c r="R35" s="714" t="s">
        <v>21</v>
      </c>
      <c r="S35" s="715">
        <f t="shared" si="12"/>
        <v>100</v>
      </c>
      <c r="T35" s="714" t="s">
        <v>21</v>
      </c>
      <c r="U35" s="715">
        <f t="shared" si="13"/>
        <v>100</v>
      </c>
      <c r="V35" s="714" t="s">
        <v>21</v>
      </c>
      <c r="W35" s="715">
        <f t="shared" si="14"/>
        <v>100</v>
      </c>
      <c r="X35" s="1541"/>
      <c r="Y35" s="340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2"/>
      <c r="M36" s="2946"/>
      <c r="N36" s="2946"/>
      <c r="O36" s="2946"/>
      <c r="P36" s="3403"/>
      <c r="Q36" s="1538" t="str">
        <f t="shared" si="11"/>
        <v>公共部分装修</v>
      </c>
      <c r="R36" s="714" t="s">
        <v>21</v>
      </c>
      <c r="S36" s="715">
        <f t="shared" si="12"/>
        <v>100</v>
      </c>
      <c r="T36" s="714" t="s">
        <v>21</v>
      </c>
      <c r="U36" s="715">
        <f t="shared" si="13"/>
        <v>100</v>
      </c>
      <c r="V36" s="714" t="s">
        <v>21</v>
      </c>
      <c r="W36" s="715">
        <f t="shared" si="14"/>
        <v>100</v>
      </c>
      <c r="X36" s="1541"/>
      <c r="Y36" s="340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403"/>
      <c r="Q37" s="1529" t="str">
        <f t="shared" si="11"/>
        <v>成新度</v>
      </c>
      <c r="R37" s="710" t="s">
        <v>21</v>
      </c>
      <c r="S37" s="711" t="e">
        <f t="shared" si="12"/>
        <v>#N/A</v>
      </c>
      <c r="T37" s="710" t="s">
        <v>21</v>
      </c>
      <c r="U37" s="711" t="e">
        <f t="shared" si="13"/>
        <v>#N/A</v>
      </c>
      <c r="V37" s="710" t="s">
        <v>21</v>
      </c>
      <c r="W37" s="711" t="e">
        <f t="shared" si="14"/>
        <v>#N/A</v>
      </c>
      <c r="X37" s="712"/>
      <c r="Y37" s="340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2"/>
      <c r="M38" s="2946"/>
      <c r="N38" s="2946"/>
      <c r="O38" s="2946"/>
      <c r="P38" s="3403" t="s">
        <v>2386</v>
      </c>
      <c r="Q38" s="1538" t="str">
        <f t="shared" si="11"/>
        <v>物业管理</v>
      </c>
      <c r="R38" s="714" t="s">
        <v>21</v>
      </c>
      <c r="S38" s="715">
        <f t="shared" si="12"/>
        <v>100</v>
      </c>
      <c r="T38" s="714" t="s">
        <v>21</v>
      </c>
      <c r="U38" s="715">
        <f t="shared" si="13"/>
        <v>100</v>
      </c>
      <c r="V38" s="714" t="s">
        <v>21</v>
      </c>
      <c r="W38" s="715">
        <f t="shared" si="14"/>
        <v>100</v>
      </c>
      <c r="X38" s="1541"/>
      <c r="Y38" s="340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2"/>
      <c r="M39" s="2946"/>
      <c r="N39" s="2946"/>
      <c r="O39" s="2946"/>
      <c r="P39" s="3403"/>
      <c r="Q39" s="1538" t="str">
        <f t="shared" si="11"/>
        <v>市政基础设施</v>
      </c>
      <c r="R39" s="714" t="s">
        <v>21</v>
      </c>
      <c r="S39" s="715">
        <f t="shared" si="12"/>
        <v>100</v>
      </c>
      <c r="T39" s="714" t="s">
        <v>21</v>
      </c>
      <c r="U39" s="715">
        <f t="shared" si="13"/>
        <v>100</v>
      </c>
      <c r="V39" s="714" t="s">
        <v>21</v>
      </c>
      <c r="W39" s="715">
        <f t="shared" si="14"/>
        <v>100</v>
      </c>
      <c r="X39" s="1541"/>
      <c r="Y39" s="340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2"/>
      <c r="M40" s="2946"/>
      <c r="N40" s="2946"/>
      <c r="O40" s="2946"/>
      <c r="P40" s="3403"/>
      <c r="Q40" s="1538" t="str">
        <f t="shared" si="11"/>
        <v>房型</v>
      </c>
      <c r="R40" s="714" t="s">
        <v>21</v>
      </c>
      <c r="S40" s="715">
        <f t="shared" si="12"/>
        <v>100</v>
      </c>
      <c r="T40" s="714" t="s">
        <v>21</v>
      </c>
      <c r="U40" s="715">
        <f t="shared" si="13"/>
        <v>100</v>
      </c>
      <c r="V40" s="714" t="s">
        <v>21</v>
      </c>
      <c r="W40" s="715">
        <f t="shared" si="14"/>
        <v>100</v>
      </c>
      <c r="X40" s="1541"/>
      <c r="Y40" s="340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1"/>
      <c r="M41" s="2953"/>
      <c r="N41" s="2953"/>
      <c r="O41" s="2953"/>
      <c r="P41" s="3403"/>
      <c r="Q41" s="716" t="str">
        <f t="shared" si="11"/>
        <v>单套/主力户型建筑面积</v>
      </c>
      <c r="R41" s="717" t="s">
        <v>21</v>
      </c>
      <c r="S41" s="718">
        <f t="shared" si="12"/>
        <v>100</v>
      </c>
      <c r="T41" s="717" t="s">
        <v>21</v>
      </c>
      <c r="U41" s="718">
        <f t="shared" si="13"/>
        <v>100</v>
      </c>
      <c r="V41" s="717" t="s">
        <v>21</v>
      </c>
      <c r="W41" s="718">
        <f t="shared" si="14"/>
        <v>100</v>
      </c>
      <c r="X41" s="719"/>
      <c r="Y41" s="340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2"/>
      <c r="M42" s="2946"/>
      <c r="N42" s="2946"/>
      <c r="O42" s="2946"/>
      <c r="P42" s="3403"/>
      <c r="Q42" s="1538" t="str">
        <f t="shared" si="11"/>
        <v>内部装修</v>
      </c>
      <c r="R42" s="714" t="s">
        <v>21</v>
      </c>
      <c r="S42" s="715">
        <f t="shared" si="12"/>
        <v>100</v>
      </c>
      <c r="T42" s="714" t="s">
        <v>21</v>
      </c>
      <c r="U42" s="715">
        <f t="shared" si="13"/>
        <v>100</v>
      </c>
      <c r="V42" s="714" t="s">
        <v>21</v>
      </c>
      <c r="W42" s="715">
        <f t="shared" si="14"/>
        <v>100</v>
      </c>
      <c r="X42" s="1541"/>
      <c r="Y42" s="340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2"/>
      <c r="M43" s="2946"/>
      <c r="N43" s="2946"/>
      <c r="O43" s="2946"/>
      <c r="P43" s="3403"/>
      <c r="Q43" s="1538" t="str">
        <f t="shared" si="11"/>
        <v>内部装修维护情况</v>
      </c>
      <c r="R43" s="714" t="s">
        <v>21</v>
      </c>
      <c r="S43" s="715">
        <f t="shared" si="12"/>
        <v>100</v>
      </c>
      <c r="T43" s="714" t="s">
        <v>21</v>
      </c>
      <c r="U43" s="715">
        <f t="shared" si="13"/>
        <v>100</v>
      </c>
      <c r="V43" s="714" t="s">
        <v>21</v>
      </c>
      <c r="W43" s="715">
        <f t="shared" si="14"/>
        <v>100</v>
      </c>
      <c r="X43" s="1541"/>
      <c r="Y43" s="340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7"/>
      <c r="M44" s="2948"/>
      <c r="N44" s="2948"/>
      <c r="O44" s="2948"/>
      <c r="P44" s="3403"/>
      <c r="Q44" s="1529">
        <f t="shared" si="11"/>
        <v>111</v>
      </c>
      <c r="R44" s="710" t="s">
        <v>21</v>
      </c>
      <c r="S44" s="711">
        <f t="shared" si="12"/>
        <v>100</v>
      </c>
      <c r="T44" s="710" t="s">
        <v>21</v>
      </c>
      <c r="U44" s="711">
        <f t="shared" si="13"/>
        <v>100</v>
      </c>
      <c r="V44" s="710" t="s">
        <v>21</v>
      </c>
      <c r="W44" s="711">
        <f t="shared" si="14"/>
        <v>100</v>
      </c>
      <c r="X44" s="712"/>
      <c r="Y44" s="340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2"/>
      <c r="M45" s="2946"/>
      <c r="N45" s="2946"/>
      <c r="O45" s="2946"/>
      <c r="P45" s="3403"/>
      <c r="Q45" s="1538">
        <f t="shared" si="11"/>
        <v>111</v>
      </c>
      <c r="R45" s="714" t="s">
        <v>21</v>
      </c>
      <c r="S45" s="715">
        <f t="shared" si="12"/>
        <v>100</v>
      </c>
      <c r="T45" s="714" t="s">
        <v>21</v>
      </c>
      <c r="U45" s="715">
        <f t="shared" si="13"/>
        <v>100</v>
      </c>
      <c r="V45" s="714" t="s">
        <v>21</v>
      </c>
      <c r="W45" s="715">
        <f t="shared" si="14"/>
        <v>100</v>
      </c>
      <c r="X45" s="1541"/>
      <c r="Y45" s="340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2"/>
      <c r="M46" s="2946"/>
      <c r="N46" s="2946"/>
      <c r="O46" s="2946"/>
      <c r="P46" s="3404"/>
      <c r="Q46" s="1538">
        <f t="shared" si="11"/>
        <v>111</v>
      </c>
      <c r="R46" s="714" t="s">
        <v>20</v>
      </c>
      <c r="S46" s="715">
        <f t="shared" si="12"/>
        <v>100</v>
      </c>
      <c r="T46" s="714" t="s">
        <v>20</v>
      </c>
      <c r="U46" s="715">
        <f t="shared" si="13"/>
        <v>100</v>
      </c>
      <c r="V46" s="714" t="s">
        <v>20</v>
      </c>
      <c r="W46" s="715">
        <f t="shared" si="14"/>
        <v>100</v>
      </c>
      <c r="X46" s="1541"/>
      <c r="Y46" s="340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4"/>
      <c r="M47" s="2955"/>
      <c r="N47" s="2946"/>
      <c r="O47" s="2955"/>
      <c r="P47" s="3398" t="str">
        <f>A47</f>
        <v>成交单价（元/平方米）</v>
      </c>
      <c r="Q47" s="3398"/>
      <c r="R47" s="3399">
        <f>E47</f>
        <v>0</v>
      </c>
      <c r="S47" s="3399"/>
      <c r="T47" s="3399">
        <f>G47</f>
        <v>0</v>
      </c>
      <c r="U47" s="3399"/>
      <c r="V47" s="3399">
        <f>I47</f>
        <v>0</v>
      </c>
      <c r="W47" s="3399"/>
      <c r="X47" s="699"/>
      <c r="Y47" s="721"/>
      <c r="Z47" s="699"/>
      <c r="AA47" s="699"/>
      <c r="AB47" s="699"/>
      <c r="AC47" s="699"/>
    </row>
    <row r="48" spans="1:29" ht="15.75" thickBot="1">
      <c r="A48" s="445" t="s">
        <v>2399</v>
      </c>
      <c r="B48" s="446"/>
      <c r="C48" s="1322" t="e">
        <f>R49</f>
        <v>#DIV/0!</v>
      </c>
      <c r="D48" s="2540" t="s">
        <v>2879</v>
      </c>
      <c r="E48" s="1323" t="e">
        <f>R48</f>
        <v>#DIV/0!</v>
      </c>
      <c r="F48" s="2541"/>
      <c r="G48" s="1322" t="e">
        <f>T48</f>
        <v>#DIV/0!</v>
      </c>
      <c r="H48" s="2541"/>
      <c r="I48" s="1323" t="e">
        <f>V48</f>
        <v>#DIV/0!</v>
      </c>
      <c r="J48" s="2541"/>
      <c r="K48" s="2542">
        <f>F48+H48+J48</f>
        <v>0</v>
      </c>
      <c r="L48" s="2954"/>
      <c r="M48" s="2955"/>
      <c r="N48" s="2955"/>
      <c r="O48" s="2955"/>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4"/>
      <c r="M49" s="2955"/>
      <c r="N49" s="2955"/>
      <c r="O49" s="2955"/>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5"/>
    </row>
    <row r="55" spans="1:29" s="459" customFormat="1">
      <c r="A55" s="2958"/>
      <c r="B55" s="2961"/>
      <c r="C55" s="2962"/>
      <c r="D55" s="2958"/>
      <c r="E55" s="2958"/>
      <c r="F55" s="2958"/>
      <c r="G55" s="2958"/>
      <c r="H55" s="2958"/>
      <c r="I55" s="2958"/>
      <c r="J55" s="2958"/>
      <c r="K55" s="2963"/>
      <c r="L55" s="2957"/>
      <c r="M55" s="2958"/>
      <c r="N55" s="2958"/>
      <c r="O55" s="2958"/>
      <c r="P55" s="2105"/>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4"/>
      <c r="M2" s="2965"/>
      <c r="N2" s="2965"/>
      <c r="O2" s="2965"/>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2826.8999999999996</v>
      </c>
      <c r="E3" s="2142"/>
      <c r="F3" s="1040"/>
      <c r="G3" s="1039"/>
      <c r="H3" s="1039"/>
      <c r="I3" s="1039"/>
      <c r="J3" s="1039"/>
      <c r="K3" s="1041"/>
      <c r="L3" s="2964"/>
      <c r="M3" s="2965"/>
      <c r="N3" s="2965"/>
      <c r="O3" s="2965"/>
      <c r="P3" s="2140"/>
      <c r="Q3" s="1043"/>
      <c r="R3" s="1043"/>
      <c r="S3" s="1043"/>
      <c r="T3" s="1043"/>
      <c r="U3" s="1043"/>
      <c r="V3" s="1043"/>
      <c r="W3" s="1043"/>
      <c r="X3" s="1043"/>
      <c r="Y3" s="1043"/>
      <c r="Z3" s="1043"/>
      <c r="AA3" s="1043"/>
      <c r="AB3" s="1043"/>
      <c r="AC3" s="2142"/>
    </row>
    <row r="4" spans="1:29" ht="15">
      <c r="A4" s="361" t="s">
        <v>2466</v>
      </c>
      <c r="B4" s="362"/>
      <c r="C4" s="3381" t="s">
        <v>2467</v>
      </c>
      <c r="D4" s="3382"/>
      <c r="E4" s="3383" t="s">
        <v>2468</v>
      </c>
      <c r="F4" s="3384"/>
      <c r="G4" s="3381" t="s">
        <v>2469</v>
      </c>
      <c r="H4" s="3382"/>
      <c r="I4" s="3381" t="s">
        <v>2470</v>
      </c>
      <c r="J4" s="3382"/>
      <c r="K4" s="567" t="s">
        <v>2471</v>
      </c>
      <c r="L4" s="2945"/>
      <c r="M4" s="2946"/>
      <c r="N4" s="2946"/>
      <c r="O4" s="2946"/>
      <c r="P4" s="3385" t="s">
        <v>2472</v>
      </c>
      <c r="Q4" s="3386"/>
      <c r="R4" s="3368" t="s">
        <v>2468</v>
      </c>
      <c r="S4" s="3369"/>
      <c r="T4" s="3368" t="s">
        <v>2469</v>
      </c>
      <c r="U4" s="3369"/>
      <c r="V4" s="3393" t="s">
        <v>2470</v>
      </c>
      <c r="W4" s="3393"/>
      <c r="X4" s="1541"/>
      <c r="Y4" s="3368" t="s">
        <v>2472</v>
      </c>
      <c r="Z4" s="3369"/>
      <c r="AA4" s="3363" t="s">
        <v>2468</v>
      </c>
      <c r="AB4" s="3393" t="s">
        <v>2469</v>
      </c>
      <c r="AC4" s="3363" t="s">
        <v>2470</v>
      </c>
    </row>
    <row r="5" spans="1:29" ht="15">
      <c r="A5" s="364"/>
      <c r="B5" s="365"/>
      <c r="C5" s="3374" t="s">
        <v>2363</v>
      </c>
      <c r="D5" s="3375"/>
      <c r="E5" s="3372" t="s">
        <v>2364</v>
      </c>
      <c r="F5" s="3373"/>
      <c r="G5" s="3374" t="s">
        <v>2365</v>
      </c>
      <c r="H5" s="3375"/>
      <c r="I5" s="3374" t="s">
        <v>2366</v>
      </c>
      <c r="J5" s="3375"/>
      <c r="K5" s="567"/>
      <c r="L5" s="2945"/>
      <c r="M5" s="2946"/>
      <c r="N5" s="2946"/>
      <c r="O5" s="2946"/>
      <c r="P5" s="3387"/>
      <c r="Q5" s="3388"/>
      <c r="R5" s="3370"/>
      <c r="S5" s="3371"/>
      <c r="T5" s="3370"/>
      <c r="U5" s="3371"/>
      <c r="V5" s="3393"/>
      <c r="W5" s="3393"/>
      <c r="X5" s="1541"/>
      <c r="Y5" s="3370"/>
      <c r="Z5" s="3371"/>
      <c r="AA5" s="3364"/>
      <c r="AB5" s="3393"/>
      <c r="AC5" s="3364"/>
    </row>
    <row r="6" spans="1:29" ht="15.75" thickBot="1">
      <c r="A6" s="366"/>
      <c r="B6" s="367"/>
      <c r="C6" s="3376" t="s">
        <v>2367</v>
      </c>
      <c r="D6" s="3377"/>
      <c r="E6" s="3378" t="s">
        <v>2367</v>
      </c>
      <c r="F6" s="3379"/>
      <c r="G6" s="3376" t="s">
        <v>2367</v>
      </c>
      <c r="H6" s="3377"/>
      <c r="I6" s="3376" t="s">
        <v>2367</v>
      </c>
      <c r="J6" s="3377"/>
      <c r="K6" s="567" t="s">
        <v>2368</v>
      </c>
      <c r="L6" s="2945"/>
      <c r="M6" s="2946"/>
      <c r="N6" s="2946"/>
      <c r="O6" s="2946"/>
      <c r="P6" s="3389"/>
      <c r="Q6" s="3390"/>
      <c r="R6" s="3370"/>
      <c r="S6" s="3371"/>
      <c r="T6" s="3391"/>
      <c r="U6" s="3392"/>
      <c r="V6" s="3393"/>
      <c r="W6" s="3393"/>
      <c r="X6" s="1541"/>
      <c r="Y6" s="3391"/>
      <c r="Z6" s="3392"/>
      <c r="AA6" s="3365"/>
      <c r="AB6" s="3393"/>
      <c r="AC6" s="3365"/>
    </row>
    <row r="7" spans="1:29" s="113" customFormat="1" ht="15.75" thickBot="1">
      <c r="A7" s="368" t="s">
        <v>2369</v>
      </c>
      <c r="B7" s="369"/>
      <c r="C7" s="370">
        <f>'数据-取费表'!B2</f>
        <v>44201</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66" t="s">
        <v>2370</v>
      </c>
      <c r="Q7" s="3394"/>
      <c r="R7" s="710" t="s">
        <v>17</v>
      </c>
      <c r="S7" s="711">
        <f t="shared" ref="S7:S15" si="0">F7</f>
        <v>0</v>
      </c>
      <c r="T7" s="710" t="s">
        <v>17</v>
      </c>
      <c r="U7" s="711">
        <f t="shared" ref="U7:U15" si="1">H7</f>
        <v>0</v>
      </c>
      <c r="V7" s="710" t="s">
        <v>17</v>
      </c>
      <c r="W7" s="711">
        <f t="shared" ref="W7:W15" si="2">J7</f>
        <v>0</v>
      </c>
      <c r="X7" s="712"/>
      <c r="Y7" s="3366" t="s">
        <v>2370</v>
      </c>
      <c r="Z7" s="336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66" t="s">
        <v>2373</v>
      </c>
      <c r="Q8" s="3367"/>
      <c r="R8" s="710" t="s">
        <v>17</v>
      </c>
      <c r="S8" s="711">
        <f t="shared" si="0"/>
        <v>0</v>
      </c>
      <c r="T8" s="710" t="s">
        <v>17</v>
      </c>
      <c r="U8" s="711">
        <f t="shared" si="1"/>
        <v>0</v>
      </c>
      <c r="V8" s="710" t="s">
        <v>17</v>
      </c>
      <c r="W8" s="711">
        <f t="shared" si="2"/>
        <v>0</v>
      </c>
      <c r="X8" s="712"/>
      <c r="Y8" s="3366" t="s">
        <v>2373</v>
      </c>
      <c r="Z8" s="336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80"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80"/>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80"/>
      <c r="Q11" s="1529"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80"/>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80"/>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80"/>
      <c r="Q14" s="1529">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407" t="s">
        <v>2381</v>
      </c>
      <c r="Q15" s="1538" t="str">
        <f t="shared" si="6"/>
        <v>商业繁华度</v>
      </c>
      <c r="R15" s="714" t="s">
        <v>17</v>
      </c>
      <c r="S15" s="715">
        <f t="shared" si="0"/>
        <v>100</v>
      </c>
      <c r="T15" s="714" t="s">
        <v>17</v>
      </c>
      <c r="U15" s="715">
        <f t="shared" si="1"/>
        <v>100</v>
      </c>
      <c r="V15" s="714" t="s">
        <v>17</v>
      </c>
      <c r="W15" s="715">
        <f t="shared" si="2"/>
        <v>100</v>
      </c>
      <c r="X15" s="1541"/>
      <c r="Y15" s="3400"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408"/>
      <c r="Q16" s="1538"/>
      <c r="R16" s="714"/>
      <c r="S16" s="715"/>
      <c r="T16" s="714"/>
      <c r="U16" s="715"/>
      <c r="V16" s="714"/>
      <c r="W16" s="715"/>
      <c r="X16" s="1541"/>
      <c r="Y16" s="340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408"/>
      <c r="Q17" s="1538" t="str">
        <f>B17</f>
        <v>交通便捷度</v>
      </c>
      <c r="R17" s="714" t="s">
        <v>17</v>
      </c>
      <c r="S17" s="715">
        <f>F17</f>
        <v>100</v>
      </c>
      <c r="T17" s="714" t="s">
        <v>17</v>
      </c>
      <c r="U17" s="715">
        <f>H17</f>
        <v>100</v>
      </c>
      <c r="V17" s="714" t="s">
        <v>17</v>
      </c>
      <c r="W17" s="715">
        <f>J17</f>
        <v>100</v>
      </c>
      <c r="X17" s="1541"/>
      <c r="Y17" s="34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2"/>
      <c r="M18" s="2946"/>
      <c r="N18" s="2946"/>
      <c r="O18" s="2946"/>
      <c r="P18" s="3408"/>
      <c r="Q18" s="1538"/>
      <c r="R18" s="714"/>
      <c r="S18" s="715"/>
      <c r="T18" s="714"/>
      <c r="U18" s="715"/>
      <c r="V18" s="714"/>
      <c r="W18" s="715"/>
      <c r="X18" s="1541"/>
      <c r="Y18" s="3401"/>
      <c r="Z18" s="1542"/>
      <c r="AA18" s="1539">
        <v>1</v>
      </c>
      <c r="AB18" s="1539">
        <v>1</v>
      </c>
      <c r="AC18" s="1539">
        <v>1</v>
      </c>
    </row>
    <row r="19" spans="1:29" ht="42.75">
      <c r="A19" s="387"/>
      <c r="B19" s="410" t="s">
        <v>2475</v>
      </c>
      <c r="C19" s="2088" t="str">
        <f>估价对象房地状况!C7</f>
        <v>估价对象所在区域公共配套设施齐备</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408"/>
      <c r="Q19" s="1538" t="str">
        <f>B19</f>
        <v>公共配套设施</v>
      </c>
      <c r="R19" s="714" t="s">
        <v>17</v>
      </c>
      <c r="S19" s="715">
        <f>F19</f>
        <v>100</v>
      </c>
      <c r="T19" s="714" t="s">
        <v>17</v>
      </c>
      <c r="U19" s="715">
        <f>H19</f>
        <v>100</v>
      </c>
      <c r="V19" s="714" t="s">
        <v>17</v>
      </c>
      <c r="W19" s="715">
        <f>J19</f>
        <v>100</v>
      </c>
      <c r="X19" s="1541"/>
      <c r="Y19" s="34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2"/>
      <c r="M20" s="2946"/>
      <c r="N20" s="2946"/>
      <c r="O20" s="2946"/>
      <c r="P20" s="3408"/>
      <c r="Q20" s="1538"/>
      <c r="R20" s="714"/>
      <c r="S20" s="715"/>
      <c r="T20" s="714"/>
      <c r="U20" s="715"/>
      <c r="V20" s="714"/>
      <c r="W20" s="715"/>
      <c r="X20" s="1541"/>
      <c r="Y20" s="3401"/>
      <c r="Z20" s="1542"/>
      <c r="AA20" s="1539">
        <v>1</v>
      </c>
      <c r="AB20" s="1539">
        <v>1</v>
      </c>
      <c r="AC20" s="1539">
        <v>1</v>
      </c>
    </row>
    <row r="21" spans="1:29" ht="15">
      <c r="A21" s="387"/>
      <c r="B21" s="1293" t="s">
        <v>2476</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408"/>
      <c r="Q21" s="1538" t="str">
        <f>B21</f>
        <v>基础设施水平</v>
      </c>
      <c r="R21" s="714" t="s">
        <v>17</v>
      </c>
      <c r="S21" s="715">
        <f>F21</f>
        <v>100</v>
      </c>
      <c r="T21" s="714" t="s">
        <v>17</v>
      </c>
      <c r="U21" s="715">
        <f>H21</f>
        <v>100</v>
      </c>
      <c r="V21" s="714" t="s">
        <v>17</v>
      </c>
      <c r="W21" s="715">
        <f>J21</f>
        <v>100</v>
      </c>
      <c r="X21" s="1541"/>
      <c r="Y21" s="34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2"/>
      <c r="M22" s="2946"/>
      <c r="N22" s="2946"/>
      <c r="O22" s="2946"/>
      <c r="P22" s="3408"/>
      <c r="Q22" s="1538"/>
      <c r="R22" s="714"/>
      <c r="S22" s="715"/>
      <c r="T22" s="714"/>
      <c r="U22" s="715"/>
      <c r="V22" s="714"/>
      <c r="W22" s="715"/>
      <c r="X22" s="1541"/>
      <c r="Y22" s="3401"/>
      <c r="Z22" s="1542"/>
      <c r="AA22" s="1539">
        <v>1</v>
      </c>
      <c r="AB22" s="1539">
        <v>1</v>
      </c>
      <c r="AC22" s="1539">
        <v>1</v>
      </c>
    </row>
    <row r="23" spans="1:29" ht="57">
      <c r="A23" s="387"/>
      <c r="B23" s="410" t="s">
        <v>1947</v>
      </c>
      <c r="C23" s="2143" t="str">
        <f>估价对象房地状况!C9</f>
        <v>区域自然环境：；人文环境；综合评价环境状况较好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408"/>
      <c r="Q23" s="1538" t="str">
        <f>B23</f>
        <v>自然及人文环境</v>
      </c>
      <c r="R23" s="714" t="s">
        <v>17</v>
      </c>
      <c r="S23" s="715">
        <f>F23</f>
        <v>100</v>
      </c>
      <c r="T23" s="714" t="s">
        <v>17</v>
      </c>
      <c r="U23" s="715">
        <f>H23</f>
        <v>100</v>
      </c>
      <c r="V23" s="714" t="s">
        <v>17</v>
      </c>
      <c r="W23" s="715">
        <f>J23</f>
        <v>100</v>
      </c>
      <c r="X23" s="1541"/>
      <c r="Y23" s="340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2"/>
      <c r="M24" s="2946"/>
      <c r="N24" s="2946"/>
      <c r="O24" s="2946"/>
      <c r="P24" s="3408"/>
      <c r="Q24" s="1538"/>
      <c r="R24" s="714"/>
      <c r="S24" s="715"/>
      <c r="T24" s="714"/>
      <c r="U24" s="715"/>
      <c r="V24" s="714"/>
      <c r="W24" s="715"/>
      <c r="X24" s="1541"/>
      <c r="Y24" s="3401"/>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408"/>
      <c r="Q25" s="1538" t="str">
        <f t="shared" ref="Q25:Q46" si="11">B25</f>
        <v>临街状况</v>
      </c>
      <c r="R25" s="714" t="s">
        <v>17</v>
      </c>
      <c r="S25" s="715">
        <f>F25</f>
        <v>100</v>
      </c>
      <c r="T25" s="714" t="s">
        <v>17</v>
      </c>
      <c r="U25" s="715">
        <f>H25</f>
        <v>100</v>
      </c>
      <c r="V25" s="714" t="s">
        <v>17</v>
      </c>
      <c r="W25" s="715">
        <f>J25</f>
        <v>100</v>
      </c>
      <c r="X25" s="1541"/>
      <c r="Y25" s="3401"/>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408"/>
      <c r="Q26" s="1538" t="str">
        <f t="shared" si="11"/>
        <v>平面位置/可视性</v>
      </c>
      <c r="R26" s="714" t="s">
        <v>17</v>
      </c>
      <c r="S26" s="715">
        <f>F26</f>
        <v>100</v>
      </c>
      <c r="T26" s="714" t="s">
        <v>17</v>
      </c>
      <c r="U26" s="715">
        <f>H26</f>
        <v>100</v>
      </c>
      <c r="V26" s="714" t="s">
        <v>17</v>
      </c>
      <c r="W26" s="715">
        <f>J26</f>
        <v>100</v>
      </c>
      <c r="X26" s="1541"/>
      <c r="Y26" s="3401"/>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7"/>
      <c r="M27" s="2948"/>
      <c r="N27" s="2948"/>
      <c r="O27" s="2948"/>
      <c r="P27" s="3408"/>
      <c r="Q27" s="1529" t="str">
        <f t="shared" si="11"/>
        <v>人流量</v>
      </c>
      <c r="R27" s="710" t="s">
        <v>17</v>
      </c>
      <c r="S27" s="711">
        <f>F27</f>
        <v>100</v>
      </c>
      <c r="T27" s="710" t="s">
        <v>17</v>
      </c>
      <c r="U27" s="711">
        <f>H27</f>
        <v>100</v>
      </c>
      <c r="V27" s="710" t="s">
        <v>17</v>
      </c>
      <c r="W27" s="711">
        <f>J27</f>
        <v>100</v>
      </c>
      <c r="X27" s="712"/>
      <c r="Y27" s="3401"/>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40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40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408"/>
      <c r="Q29" s="1538">
        <f t="shared" si="11"/>
        <v>111</v>
      </c>
      <c r="R29" s="714" t="s">
        <v>17</v>
      </c>
      <c r="S29" s="715">
        <f t="shared" si="12"/>
        <v>100</v>
      </c>
      <c r="T29" s="714" t="s">
        <v>17</v>
      </c>
      <c r="U29" s="715">
        <f t="shared" si="13"/>
        <v>100</v>
      </c>
      <c r="V29" s="714" t="s">
        <v>17</v>
      </c>
      <c r="W29" s="715">
        <f t="shared" si="14"/>
        <v>100</v>
      </c>
      <c r="X29" s="1541"/>
      <c r="Y29" s="340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408"/>
      <c r="Q30" s="1538">
        <f t="shared" si="11"/>
        <v>111</v>
      </c>
      <c r="R30" s="714" t="s">
        <v>17</v>
      </c>
      <c r="S30" s="715">
        <f t="shared" si="12"/>
        <v>100</v>
      </c>
      <c r="T30" s="714" t="s">
        <v>17</v>
      </c>
      <c r="U30" s="715">
        <f t="shared" si="13"/>
        <v>100</v>
      </c>
      <c r="V30" s="714" t="s">
        <v>17</v>
      </c>
      <c r="W30" s="715">
        <f t="shared" si="14"/>
        <v>100</v>
      </c>
      <c r="X30" s="1541"/>
      <c r="Y30" s="340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408"/>
      <c r="Q31" s="1538">
        <f t="shared" si="11"/>
        <v>111</v>
      </c>
      <c r="R31" s="714" t="s">
        <v>17</v>
      </c>
      <c r="S31" s="715">
        <f t="shared" si="12"/>
        <v>100</v>
      </c>
      <c r="T31" s="714" t="s">
        <v>17</v>
      </c>
      <c r="U31" s="715">
        <f t="shared" si="13"/>
        <v>100</v>
      </c>
      <c r="V31" s="714" t="s">
        <v>17</v>
      </c>
      <c r="W31" s="715">
        <f t="shared" si="14"/>
        <v>100</v>
      </c>
      <c r="X31" s="1541"/>
      <c r="Y31" s="3401"/>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2"/>
      <c r="M32" s="2946"/>
      <c r="N32" s="2946"/>
      <c r="O32" s="2946"/>
      <c r="P32" s="3402" t="s">
        <v>2386</v>
      </c>
      <c r="Q32" s="1538" t="str">
        <f t="shared" si="11"/>
        <v>商业类型</v>
      </c>
      <c r="R32" s="714" t="s">
        <v>17</v>
      </c>
      <c r="S32" s="715">
        <f t="shared" si="12"/>
        <v>100</v>
      </c>
      <c r="T32" s="714" t="s">
        <v>17</v>
      </c>
      <c r="U32" s="715">
        <f t="shared" si="13"/>
        <v>100</v>
      </c>
      <c r="V32" s="714" t="s">
        <v>17</v>
      </c>
      <c r="W32" s="715">
        <f t="shared" si="14"/>
        <v>100</v>
      </c>
      <c r="X32" s="1541"/>
      <c r="Y32" s="3405"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403"/>
      <c r="Q33" s="716" t="str">
        <f t="shared" si="11"/>
        <v>项目建筑规模</v>
      </c>
      <c r="R33" s="717" t="s">
        <v>17</v>
      </c>
      <c r="S33" s="718" t="e">
        <f t="shared" si="12"/>
        <v>#N/A</v>
      </c>
      <c r="T33" s="717" t="s">
        <v>17</v>
      </c>
      <c r="U33" s="718" t="e">
        <f t="shared" si="13"/>
        <v>#N/A</v>
      </c>
      <c r="V33" s="717" t="s">
        <v>17</v>
      </c>
      <c r="W33" s="718" t="e">
        <f t="shared" si="14"/>
        <v>#N/A</v>
      </c>
      <c r="X33" s="719"/>
      <c r="Y33" s="3405"/>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2"/>
      <c r="M34" s="2946"/>
      <c r="N34" s="2946"/>
      <c r="O34" s="2946"/>
      <c r="P34" s="3403"/>
      <c r="Q34" s="1538" t="str">
        <f t="shared" si="11"/>
        <v>建筑结构</v>
      </c>
      <c r="R34" s="714" t="s">
        <v>17</v>
      </c>
      <c r="S34" s="715">
        <f t="shared" si="12"/>
        <v>100</v>
      </c>
      <c r="T34" s="714" t="s">
        <v>17</v>
      </c>
      <c r="U34" s="715">
        <f t="shared" si="13"/>
        <v>100</v>
      </c>
      <c r="V34" s="714" t="s">
        <v>17</v>
      </c>
      <c r="W34" s="715">
        <f t="shared" si="14"/>
        <v>100</v>
      </c>
      <c r="X34" s="1541"/>
      <c r="Y34" s="3405"/>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2"/>
      <c r="M35" s="2946"/>
      <c r="N35" s="2946"/>
      <c r="O35" s="2946"/>
      <c r="P35" s="3403"/>
      <c r="Q35" s="1538" t="str">
        <f t="shared" si="11"/>
        <v>公共部分装修</v>
      </c>
      <c r="R35" s="714" t="s">
        <v>17</v>
      </c>
      <c r="S35" s="715">
        <f t="shared" si="12"/>
        <v>100</v>
      </c>
      <c r="T35" s="714" t="s">
        <v>17</v>
      </c>
      <c r="U35" s="715">
        <f t="shared" si="13"/>
        <v>100</v>
      </c>
      <c r="V35" s="714" t="s">
        <v>17</v>
      </c>
      <c r="W35" s="715">
        <f t="shared" si="14"/>
        <v>100</v>
      </c>
      <c r="X35" s="1541"/>
      <c r="Y35" s="3405"/>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403"/>
      <c r="Q36" s="1538" t="str">
        <f t="shared" si="11"/>
        <v>成新度</v>
      </c>
      <c r="R36" s="714" t="s">
        <v>17</v>
      </c>
      <c r="S36" s="715" t="e">
        <f t="shared" si="12"/>
        <v>#N/A</v>
      </c>
      <c r="T36" s="714" t="s">
        <v>17</v>
      </c>
      <c r="U36" s="715" t="e">
        <f t="shared" si="13"/>
        <v>#N/A</v>
      </c>
      <c r="V36" s="714" t="s">
        <v>17</v>
      </c>
      <c r="W36" s="715" t="e">
        <f t="shared" si="14"/>
        <v>#N/A</v>
      </c>
      <c r="X36" s="1541"/>
      <c r="Y36" s="3405"/>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7"/>
      <c r="M37" s="2948"/>
      <c r="N37" s="2948"/>
      <c r="O37" s="2948"/>
      <c r="P37" s="3403"/>
      <c r="Q37" s="1529" t="str">
        <f t="shared" si="11"/>
        <v>市政基础设施</v>
      </c>
      <c r="R37" s="710" t="s">
        <v>17</v>
      </c>
      <c r="S37" s="711">
        <f t="shared" si="12"/>
        <v>100</v>
      </c>
      <c r="T37" s="710" t="s">
        <v>17</v>
      </c>
      <c r="U37" s="711">
        <f t="shared" si="13"/>
        <v>100</v>
      </c>
      <c r="V37" s="710" t="s">
        <v>17</v>
      </c>
      <c r="W37" s="711">
        <f t="shared" si="14"/>
        <v>100</v>
      </c>
      <c r="X37" s="712"/>
      <c r="Y37" s="3405"/>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2"/>
      <c r="M38" s="2946"/>
      <c r="N38" s="2946"/>
      <c r="O38" s="2946"/>
      <c r="P38" s="3403" t="s">
        <v>2386</v>
      </c>
      <c r="Q38" s="1538" t="str">
        <f t="shared" si="11"/>
        <v>业态</v>
      </c>
      <c r="R38" s="714" t="s">
        <v>17</v>
      </c>
      <c r="S38" s="715">
        <f t="shared" si="12"/>
        <v>100</v>
      </c>
      <c r="T38" s="714" t="s">
        <v>17</v>
      </c>
      <c r="U38" s="715">
        <f t="shared" si="13"/>
        <v>100</v>
      </c>
      <c r="V38" s="714" t="s">
        <v>17</v>
      </c>
      <c r="W38" s="715">
        <f t="shared" si="14"/>
        <v>100</v>
      </c>
      <c r="X38" s="1541"/>
      <c r="Y38" s="3405"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2"/>
      <c r="M39" s="2946"/>
      <c r="N39" s="2946"/>
      <c r="O39" s="2946"/>
      <c r="P39" s="3403"/>
      <c r="Q39" s="1538" t="str">
        <f t="shared" si="11"/>
        <v>层高</v>
      </c>
      <c r="R39" s="714" t="s">
        <v>17</v>
      </c>
      <c r="S39" s="715">
        <f t="shared" si="12"/>
        <v>100</v>
      </c>
      <c r="T39" s="714" t="s">
        <v>17</v>
      </c>
      <c r="U39" s="715">
        <f t="shared" si="13"/>
        <v>100</v>
      </c>
      <c r="V39" s="714" t="s">
        <v>17</v>
      </c>
      <c r="W39" s="715">
        <f t="shared" si="14"/>
        <v>100</v>
      </c>
      <c r="X39" s="1541"/>
      <c r="Y39" s="3405"/>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403"/>
      <c r="Q40" s="1538" t="str">
        <f t="shared" si="11"/>
        <v>单套建筑面积</v>
      </c>
      <c r="R40" s="714" t="s">
        <v>17</v>
      </c>
      <c r="S40" s="715">
        <f t="shared" si="12"/>
        <v>100</v>
      </c>
      <c r="T40" s="714" t="s">
        <v>17</v>
      </c>
      <c r="U40" s="715">
        <f t="shared" si="13"/>
        <v>100</v>
      </c>
      <c r="V40" s="714" t="s">
        <v>17</v>
      </c>
      <c r="W40" s="715">
        <f t="shared" si="14"/>
        <v>100</v>
      </c>
      <c r="X40" s="1541"/>
      <c r="Y40" s="3405"/>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403"/>
      <c r="Q41" s="716" t="str">
        <f t="shared" si="11"/>
        <v>进深比</v>
      </c>
      <c r="R41" s="717" t="s">
        <v>17</v>
      </c>
      <c r="S41" s="718">
        <f t="shared" si="12"/>
        <v>100</v>
      </c>
      <c r="T41" s="717" t="s">
        <v>17</v>
      </c>
      <c r="U41" s="718">
        <f t="shared" si="13"/>
        <v>100</v>
      </c>
      <c r="V41" s="717" t="s">
        <v>17</v>
      </c>
      <c r="W41" s="718">
        <f t="shared" si="14"/>
        <v>100</v>
      </c>
      <c r="X41" s="719"/>
      <c r="Y41" s="3405"/>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2"/>
      <c r="M42" s="2946"/>
      <c r="N42" s="2946"/>
      <c r="O42" s="2946"/>
      <c r="P42" s="3403"/>
      <c r="Q42" s="1538" t="str">
        <f t="shared" si="11"/>
        <v>内部装修</v>
      </c>
      <c r="R42" s="714" t="s">
        <v>17</v>
      </c>
      <c r="S42" s="715">
        <f t="shared" si="12"/>
        <v>100</v>
      </c>
      <c r="T42" s="714" t="s">
        <v>17</v>
      </c>
      <c r="U42" s="715">
        <f t="shared" si="13"/>
        <v>100</v>
      </c>
      <c r="V42" s="714" t="s">
        <v>17</v>
      </c>
      <c r="W42" s="715">
        <f t="shared" si="14"/>
        <v>100</v>
      </c>
      <c r="X42" s="1541"/>
      <c r="Y42" s="3405"/>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2"/>
      <c r="M43" s="2946"/>
      <c r="N43" s="2946"/>
      <c r="O43" s="2946"/>
      <c r="P43" s="3403"/>
      <c r="Q43" s="1538" t="str">
        <f t="shared" si="11"/>
        <v>内部装修维护情况</v>
      </c>
      <c r="R43" s="714" t="s">
        <v>17</v>
      </c>
      <c r="S43" s="715">
        <f t="shared" si="12"/>
        <v>100</v>
      </c>
      <c r="T43" s="714" t="s">
        <v>17</v>
      </c>
      <c r="U43" s="715">
        <f t="shared" si="13"/>
        <v>100</v>
      </c>
      <c r="V43" s="714" t="s">
        <v>17</v>
      </c>
      <c r="W43" s="715">
        <f t="shared" si="14"/>
        <v>100</v>
      </c>
      <c r="X43" s="1541"/>
      <c r="Y43" s="340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403"/>
      <c r="Q44" s="1529">
        <f t="shared" si="11"/>
        <v>111</v>
      </c>
      <c r="R44" s="710" t="s">
        <v>17</v>
      </c>
      <c r="S44" s="711">
        <f t="shared" si="12"/>
        <v>100</v>
      </c>
      <c r="T44" s="710" t="s">
        <v>17</v>
      </c>
      <c r="U44" s="711">
        <f t="shared" si="13"/>
        <v>100</v>
      </c>
      <c r="V44" s="710" t="s">
        <v>17</v>
      </c>
      <c r="W44" s="711">
        <f t="shared" si="14"/>
        <v>100</v>
      </c>
      <c r="X44" s="712"/>
      <c r="Y44" s="340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403"/>
      <c r="Q45" s="1538">
        <f t="shared" si="11"/>
        <v>111</v>
      </c>
      <c r="R45" s="714" t="s">
        <v>17</v>
      </c>
      <c r="S45" s="715">
        <f t="shared" si="12"/>
        <v>100</v>
      </c>
      <c r="T45" s="714" t="s">
        <v>17</v>
      </c>
      <c r="U45" s="715">
        <f t="shared" si="13"/>
        <v>100</v>
      </c>
      <c r="V45" s="714" t="s">
        <v>17</v>
      </c>
      <c r="W45" s="715">
        <f t="shared" si="14"/>
        <v>100</v>
      </c>
      <c r="X45" s="1541"/>
      <c r="Y45" s="340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404"/>
      <c r="Q46" s="1538">
        <f t="shared" si="11"/>
        <v>111</v>
      </c>
      <c r="R46" s="714" t="s">
        <v>17</v>
      </c>
      <c r="S46" s="715">
        <f t="shared" si="12"/>
        <v>100</v>
      </c>
      <c r="T46" s="714" t="s">
        <v>17</v>
      </c>
      <c r="U46" s="715">
        <f t="shared" si="13"/>
        <v>100</v>
      </c>
      <c r="V46" s="714" t="s">
        <v>17</v>
      </c>
      <c r="W46" s="715">
        <f t="shared" si="14"/>
        <v>100</v>
      </c>
      <c r="X46" s="1541"/>
      <c r="Y46" s="3406"/>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4"/>
      <c r="M47" s="2955"/>
      <c r="N47" s="2946"/>
      <c r="O47" s="2955"/>
      <c r="P47" s="3398" t="str">
        <f>A47</f>
        <v>成交单价（元/平方米）</v>
      </c>
      <c r="Q47" s="3398"/>
      <c r="R47" s="3393">
        <f>E47</f>
        <v>0</v>
      </c>
      <c r="S47" s="3393"/>
      <c r="T47" s="3393">
        <f>G47</f>
        <v>0</v>
      </c>
      <c r="U47" s="3393"/>
      <c r="V47" s="3393">
        <f>I47</f>
        <v>0</v>
      </c>
      <c r="W47" s="3393"/>
      <c r="X47" s="699"/>
      <c r="Y47" s="721"/>
      <c r="Z47" s="699"/>
      <c r="AA47" s="699"/>
      <c r="AB47" s="699"/>
      <c r="AC47" s="699"/>
    </row>
    <row r="48" spans="1:29" ht="15.75" thickBot="1">
      <c r="A48" s="445" t="s">
        <v>2490</v>
      </c>
      <c r="B48" s="446"/>
      <c r="C48" s="1322" t="e">
        <f>R49</f>
        <v>#DIV/0!</v>
      </c>
      <c r="D48" s="2540" t="s">
        <v>2879</v>
      </c>
      <c r="E48" s="1323" t="e">
        <f>R48</f>
        <v>#DIV/0!</v>
      </c>
      <c r="F48" s="2541"/>
      <c r="G48" s="1322" t="e">
        <f>T48</f>
        <v>#DIV/0!</v>
      </c>
      <c r="H48" s="2541"/>
      <c r="I48" s="1323" t="e">
        <f>V48</f>
        <v>#DIV/0!</v>
      </c>
      <c r="J48" s="2541"/>
      <c r="K48" s="2543">
        <f>F48+H48+J48</f>
        <v>0</v>
      </c>
      <c r="L48" s="2954"/>
      <c r="M48" s="2955"/>
      <c r="N48" s="2946"/>
      <c r="O48" s="2955"/>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5"/>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6"/>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6"/>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6" zoomScaleNormal="70" zoomScaleSheetLayoutView="100" workbookViewId="0">
      <selection activeCell="C26" sqref="C2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3302</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0</v>
      </c>
      <c r="C2" s="2069" t="s">
        <v>70</v>
      </c>
      <c r="D2" s="1275" t="e">
        <f ca="1">SUMIF(INDIRECT("'"&amp;F2&amp;"'"&amp;"!A:A"),"承租人权益价值",INDIRECT("'"&amp;F2&amp;"'"&amp;"!c:c"))</f>
        <v>#REF!</v>
      </c>
      <c r="E2" s="2070" t="s">
        <v>2149</v>
      </c>
      <c r="F2" s="2071"/>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5.8</v>
      </c>
      <c r="C3" s="360" t="s">
        <v>2465</v>
      </c>
      <c r="D3" s="359">
        <f>IF(D1="",'数据-汇总表'!E3,SUMIF('数据-汇总表'!$C19:$C33,D1,'数据-汇总表'!$E19:$E33))</f>
        <v>0</v>
      </c>
      <c r="E3" s="2142"/>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381" t="s">
        <v>2467</v>
      </c>
      <c r="D4" s="3382"/>
      <c r="E4" s="3383" t="s">
        <v>2468</v>
      </c>
      <c r="F4" s="3384"/>
      <c r="G4" s="3381" t="s">
        <v>2469</v>
      </c>
      <c r="H4" s="3382"/>
      <c r="I4" s="3381" t="s">
        <v>2470</v>
      </c>
      <c r="J4" s="3382"/>
      <c r="K4" s="567" t="s">
        <v>2471</v>
      </c>
      <c r="L4" s="2945"/>
      <c r="M4" s="2946"/>
      <c r="N4" s="2946"/>
      <c r="O4" s="2946"/>
      <c r="P4" s="3418" t="s">
        <v>2472</v>
      </c>
      <c r="Q4" s="3419"/>
      <c r="R4" s="3410" t="s">
        <v>2468</v>
      </c>
      <c r="S4" s="3411"/>
      <c r="T4" s="3410" t="s">
        <v>2469</v>
      </c>
      <c r="U4" s="3411"/>
      <c r="V4" s="3422" t="s">
        <v>2470</v>
      </c>
      <c r="W4" s="3422"/>
      <c r="X4" s="2146"/>
      <c r="Y4" s="3410" t="s">
        <v>2472</v>
      </c>
      <c r="Z4" s="3411"/>
      <c r="AA4" s="3409" t="s">
        <v>2468</v>
      </c>
      <c r="AB4" s="3409" t="s">
        <v>2469</v>
      </c>
      <c r="AC4" s="3415" t="s">
        <v>2470</v>
      </c>
    </row>
    <row r="5" spans="1:29" ht="15">
      <c r="A5" s="364"/>
      <c r="B5" s="365"/>
      <c r="C5" s="3413" t="s">
        <v>3262</v>
      </c>
      <c r="D5" s="3375"/>
      <c r="E5" s="3412" t="s">
        <v>3303</v>
      </c>
      <c r="F5" s="3373"/>
      <c r="G5" s="3413" t="s">
        <v>3304</v>
      </c>
      <c r="H5" s="3375"/>
      <c r="I5" s="3413" t="s">
        <v>3305</v>
      </c>
      <c r="J5" s="3375"/>
      <c r="K5" s="567"/>
      <c r="L5" s="2945"/>
      <c r="M5" s="2946"/>
      <c r="N5" s="2946"/>
      <c r="O5" s="2946"/>
      <c r="P5" s="3420"/>
      <c r="Q5" s="3388"/>
      <c r="R5" s="3370"/>
      <c r="S5" s="3371"/>
      <c r="T5" s="3370"/>
      <c r="U5" s="3371"/>
      <c r="V5" s="3393"/>
      <c r="W5" s="3393"/>
      <c r="X5" s="1541"/>
      <c r="Y5" s="3370"/>
      <c r="Z5" s="3371"/>
      <c r="AA5" s="3364"/>
      <c r="AB5" s="3364"/>
      <c r="AC5" s="3416"/>
    </row>
    <row r="6" spans="1:29" ht="15.75" thickBot="1">
      <c r="A6" s="366"/>
      <c r="B6" s="367"/>
      <c r="C6" s="3414" t="s">
        <v>3263</v>
      </c>
      <c r="D6" s="3377"/>
      <c r="E6" s="3378" t="s">
        <v>2367</v>
      </c>
      <c r="F6" s="3379"/>
      <c r="G6" s="3376" t="s">
        <v>2367</v>
      </c>
      <c r="H6" s="3377"/>
      <c r="I6" s="3376" t="s">
        <v>2367</v>
      </c>
      <c r="J6" s="3377"/>
      <c r="K6" s="567" t="s">
        <v>2368</v>
      </c>
      <c r="L6" s="2945"/>
      <c r="M6" s="2946"/>
      <c r="N6" s="2946"/>
      <c r="O6" s="2946"/>
      <c r="P6" s="3421"/>
      <c r="Q6" s="3390"/>
      <c r="R6" s="3370"/>
      <c r="S6" s="3371"/>
      <c r="T6" s="3391"/>
      <c r="U6" s="3392"/>
      <c r="V6" s="3393"/>
      <c r="W6" s="3393"/>
      <c r="X6" s="1541"/>
      <c r="Y6" s="3391"/>
      <c r="Z6" s="3392"/>
      <c r="AA6" s="3365"/>
      <c r="AB6" s="3365"/>
      <c r="AC6" s="3417"/>
    </row>
    <row r="7" spans="1:29" s="113" customFormat="1" ht="15.75" thickBot="1">
      <c r="A7" s="368" t="s">
        <v>2369</v>
      </c>
      <c r="B7" s="369"/>
      <c r="C7" s="370">
        <f>'数据-取费表'!B2</f>
        <v>44201</v>
      </c>
      <c r="D7" s="371">
        <v>100</v>
      </c>
      <c r="E7" s="372">
        <v>44195</v>
      </c>
      <c r="F7" s="373">
        <f>SUMIF(59:59,YEAR(E7)&amp;"-"&amp;MONTH(E7),60:60)</f>
        <v>100</v>
      </c>
      <c r="G7" s="372">
        <v>44197</v>
      </c>
      <c r="H7" s="371">
        <f>SUMIF(59:59,YEAR(G7)&amp;"-"&amp;MONTH(G7),60:60)</f>
        <v>100</v>
      </c>
      <c r="I7" s="372">
        <v>44197</v>
      </c>
      <c r="J7" s="371">
        <f>SUMIF(59:59,YEAR(I7)&amp;"-"&amp;MONTH(I7),60:60)</f>
        <v>100</v>
      </c>
      <c r="K7" s="568"/>
      <c r="L7" s="2947"/>
      <c r="M7" s="2948"/>
      <c r="N7" s="2948"/>
      <c r="O7" s="2948"/>
      <c r="P7" s="3423" t="s">
        <v>2370</v>
      </c>
      <c r="Q7" s="3394"/>
      <c r="R7" s="710" t="s">
        <v>17</v>
      </c>
      <c r="S7" s="711">
        <f t="shared" ref="S7:S15" si="0">F7</f>
        <v>100</v>
      </c>
      <c r="T7" s="710" t="s">
        <v>17</v>
      </c>
      <c r="U7" s="711">
        <f t="shared" ref="U7:U15" si="1">H7</f>
        <v>100</v>
      </c>
      <c r="V7" s="710" t="s">
        <v>17</v>
      </c>
      <c r="W7" s="711">
        <f t="shared" ref="W7:W15" si="2">J7</f>
        <v>100</v>
      </c>
      <c r="X7" s="712"/>
      <c r="Y7" s="3366" t="s">
        <v>2370</v>
      </c>
      <c r="Z7" s="3367"/>
      <c r="AA7" s="713">
        <f>D7/F7</f>
        <v>1</v>
      </c>
      <c r="AB7" s="713">
        <f>D7/H7</f>
        <v>1</v>
      </c>
      <c r="AC7" s="2147">
        <f>D7/J7</f>
        <v>1</v>
      </c>
    </row>
    <row r="8" spans="1:29" s="113" customFormat="1" ht="15.75" thickBot="1">
      <c r="A8" s="368" t="s">
        <v>2371</v>
      </c>
      <c r="B8" s="369"/>
      <c r="C8" s="374" t="s">
        <v>2473</v>
      </c>
      <c r="D8" s="371">
        <v>100</v>
      </c>
      <c r="E8" s="374" t="s">
        <v>3266</v>
      </c>
      <c r="F8" s="373">
        <f>SUMIF(62:62,E8,63:63)-SUMIF(62:62,C8,63:63)+100</f>
        <v>100</v>
      </c>
      <c r="G8" s="374" t="s">
        <v>3266</v>
      </c>
      <c r="H8" s="371">
        <f>SUMIF(62:62,G8,63:63)-SUMIF(62:62,C8,63:63)+100</f>
        <v>100</v>
      </c>
      <c r="I8" s="374" t="s">
        <v>3266</v>
      </c>
      <c r="J8" s="371">
        <f>SUMIF(62:62,I8,63:63)-SUMIF(62:62,C8,63:63)+100</f>
        <v>100</v>
      </c>
      <c r="K8" s="568"/>
      <c r="L8" s="2947"/>
      <c r="M8" s="2948"/>
      <c r="N8" s="2948"/>
      <c r="O8" s="2948"/>
      <c r="P8" s="3423" t="s">
        <v>2373</v>
      </c>
      <c r="Q8" s="3367"/>
      <c r="R8" s="710" t="s">
        <v>17</v>
      </c>
      <c r="S8" s="711">
        <f t="shared" si="0"/>
        <v>100</v>
      </c>
      <c r="T8" s="710" t="s">
        <v>17</v>
      </c>
      <c r="U8" s="711">
        <f t="shared" si="1"/>
        <v>100</v>
      </c>
      <c r="V8" s="710" t="s">
        <v>17</v>
      </c>
      <c r="W8" s="711">
        <f t="shared" si="2"/>
        <v>100</v>
      </c>
      <c r="X8" s="712"/>
      <c r="Y8" s="3366" t="s">
        <v>2373</v>
      </c>
      <c r="Z8" s="3367"/>
      <c r="AA8" s="713">
        <f t="shared" ref="AA8:AA47" si="3">D8/F8</f>
        <v>1</v>
      </c>
      <c r="AB8" s="713">
        <f t="shared" ref="AB8:AB47" si="4">D8/H8</f>
        <v>1</v>
      </c>
      <c r="AC8" s="2147">
        <f t="shared" ref="AC8:AC47" si="5">D8/J8</f>
        <v>1</v>
      </c>
    </row>
    <row r="9" spans="1:29" s="113" customFormat="1">
      <c r="A9" s="375" t="s">
        <v>2374</v>
      </c>
      <c r="B9" s="67" t="s">
        <v>2375</v>
      </c>
      <c r="C9" s="3127" t="s">
        <v>3264</v>
      </c>
      <c r="D9" s="131">
        <v>100</v>
      </c>
      <c r="E9" s="379" t="s">
        <v>27</v>
      </c>
      <c r="F9" s="131">
        <f>SUMIF(64:64,E9,65:65)-SUMIF(64:64,C9,65:65)+100</f>
        <v>100</v>
      </c>
      <c r="G9" s="377" t="s">
        <v>27</v>
      </c>
      <c r="H9" s="131">
        <f>SUMIF(64:64,G9,65:65)-SUMIF(64:64,C9,65:65)+100</f>
        <v>100</v>
      </c>
      <c r="I9" s="377" t="s">
        <v>27</v>
      </c>
      <c r="J9" s="131">
        <f>SUMIF(64:64,I9,65:65)-SUMIF(64:64,C9,65:65)+100</f>
        <v>100</v>
      </c>
      <c r="K9" s="568"/>
      <c r="L9" s="2947"/>
      <c r="M9" s="2948"/>
      <c r="N9" s="2948"/>
      <c r="O9" s="2948"/>
      <c r="P9" s="3380"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2147">
        <f t="shared" si="5"/>
        <v>1</v>
      </c>
    </row>
    <row r="10" spans="1:29" s="386" customFormat="1" ht="27.75" thickBot="1">
      <c r="A10" s="380"/>
      <c r="B10" s="381" t="s">
        <v>2378</v>
      </c>
      <c r="C10" s="382" t="s">
        <v>3265</v>
      </c>
      <c r="D10" s="132">
        <v>100</v>
      </c>
      <c r="E10" s="382" t="s">
        <v>3265</v>
      </c>
      <c r="F10" s="132">
        <f>SUMIF(66:66,E10,67:67)-SUMIF(66:66,C10,67:67)+100</f>
        <v>100</v>
      </c>
      <c r="G10" s="383" t="s">
        <v>3265</v>
      </c>
      <c r="H10" s="132">
        <f>SUMIF(66:66,G10,67:67)-SUMIF(66:66,C10,67:67)+100</f>
        <v>100</v>
      </c>
      <c r="I10" s="382" t="s">
        <v>3265</v>
      </c>
      <c r="J10" s="132">
        <f>SUMIF(66:66,I10,67:67)-SUMIF(66:66,C10,67:67)+100</f>
        <v>100</v>
      </c>
      <c r="K10" s="569"/>
      <c r="L10" s="2949"/>
      <c r="M10" s="2950"/>
      <c r="N10" s="2950"/>
      <c r="O10" s="2950"/>
      <c r="P10" s="3380"/>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2147">
        <f t="shared" si="5"/>
        <v>1</v>
      </c>
    </row>
    <row r="11" spans="1:29" ht="15" hidden="1">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1"/>
      <c r="M11" s="2946"/>
      <c r="N11" s="2946"/>
      <c r="O11" s="2946"/>
      <c r="P11" s="3380"/>
      <c r="Q11" s="1529" t="str">
        <f t="shared" si="6"/>
        <v>容积率</v>
      </c>
      <c r="R11" s="710" t="s">
        <v>17</v>
      </c>
      <c r="S11" s="711">
        <f t="shared" si="0"/>
        <v>100</v>
      </c>
      <c r="T11" s="710" t="s">
        <v>17</v>
      </c>
      <c r="U11" s="711">
        <f t="shared" si="1"/>
        <v>100</v>
      </c>
      <c r="V11" s="710" t="s">
        <v>17</v>
      </c>
      <c r="W11" s="711">
        <f t="shared" si="2"/>
        <v>100</v>
      </c>
      <c r="X11" s="712"/>
      <c r="Y11" s="3308"/>
      <c r="Z11" s="55" t="str">
        <f t="shared" si="7"/>
        <v>容积率</v>
      </c>
      <c r="AA11" s="713">
        <f t="shared" si="3"/>
        <v>1</v>
      </c>
      <c r="AB11" s="713">
        <f t="shared" si="4"/>
        <v>1</v>
      </c>
      <c r="AC11" s="2147">
        <f t="shared" si="5"/>
        <v>1</v>
      </c>
    </row>
    <row r="12" spans="1:29" s="113" customFormat="1" ht="15" hidden="1">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7"/>
      <c r="M12" s="2948"/>
      <c r="N12" s="2948"/>
      <c r="O12" s="2948"/>
      <c r="P12" s="3380"/>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2147">
        <f>D12/J12</f>
        <v>1</v>
      </c>
    </row>
    <row r="13" spans="1:29" ht="15" hidden="1">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2"/>
      <c r="M13" s="2946"/>
      <c r="N13" s="2946"/>
      <c r="O13" s="2946"/>
      <c r="P13" s="3380"/>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2147">
        <f t="shared" si="5"/>
        <v>1</v>
      </c>
    </row>
    <row r="14" spans="1:29" ht="15.75" hidden="1"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2"/>
      <c r="M14" s="2946"/>
      <c r="N14" s="2946"/>
      <c r="O14" s="2946"/>
      <c r="P14" s="3380"/>
      <c r="Q14" s="1529">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2147">
        <f t="shared" si="5"/>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407" t="s">
        <v>2381</v>
      </c>
      <c r="Q15" s="1538" t="str">
        <f t="shared" si="6"/>
        <v>办公集聚程度</v>
      </c>
      <c r="R15" s="714" t="s">
        <v>17</v>
      </c>
      <c r="S15" s="715">
        <f t="shared" si="0"/>
        <v>100</v>
      </c>
      <c r="T15" s="714" t="s">
        <v>17</v>
      </c>
      <c r="U15" s="715">
        <f t="shared" si="1"/>
        <v>100</v>
      </c>
      <c r="V15" s="714" t="s">
        <v>17</v>
      </c>
      <c r="W15" s="715">
        <f t="shared" si="2"/>
        <v>100</v>
      </c>
      <c r="X15" s="1541"/>
      <c r="Y15" s="3400" t="s">
        <v>2381</v>
      </c>
      <c r="Z15" s="1542" t="str">
        <f t="shared" si="7"/>
        <v>办公集聚程度</v>
      </c>
      <c r="AA15" s="1539">
        <f t="shared" si="3"/>
        <v>1</v>
      </c>
      <c r="AB15" s="1539">
        <f t="shared" si="4"/>
        <v>1</v>
      </c>
      <c r="AC15" s="2150">
        <f t="shared" si="5"/>
        <v>1</v>
      </c>
    </row>
    <row r="16" spans="1:29" ht="15">
      <c r="A16" s="387"/>
      <c r="B16" s="586"/>
      <c r="C16" s="2092" t="s">
        <v>3260</v>
      </c>
      <c r="D16" s="407"/>
      <c r="E16" s="406" t="s">
        <v>3260</v>
      </c>
      <c r="F16" s="407"/>
      <c r="G16" s="2092" t="s">
        <v>3260</v>
      </c>
      <c r="H16" s="409"/>
      <c r="I16" s="406" t="s">
        <v>3260</v>
      </c>
      <c r="J16" s="407"/>
      <c r="K16" s="572"/>
      <c r="L16" s="2952"/>
      <c r="M16" s="2946"/>
      <c r="N16" s="2946"/>
      <c r="O16" s="2946"/>
      <c r="P16" s="3408"/>
      <c r="Q16" s="1538"/>
      <c r="R16" s="714"/>
      <c r="S16" s="715"/>
      <c r="T16" s="714"/>
      <c r="U16" s="715"/>
      <c r="V16" s="714"/>
      <c r="W16" s="715"/>
      <c r="X16" s="1541"/>
      <c r="Y16" s="3401"/>
      <c r="Z16" s="1542"/>
      <c r="AA16" s="1539">
        <v>1</v>
      </c>
      <c r="AB16" s="1539">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408"/>
      <c r="Q17" s="1538" t="str">
        <f>B17</f>
        <v>交通便捷度</v>
      </c>
      <c r="R17" s="714" t="s">
        <v>17</v>
      </c>
      <c r="S17" s="715">
        <f>F17</f>
        <v>100</v>
      </c>
      <c r="T17" s="714" t="s">
        <v>17</v>
      </c>
      <c r="U17" s="715">
        <f>H17</f>
        <v>100</v>
      </c>
      <c r="V17" s="714" t="s">
        <v>17</v>
      </c>
      <c r="W17" s="715">
        <f>J17</f>
        <v>100</v>
      </c>
      <c r="X17" s="1541"/>
      <c r="Y17" s="3401"/>
      <c r="Z17" s="1542" t="str">
        <f>Q17</f>
        <v>交通便捷度</v>
      </c>
      <c r="AA17" s="1539">
        <f t="shared" si="3"/>
        <v>1</v>
      </c>
      <c r="AB17" s="1539">
        <f t="shared" si="4"/>
        <v>1</v>
      </c>
      <c r="AC17" s="2150">
        <f t="shared" si="5"/>
        <v>1</v>
      </c>
    </row>
    <row r="18" spans="1:29" ht="15">
      <c r="A18" s="387"/>
      <c r="B18" s="588"/>
      <c r="C18" s="2152" t="s">
        <v>3260</v>
      </c>
      <c r="D18" s="409"/>
      <c r="E18" s="2090" t="s">
        <v>3260</v>
      </c>
      <c r="F18" s="409"/>
      <c r="G18" s="2091" t="s">
        <v>3260</v>
      </c>
      <c r="H18" s="407"/>
      <c r="I18" s="2091" t="s">
        <v>3260</v>
      </c>
      <c r="J18" s="407"/>
      <c r="K18" s="572"/>
      <c r="L18" s="2952"/>
      <c r="M18" s="2946"/>
      <c r="N18" s="2946"/>
      <c r="O18" s="2946"/>
      <c r="P18" s="3408"/>
      <c r="Q18" s="1538"/>
      <c r="R18" s="714"/>
      <c r="S18" s="715"/>
      <c r="T18" s="714"/>
      <c r="U18" s="715"/>
      <c r="V18" s="714"/>
      <c r="W18" s="715"/>
      <c r="X18" s="1541"/>
      <c r="Y18" s="3401"/>
      <c r="Z18" s="1542"/>
      <c r="AA18" s="1539">
        <v>1</v>
      </c>
      <c r="AB18" s="1539">
        <v>1</v>
      </c>
      <c r="AC18" s="2150">
        <v>1</v>
      </c>
    </row>
    <row r="19" spans="1:29" ht="28.5">
      <c r="A19" s="387"/>
      <c r="B19" s="587" t="s">
        <v>2509</v>
      </c>
      <c r="C19" s="2151" t="str">
        <f>估价对象房地状况!C7</f>
        <v>估价对象所在区域公共配套设施齐备</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408"/>
      <c r="Q19" s="1538" t="str">
        <f>B19</f>
        <v>公共配套设施</v>
      </c>
      <c r="R19" s="714" t="s">
        <v>17</v>
      </c>
      <c r="S19" s="715">
        <f>F19</f>
        <v>100</v>
      </c>
      <c r="T19" s="714" t="s">
        <v>17</v>
      </c>
      <c r="U19" s="715">
        <f>H19</f>
        <v>100</v>
      </c>
      <c r="V19" s="714" t="s">
        <v>17</v>
      </c>
      <c r="W19" s="715">
        <f>J19</f>
        <v>100</v>
      </c>
      <c r="X19" s="1541"/>
      <c r="Y19" s="3401"/>
      <c r="Z19" s="1542" t="str">
        <f>Q19</f>
        <v>公共配套设施</v>
      </c>
      <c r="AA19" s="1539">
        <f t="shared" si="3"/>
        <v>1</v>
      </c>
      <c r="AB19" s="1539">
        <f t="shared" si="4"/>
        <v>1</v>
      </c>
      <c r="AC19" s="2150">
        <f t="shared" si="5"/>
        <v>1</v>
      </c>
    </row>
    <row r="20" spans="1:29" ht="15">
      <c r="A20" s="387"/>
      <c r="B20" s="588"/>
      <c r="C20" s="2092" t="s">
        <v>3261</v>
      </c>
      <c r="D20" s="407"/>
      <c r="E20" s="2085" t="s">
        <v>3261</v>
      </c>
      <c r="F20" s="407"/>
      <c r="G20" s="2086" t="s">
        <v>3261</v>
      </c>
      <c r="H20" s="407"/>
      <c r="I20" s="2086" t="s">
        <v>3261</v>
      </c>
      <c r="J20" s="407"/>
      <c r="K20" s="572"/>
      <c r="L20" s="2952"/>
      <c r="M20" s="2946"/>
      <c r="N20" s="2946"/>
      <c r="O20" s="2946"/>
      <c r="P20" s="3408"/>
      <c r="Q20" s="1538"/>
      <c r="R20" s="714"/>
      <c r="S20" s="715"/>
      <c r="T20" s="714"/>
      <c r="U20" s="715"/>
      <c r="V20" s="714"/>
      <c r="W20" s="715"/>
      <c r="X20" s="1541"/>
      <c r="Y20" s="3401"/>
      <c r="Z20" s="1542"/>
      <c r="AA20" s="1539">
        <v>1</v>
      </c>
      <c r="AB20" s="1539">
        <v>1</v>
      </c>
      <c r="AC20" s="2150">
        <v>1</v>
      </c>
    </row>
    <row r="21" spans="1:29" ht="15">
      <c r="A21" s="387"/>
      <c r="B21" s="589" t="s">
        <v>2510</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408"/>
      <c r="Q21" s="1538" t="str">
        <f>B21</f>
        <v>基础设施水平</v>
      </c>
      <c r="R21" s="714" t="s">
        <v>17</v>
      </c>
      <c r="S21" s="715">
        <f>F21</f>
        <v>100</v>
      </c>
      <c r="T21" s="714" t="s">
        <v>17</v>
      </c>
      <c r="U21" s="715">
        <f>H21</f>
        <v>100</v>
      </c>
      <c r="V21" s="714" t="s">
        <v>17</v>
      </c>
      <c r="W21" s="715">
        <f>J21</f>
        <v>100</v>
      </c>
      <c r="X21" s="1541"/>
      <c r="Y21" s="3401"/>
      <c r="Z21" s="1542" t="str">
        <f>Q21</f>
        <v>基础设施水平</v>
      </c>
      <c r="AA21" s="1539">
        <f t="shared" ref="AA21" si="8">D21/F21</f>
        <v>1</v>
      </c>
      <c r="AB21" s="1539">
        <f t="shared" ref="AB21" si="9">D21/H21</f>
        <v>1</v>
      </c>
      <c r="AC21" s="2150">
        <f t="shared" ref="AC21" si="10">D21/J21</f>
        <v>1</v>
      </c>
    </row>
    <row r="22" spans="1:29" ht="15">
      <c r="A22" s="387"/>
      <c r="B22" s="589"/>
      <c r="C22" s="2152" t="s">
        <v>3268</v>
      </c>
      <c r="D22" s="407"/>
      <c r="E22" s="406" t="s">
        <v>3268</v>
      </c>
      <c r="F22" s="407"/>
      <c r="G22" s="2092" t="s">
        <v>3268</v>
      </c>
      <c r="H22" s="407"/>
      <c r="I22" s="2092" t="s">
        <v>3268</v>
      </c>
      <c r="J22" s="407"/>
      <c r="K22" s="1292"/>
      <c r="L22" s="2952"/>
      <c r="M22" s="2946"/>
      <c r="N22" s="2946"/>
      <c r="O22" s="2946"/>
      <c r="P22" s="3408"/>
      <c r="Q22" s="1538"/>
      <c r="R22" s="714"/>
      <c r="S22" s="715"/>
      <c r="T22" s="714"/>
      <c r="U22" s="715"/>
      <c r="V22" s="714"/>
      <c r="W22" s="715"/>
      <c r="X22" s="1541"/>
      <c r="Y22" s="3401"/>
      <c r="Z22" s="1542"/>
      <c r="AA22" s="1539">
        <v>1</v>
      </c>
      <c r="AB22" s="1539">
        <v>1</v>
      </c>
      <c r="AC22" s="2150">
        <v>1</v>
      </c>
    </row>
    <row r="23" spans="1:29" ht="42.75">
      <c r="A23" s="387"/>
      <c r="B23" s="587" t="s">
        <v>2511</v>
      </c>
      <c r="C23" s="2151" t="str">
        <f>估价对象房地状况!C9</f>
        <v>区域自然环境：；人文环境；综合评价环境状况较好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408"/>
      <c r="Q23" s="1538" t="str">
        <f>B23</f>
        <v>环境质量</v>
      </c>
      <c r="R23" s="714" t="s">
        <v>17</v>
      </c>
      <c r="S23" s="715">
        <f>F23</f>
        <v>100</v>
      </c>
      <c r="T23" s="714" t="s">
        <v>17</v>
      </c>
      <c r="U23" s="715">
        <f>H23</f>
        <v>100</v>
      </c>
      <c r="V23" s="714" t="s">
        <v>17</v>
      </c>
      <c r="W23" s="715">
        <f>J23</f>
        <v>100</v>
      </c>
      <c r="X23" s="1541"/>
      <c r="Y23" s="3401"/>
      <c r="Z23" s="1542" t="str">
        <f>Q23</f>
        <v>环境质量</v>
      </c>
      <c r="AA23" s="1539">
        <f t="shared" si="3"/>
        <v>1</v>
      </c>
      <c r="AB23" s="1539">
        <f t="shared" si="4"/>
        <v>1</v>
      </c>
      <c r="AC23" s="2150">
        <f t="shared" si="5"/>
        <v>1</v>
      </c>
    </row>
    <row r="24" spans="1:29" ht="15">
      <c r="A24" s="387"/>
      <c r="B24" s="589"/>
      <c r="C24" s="2092" t="s">
        <v>3260</v>
      </c>
      <c r="D24" s="407"/>
      <c r="E24" s="2085" t="s">
        <v>3260</v>
      </c>
      <c r="F24" s="407"/>
      <c r="G24" s="2086" t="s">
        <v>3260</v>
      </c>
      <c r="H24" s="407"/>
      <c r="I24" s="2086" t="s">
        <v>3260</v>
      </c>
      <c r="J24" s="407"/>
      <c r="K24" s="572"/>
      <c r="L24" s="2952"/>
      <c r="M24" s="2946"/>
      <c r="N24" s="2946"/>
      <c r="O24" s="2946"/>
      <c r="P24" s="3408"/>
      <c r="Q24" s="1538"/>
      <c r="R24" s="714"/>
      <c r="S24" s="715"/>
      <c r="T24" s="714"/>
      <c r="U24" s="715"/>
      <c r="V24" s="714"/>
      <c r="W24" s="715"/>
      <c r="X24" s="1541"/>
      <c r="Y24" s="3401"/>
      <c r="Z24" s="1542"/>
      <c r="AA24" s="1539">
        <v>1</v>
      </c>
      <c r="AB24" s="1539">
        <v>1</v>
      </c>
      <c r="AC24" s="2150">
        <v>1</v>
      </c>
    </row>
    <row r="25" spans="1:29" ht="28.5">
      <c r="A25" s="364"/>
      <c r="B25" s="587" t="s">
        <v>2512</v>
      </c>
      <c r="C25" s="2096" t="str">
        <f>估价对象房地状况!C10</f>
        <v>城市次干道——新街口外大街</v>
      </c>
      <c r="D25" s="394">
        <v>100</v>
      </c>
      <c r="E25" s="3134" t="s">
        <v>3306</v>
      </c>
      <c r="F25" s="394">
        <f>SUMIF(87:87,E26,88:88)-SUMIF(87:87,C26,88:88)+100</f>
        <v>100</v>
      </c>
      <c r="G25" s="3135" t="s">
        <v>3310</v>
      </c>
      <c r="H25" s="394">
        <f>SUMIF(87:87,G26,88:88)-SUMIF(87:87,C26,88:88)+100</f>
        <v>102</v>
      </c>
      <c r="I25" s="393" t="s">
        <v>3309</v>
      </c>
      <c r="J25" s="394">
        <f>SUMIF(87:87,I26,88:88)-SUMIF(87:87,C26,88:88)+100</f>
        <v>102</v>
      </c>
      <c r="K25" s="571">
        <v>2</v>
      </c>
      <c r="L25" s="2952"/>
      <c r="M25" s="2946"/>
      <c r="N25" s="2946"/>
      <c r="O25" s="2946"/>
      <c r="P25" s="3408"/>
      <c r="Q25" s="1538" t="str">
        <f>B25</f>
        <v>毗邻道路的类型与等级</v>
      </c>
      <c r="R25" s="714" t="s">
        <v>17</v>
      </c>
      <c r="S25" s="715">
        <f>F25</f>
        <v>100</v>
      </c>
      <c r="T25" s="714" t="s">
        <v>17</v>
      </c>
      <c r="U25" s="715">
        <f>H25</f>
        <v>102</v>
      </c>
      <c r="V25" s="714" t="s">
        <v>17</v>
      </c>
      <c r="W25" s="715">
        <f>J25</f>
        <v>102</v>
      </c>
      <c r="X25" s="1541"/>
      <c r="Y25" s="3401"/>
      <c r="Z25" s="1542" t="str">
        <f>Q25</f>
        <v>毗邻道路的类型与等级</v>
      </c>
      <c r="AA25" s="1539">
        <f t="shared" si="3"/>
        <v>1</v>
      </c>
      <c r="AB25" s="1539">
        <f t="shared" si="4"/>
        <v>0.98039215686274506</v>
      </c>
      <c r="AC25" s="2150">
        <f t="shared" si="5"/>
        <v>0.98039215686274506</v>
      </c>
    </row>
    <row r="26" spans="1:29" ht="15.75" thickBot="1">
      <c r="A26" s="364"/>
      <c r="B26" s="588"/>
      <c r="C26" s="590" t="s">
        <v>3274</v>
      </c>
      <c r="D26" s="394"/>
      <c r="E26" s="573" t="s">
        <v>3274</v>
      </c>
      <c r="F26" s="394"/>
      <c r="G26" s="590" t="s">
        <v>3272</v>
      </c>
      <c r="H26" s="394"/>
      <c r="I26" s="573" t="s">
        <v>3272</v>
      </c>
      <c r="J26" s="394"/>
      <c r="K26" s="572"/>
      <c r="L26" s="2952"/>
      <c r="M26" s="2946"/>
      <c r="N26" s="2946"/>
      <c r="O26" s="2946"/>
      <c r="P26" s="3408"/>
      <c r="Q26" s="1538"/>
      <c r="R26" s="714"/>
      <c r="S26" s="715"/>
      <c r="T26" s="714"/>
      <c r="U26" s="715"/>
      <c r="V26" s="714"/>
      <c r="W26" s="715"/>
      <c r="X26" s="1541"/>
      <c r="Y26" s="3401"/>
      <c r="Z26" s="1542"/>
      <c r="AA26" s="1539">
        <v>1</v>
      </c>
      <c r="AB26" s="1539">
        <v>1</v>
      </c>
      <c r="AC26" s="2150">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408"/>
      <c r="Q27" s="1538" t="str">
        <f t="shared" ref="Q27:Q47" si="11">B27</f>
        <v>楼层</v>
      </c>
      <c r="R27" s="714" t="s">
        <v>17</v>
      </c>
      <c r="S27" s="715">
        <f>F27</f>
        <v>100</v>
      </c>
      <c r="T27" s="714" t="s">
        <v>17</v>
      </c>
      <c r="U27" s="715">
        <f>H27</f>
        <v>100</v>
      </c>
      <c r="V27" s="714" t="s">
        <v>17</v>
      </c>
      <c r="W27" s="715">
        <f>J27</f>
        <v>100</v>
      </c>
      <c r="X27" s="1541"/>
      <c r="Y27" s="3401"/>
      <c r="Z27" s="1542" t="str">
        <f>Q27</f>
        <v>楼层</v>
      </c>
      <c r="AA27" s="1539">
        <f t="shared" si="3"/>
        <v>1</v>
      </c>
      <c r="AB27" s="1539">
        <f t="shared" si="4"/>
        <v>1</v>
      </c>
      <c r="AC27" s="2150">
        <f t="shared" si="5"/>
        <v>1</v>
      </c>
    </row>
    <row r="28" spans="1:29" s="113" customFormat="1" ht="15" hidden="1">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7"/>
      <c r="M28" s="2948"/>
      <c r="N28" s="2948"/>
      <c r="O28" s="2948"/>
      <c r="P28" s="3408"/>
      <c r="Q28" s="1529" t="str">
        <f t="shared" si="11"/>
        <v>朝向</v>
      </c>
      <c r="R28" s="710" t="s">
        <v>17</v>
      </c>
      <c r="S28" s="711">
        <f>F28</f>
        <v>100</v>
      </c>
      <c r="T28" s="710" t="s">
        <v>17</v>
      </c>
      <c r="U28" s="711">
        <f>H28</f>
        <v>100</v>
      </c>
      <c r="V28" s="710" t="s">
        <v>17</v>
      </c>
      <c r="W28" s="711">
        <f>J28</f>
        <v>100</v>
      </c>
      <c r="X28" s="712"/>
      <c r="Y28" s="3401"/>
      <c r="Z28" s="55" t="str">
        <f>Q28</f>
        <v>朝向</v>
      </c>
      <c r="AA28" s="1539">
        <f>D28/F28</f>
        <v>1</v>
      </c>
      <c r="AB28" s="1539">
        <f>D28/H28</f>
        <v>1</v>
      </c>
      <c r="AC28" s="2150">
        <f>D28/J28</f>
        <v>1</v>
      </c>
    </row>
    <row r="29" spans="1:29" ht="15" hidden="1">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2"/>
      <c r="M29" s="2946"/>
      <c r="N29" s="2946"/>
      <c r="O29" s="2946"/>
      <c r="P29" s="3408"/>
      <c r="Q29" s="1538">
        <f t="shared" si="11"/>
        <v>111</v>
      </c>
      <c r="R29" s="714" t="s">
        <v>17</v>
      </c>
      <c r="S29" s="715">
        <f t="shared" ref="S29:S47" si="12">F29</f>
        <v>100</v>
      </c>
      <c r="T29" s="714" t="s">
        <v>17</v>
      </c>
      <c r="U29" s="715">
        <f t="shared" ref="U29:U47" si="13">H29</f>
        <v>100</v>
      </c>
      <c r="V29" s="714" t="s">
        <v>17</v>
      </c>
      <c r="W29" s="715">
        <f t="shared" ref="W29:W47" si="14">J29</f>
        <v>100</v>
      </c>
      <c r="X29" s="1541"/>
      <c r="Y29" s="3401"/>
      <c r="Z29" s="1542">
        <f t="shared" ref="Z29:Z47" si="15">Q29</f>
        <v>111</v>
      </c>
      <c r="AA29" s="1539">
        <f t="shared" si="3"/>
        <v>1</v>
      </c>
      <c r="AB29" s="1539">
        <f t="shared" si="4"/>
        <v>1</v>
      </c>
      <c r="AC29" s="2150">
        <f t="shared" si="5"/>
        <v>1</v>
      </c>
    </row>
    <row r="30" spans="1:29" ht="15" hidden="1">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2"/>
      <c r="M30" s="2946"/>
      <c r="N30" s="2946"/>
      <c r="O30" s="2946"/>
      <c r="P30" s="3408"/>
      <c r="Q30" s="1538">
        <f t="shared" si="11"/>
        <v>111</v>
      </c>
      <c r="R30" s="714" t="s">
        <v>17</v>
      </c>
      <c r="S30" s="715">
        <f t="shared" si="12"/>
        <v>100</v>
      </c>
      <c r="T30" s="714" t="s">
        <v>17</v>
      </c>
      <c r="U30" s="715">
        <f t="shared" si="13"/>
        <v>100</v>
      </c>
      <c r="V30" s="714" t="s">
        <v>17</v>
      </c>
      <c r="W30" s="715">
        <f t="shared" si="14"/>
        <v>100</v>
      </c>
      <c r="X30" s="1541"/>
      <c r="Y30" s="3401"/>
      <c r="Z30" s="1542">
        <f t="shared" si="15"/>
        <v>111</v>
      </c>
      <c r="AA30" s="1539">
        <f t="shared" si="3"/>
        <v>1</v>
      </c>
      <c r="AB30" s="1539">
        <f t="shared" si="4"/>
        <v>1</v>
      </c>
      <c r="AC30" s="2150">
        <f t="shared" si="5"/>
        <v>1</v>
      </c>
    </row>
    <row r="31" spans="1:29" ht="15" hidden="1">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2"/>
      <c r="M31" s="2946"/>
      <c r="N31" s="2946"/>
      <c r="O31" s="2946"/>
      <c r="P31" s="3408"/>
      <c r="Q31" s="1538">
        <f t="shared" si="11"/>
        <v>111</v>
      </c>
      <c r="R31" s="714" t="s">
        <v>17</v>
      </c>
      <c r="S31" s="715">
        <f t="shared" si="12"/>
        <v>100</v>
      </c>
      <c r="T31" s="714" t="s">
        <v>17</v>
      </c>
      <c r="U31" s="715">
        <f t="shared" si="13"/>
        <v>100</v>
      </c>
      <c r="V31" s="714" t="s">
        <v>17</v>
      </c>
      <c r="W31" s="715">
        <f t="shared" si="14"/>
        <v>100</v>
      </c>
      <c r="X31" s="1541"/>
      <c r="Y31" s="3401"/>
      <c r="Z31" s="1542">
        <f t="shared" si="15"/>
        <v>111</v>
      </c>
      <c r="AA31" s="1539">
        <f t="shared" si="3"/>
        <v>1</v>
      </c>
      <c r="AB31" s="1539">
        <f t="shared" si="4"/>
        <v>1</v>
      </c>
      <c r="AC31" s="2150">
        <f t="shared" si="5"/>
        <v>1</v>
      </c>
    </row>
    <row r="32" spans="1:29" ht="15.75" hidden="1"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2"/>
      <c r="M32" s="2946"/>
      <c r="N32" s="2946"/>
      <c r="O32" s="2946"/>
      <c r="P32" s="3408"/>
      <c r="Q32" s="1538">
        <f t="shared" si="11"/>
        <v>111</v>
      </c>
      <c r="R32" s="714" t="s">
        <v>17</v>
      </c>
      <c r="S32" s="715">
        <f t="shared" si="12"/>
        <v>100</v>
      </c>
      <c r="T32" s="714" t="s">
        <v>17</v>
      </c>
      <c r="U32" s="715">
        <f t="shared" si="13"/>
        <v>100</v>
      </c>
      <c r="V32" s="714" t="s">
        <v>17</v>
      </c>
      <c r="W32" s="715">
        <f t="shared" si="14"/>
        <v>100</v>
      </c>
      <c r="X32" s="1541"/>
      <c r="Y32" s="3401"/>
      <c r="Z32" s="1542">
        <f t="shared" si="15"/>
        <v>111</v>
      </c>
      <c r="AA32" s="1539">
        <f t="shared" si="3"/>
        <v>1</v>
      </c>
      <c r="AB32" s="1539">
        <f t="shared" si="4"/>
        <v>1</v>
      </c>
      <c r="AC32" s="2150">
        <f t="shared" si="5"/>
        <v>1</v>
      </c>
    </row>
    <row r="33" spans="1:29" ht="15">
      <c r="A33" s="399" t="s">
        <v>2384</v>
      </c>
      <c r="B33" s="67" t="s">
        <v>2514</v>
      </c>
      <c r="C33" s="2155" t="s">
        <v>3278</v>
      </c>
      <c r="D33" s="426">
        <v>100</v>
      </c>
      <c r="E33" s="2155" t="s">
        <v>3278</v>
      </c>
      <c r="F33" s="420">
        <f>SUMIF(101:101,E33,102:102)-SUMIF(101:101,C33,102:102)+100</f>
        <v>100</v>
      </c>
      <c r="G33" s="2155" t="s">
        <v>3280</v>
      </c>
      <c r="H33" s="394">
        <f>SUMIF(101:101,G33,102:102)-SUMIF(101:101,C33,102:102)+100</f>
        <v>98</v>
      </c>
      <c r="I33" s="2155" t="s">
        <v>3280</v>
      </c>
      <c r="J33" s="426">
        <f>SUMIF(101:101,I33,102:102)-SUMIF(101:101,C33,102:102)+100</f>
        <v>98</v>
      </c>
      <c r="K33" s="569">
        <v>2</v>
      </c>
      <c r="L33" s="2952"/>
      <c r="M33" s="2946"/>
      <c r="N33" s="2946"/>
      <c r="O33" s="2946"/>
      <c r="P33" s="3402" t="s">
        <v>2386</v>
      </c>
      <c r="Q33" s="1538" t="str">
        <f t="shared" si="11"/>
        <v>建筑类型</v>
      </c>
      <c r="R33" s="714" t="s">
        <v>17</v>
      </c>
      <c r="S33" s="715">
        <f t="shared" si="12"/>
        <v>100</v>
      </c>
      <c r="T33" s="714" t="s">
        <v>17</v>
      </c>
      <c r="U33" s="715">
        <f t="shared" si="13"/>
        <v>98</v>
      </c>
      <c r="V33" s="714" t="s">
        <v>17</v>
      </c>
      <c r="W33" s="715">
        <f t="shared" si="14"/>
        <v>98</v>
      </c>
      <c r="X33" s="1541"/>
      <c r="Y33" s="3405" t="s">
        <v>2386</v>
      </c>
      <c r="Z33" s="1542" t="str">
        <f t="shared" si="15"/>
        <v>建筑类型</v>
      </c>
      <c r="AA33" s="1539">
        <f t="shared" si="3"/>
        <v>1</v>
      </c>
      <c r="AB33" s="1539">
        <f t="shared" si="4"/>
        <v>1.0204081632653061</v>
      </c>
      <c r="AC33" s="2150">
        <f t="shared" si="5"/>
        <v>1.0204081632653061</v>
      </c>
    </row>
    <row r="34" spans="1:29" s="430" customFormat="1" ht="15">
      <c r="A34" s="427"/>
      <c r="B34" s="381" t="s">
        <v>2387</v>
      </c>
      <c r="C34" s="3136">
        <f>'数据-基础表'!H13</f>
        <v>2476.1999999999998</v>
      </c>
      <c r="D34" s="132">
        <v>100</v>
      </c>
      <c r="E34" s="389">
        <v>520</v>
      </c>
      <c r="F34" s="384">
        <f>LOOKUP(E34,104:104,105:105)-LOOKUP(C34,104:104,105:105)+100</f>
        <v>101</v>
      </c>
      <c r="G34" s="388">
        <v>1200</v>
      </c>
      <c r="H34" s="132">
        <f>LOOKUP(G34,104:104,105:105)-LOOKUP(C34,104:104,105:105)+100</f>
        <v>100</v>
      </c>
      <c r="I34" s="388">
        <v>1000</v>
      </c>
      <c r="J34" s="132">
        <f>LOOKUP(I34,104:104,105:105)-LOOKUP(C34,104:104,105:105)+100</f>
        <v>100</v>
      </c>
      <c r="K34" s="570"/>
      <c r="L34" s="2951"/>
      <c r="M34" s="2953"/>
      <c r="N34" s="2953"/>
      <c r="O34" s="2953"/>
      <c r="P34" s="3403"/>
      <c r="Q34" s="716" t="str">
        <f t="shared" si="11"/>
        <v>项目建筑规模</v>
      </c>
      <c r="R34" s="717" t="s">
        <v>17</v>
      </c>
      <c r="S34" s="718">
        <f t="shared" si="12"/>
        <v>101</v>
      </c>
      <c r="T34" s="717" t="s">
        <v>17</v>
      </c>
      <c r="U34" s="718">
        <f t="shared" si="13"/>
        <v>100</v>
      </c>
      <c r="V34" s="717" t="s">
        <v>17</v>
      </c>
      <c r="W34" s="718">
        <f t="shared" si="14"/>
        <v>100</v>
      </c>
      <c r="X34" s="719"/>
      <c r="Y34" s="3405"/>
      <c r="Z34" s="720" t="str">
        <f t="shared" si="15"/>
        <v>项目建筑规模</v>
      </c>
      <c r="AA34" s="1539">
        <f t="shared" si="3"/>
        <v>0.99009900990099009</v>
      </c>
      <c r="AB34" s="1539">
        <f t="shared" si="4"/>
        <v>1</v>
      </c>
      <c r="AC34" s="2150">
        <f t="shared" si="5"/>
        <v>1</v>
      </c>
    </row>
    <row r="35" spans="1:29" ht="15">
      <c r="A35" s="431"/>
      <c r="B35" s="381" t="s">
        <v>2388</v>
      </c>
      <c r="C35" s="419" t="s">
        <v>3284</v>
      </c>
      <c r="D35" s="394">
        <v>100</v>
      </c>
      <c r="E35" s="419" t="s">
        <v>3284</v>
      </c>
      <c r="F35" s="420">
        <f>SUMIF(106:106,E35,107:107)-SUMIF(106:106,C35,107:107)+100</f>
        <v>100</v>
      </c>
      <c r="G35" s="419" t="s">
        <v>3282</v>
      </c>
      <c r="H35" s="394">
        <f>SUMIF(106:106,G35,107:107)-SUMIF(106:106,C35,107:107)+100</f>
        <v>102</v>
      </c>
      <c r="I35" s="419" t="s">
        <v>3282</v>
      </c>
      <c r="J35" s="394">
        <f>SUMIF(106:106,I35,107:107)-SUMIF(106:106,C35,107:107)+100</f>
        <v>102</v>
      </c>
      <c r="K35" s="569">
        <v>2</v>
      </c>
      <c r="L35" s="2952"/>
      <c r="M35" s="2946"/>
      <c r="N35" s="2946"/>
      <c r="O35" s="2946"/>
      <c r="P35" s="3403"/>
      <c r="Q35" s="1538" t="str">
        <f t="shared" si="11"/>
        <v>建筑结构</v>
      </c>
      <c r="R35" s="714" t="s">
        <v>17</v>
      </c>
      <c r="S35" s="715">
        <f t="shared" si="12"/>
        <v>100</v>
      </c>
      <c r="T35" s="714" t="s">
        <v>17</v>
      </c>
      <c r="U35" s="715">
        <f t="shared" si="13"/>
        <v>102</v>
      </c>
      <c r="V35" s="714" t="s">
        <v>17</v>
      </c>
      <c r="W35" s="715">
        <f t="shared" si="14"/>
        <v>102</v>
      </c>
      <c r="X35" s="1541"/>
      <c r="Y35" s="3405"/>
      <c r="Z35" s="1542" t="str">
        <f t="shared" si="15"/>
        <v>建筑结构</v>
      </c>
      <c r="AA35" s="1539">
        <f t="shared" si="3"/>
        <v>1</v>
      </c>
      <c r="AB35" s="1539">
        <f t="shared" si="4"/>
        <v>0.98039215686274506</v>
      </c>
      <c r="AC35" s="2150">
        <f t="shared" si="5"/>
        <v>0.98039215686274506</v>
      </c>
    </row>
    <row r="36" spans="1:29" ht="15">
      <c r="A36" s="431"/>
      <c r="B36" s="381" t="s">
        <v>2482</v>
      </c>
      <c r="C36" s="419" t="s">
        <v>3286</v>
      </c>
      <c r="D36" s="394">
        <v>100</v>
      </c>
      <c r="E36" s="419" t="s">
        <v>3286</v>
      </c>
      <c r="F36" s="420">
        <f>SUMIF(108:108,E36,109:109)-SUMIF(108:108,C36,109:109)+100</f>
        <v>100</v>
      </c>
      <c r="G36" s="419" t="s">
        <v>3286</v>
      </c>
      <c r="H36" s="394">
        <f>SUMIF(108:108,G36,109:109)-SUMIF(108:108,C36,109:109)+100</f>
        <v>100</v>
      </c>
      <c r="I36" s="419" t="s">
        <v>3286</v>
      </c>
      <c r="J36" s="394">
        <f>SUMIF(108:108,I36,109:109)-SUMIF(108:108,C36,109:109)+100</f>
        <v>100</v>
      </c>
      <c r="K36" s="569"/>
      <c r="L36" s="2952"/>
      <c r="M36" s="2946"/>
      <c r="N36" s="2946"/>
      <c r="O36" s="2946"/>
      <c r="P36" s="3403"/>
      <c r="Q36" s="1538" t="str">
        <f t="shared" si="11"/>
        <v>公共部分装修</v>
      </c>
      <c r="R36" s="714" t="s">
        <v>17</v>
      </c>
      <c r="S36" s="715">
        <f t="shared" si="12"/>
        <v>100</v>
      </c>
      <c r="T36" s="714" t="s">
        <v>17</v>
      </c>
      <c r="U36" s="715">
        <f t="shared" si="13"/>
        <v>100</v>
      </c>
      <c r="V36" s="714" t="s">
        <v>17</v>
      </c>
      <c r="W36" s="715">
        <f t="shared" si="14"/>
        <v>100</v>
      </c>
      <c r="X36" s="1541"/>
      <c r="Y36" s="3405"/>
      <c r="Z36" s="1542" t="str">
        <f t="shared" si="15"/>
        <v>公共部分装修</v>
      </c>
      <c r="AA36" s="1539">
        <f t="shared" si="3"/>
        <v>1</v>
      </c>
      <c r="AB36" s="1539">
        <f t="shared" si="4"/>
        <v>1</v>
      </c>
      <c r="AC36" s="2150">
        <f t="shared" si="5"/>
        <v>1</v>
      </c>
    </row>
    <row r="37" spans="1:29" ht="15" hidden="1">
      <c r="A37" s="431"/>
      <c r="B37" s="381" t="s">
        <v>2483</v>
      </c>
      <c r="C37" s="433">
        <f>'数据-取费表'!N6</f>
        <v>0.65</v>
      </c>
      <c r="D37" s="394">
        <v>100</v>
      </c>
      <c r="E37" s="433">
        <v>0.75</v>
      </c>
      <c r="F37" s="420">
        <f>LOOKUP(E37,111:111,112:112)-LOOKUP(C37,111:111,112:112)+100</f>
        <v>100</v>
      </c>
      <c r="G37" s="433">
        <v>0.75</v>
      </c>
      <c r="H37" s="420">
        <f>LOOKUP(G37,111:111,112:112)-LOOKUP(C37,111:111,112:112)+100</f>
        <v>100</v>
      </c>
      <c r="I37" s="433">
        <v>0.85</v>
      </c>
      <c r="J37" s="394">
        <f>LOOKUP(I37,111:111,112:112)-LOOKUP(C37,111:111,112:112)+100</f>
        <v>100</v>
      </c>
      <c r="K37" s="569"/>
      <c r="L37" s="2952"/>
      <c r="M37" s="2946"/>
      <c r="N37" s="2946"/>
      <c r="O37" s="2946"/>
      <c r="P37" s="3403"/>
      <c r="Q37" s="1538" t="str">
        <f t="shared" si="11"/>
        <v>成新度</v>
      </c>
      <c r="R37" s="714" t="s">
        <v>17</v>
      </c>
      <c r="S37" s="715">
        <f t="shared" si="12"/>
        <v>100</v>
      </c>
      <c r="T37" s="714" t="s">
        <v>17</v>
      </c>
      <c r="U37" s="715">
        <f t="shared" si="13"/>
        <v>100</v>
      </c>
      <c r="V37" s="714" t="s">
        <v>17</v>
      </c>
      <c r="W37" s="715">
        <f t="shared" si="14"/>
        <v>100</v>
      </c>
      <c r="X37" s="1541"/>
      <c r="Y37" s="3405"/>
      <c r="Z37" s="1542" t="str">
        <f t="shared" si="15"/>
        <v>成新度</v>
      </c>
      <c r="AA37" s="1539">
        <f t="shared" si="3"/>
        <v>1</v>
      </c>
      <c r="AB37" s="1539">
        <f t="shared" si="4"/>
        <v>1</v>
      </c>
      <c r="AC37" s="2150">
        <f t="shared" si="5"/>
        <v>1</v>
      </c>
    </row>
    <row r="38" spans="1:29" s="113" customFormat="1" ht="15" hidden="1">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403"/>
      <c r="Q38" s="1529" t="str">
        <f t="shared" si="11"/>
        <v>写字楼等级</v>
      </c>
      <c r="R38" s="710" t="s">
        <v>17</v>
      </c>
      <c r="S38" s="711">
        <f t="shared" si="12"/>
        <v>100</v>
      </c>
      <c r="T38" s="710" t="s">
        <v>17</v>
      </c>
      <c r="U38" s="711">
        <f t="shared" si="13"/>
        <v>100</v>
      </c>
      <c r="V38" s="710" t="s">
        <v>17</v>
      </c>
      <c r="W38" s="711">
        <f t="shared" si="14"/>
        <v>100</v>
      </c>
      <c r="X38" s="712"/>
      <c r="Y38" s="3405"/>
      <c r="Z38" s="55" t="str">
        <f t="shared" si="15"/>
        <v>写字楼等级</v>
      </c>
      <c r="AA38" s="713">
        <f t="shared" si="3"/>
        <v>1</v>
      </c>
      <c r="AB38" s="713">
        <f t="shared" si="4"/>
        <v>1</v>
      </c>
      <c r="AC38" s="2147">
        <f t="shared" si="5"/>
        <v>1</v>
      </c>
    </row>
    <row r="39" spans="1:29" ht="15">
      <c r="A39" s="431"/>
      <c r="B39" s="381" t="s">
        <v>2516</v>
      </c>
      <c r="C39" s="419" t="s">
        <v>3291</v>
      </c>
      <c r="D39" s="394">
        <v>100</v>
      </c>
      <c r="E39" s="419" t="s">
        <v>3289</v>
      </c>
      <c r="F39" s="420">
        <f>SUMIF(115:115,E39,116:116)-SUMIF(115:115,C39,116:116)+100</f>
        <v>101</v>
      </c>
      <c r="G39" s="419" t="s">
        <v>3289</v>
      </c>
      <c r="H39" s="394">
        <f>SUMIF(115:115,G39,116:116)-SUMIF(115:115,C39,116:116)+100</f>
        <v>101</v>
      </c>
      <c r="I39" s="419" t="s">
        <v>3289</v>
      </c>
      <c r="J39" s="394">
        <f>SUMIF(115:115,I39,116:116)-SUMIF(115:115,C39,116:116)+100</f>
        <v>101</v>
      </c>
      <c r="K39" s="569">
        <v>1</v>
      </c>
      <c r="L39" s="2952"/>
      <c r="M39" s="2946"/>
      <c r="N39" s="2946"/>
      <c r="O39" s="2946"/>
      <c r="P39" s="3403" t="s">
        <v>2386</v>
      </c>
      <c r="Q39" s="1538" t="str">
        <f t="shared" si="11"/>
        <v>物业管理</v>
      </c>
      <c r="R39" s="714" t="s">
        <v>17</v>
      </c>
      <c r="S39" s="715">
        <f t="shared" si="12"/>
        <v>101</v>
      </c>
      <c r="T39" s="714" t="s">
        <v>17</v>
      </c>
      <c r="U39" s="715">
        <f t="shared" si="13"/>
        <v>101</v>
      </c>
      <c r="V39" s="714" t="s">
        <v>17</v>
      </c>
      <c r="W39" s="715">
        <f t="shared" si="14"/>
        <v>101</v>
      </c>
      <c r="X39" s="1541"/>
      <c r="Y39" s="3405" t="s">
        <v>2386</v>
      </c>
      <c r="Z39" s="1542" t="str">
        <f t="shared" si="15"/>
        <v>物业管理</v>
      </c>
      <c r="AA39" s="1539">
        <f t="shared" si="3"/>
        <v>0.99009900990099009</v>
      </c>
      <c r="AB39" s="1539">
        <f t="shared" si="4"/>
        <v>0.99009900990099009</v>
      </c>
      <c r="AC39" s="2150">
        <f t="shared" si="5"/>
        <v>0.99009900990099009</v>
      </c>
    </row>
    <row r="40" spans="1:29" ht="15">
      <c r="A40" s="431"/>
      <c r="B40" s="381" t="s">
        <v>2484</v>
      </c>
      <c r="C40" s="419" t="s">
        <v>3294</v>
      </c>
      <c r="D40" s="394">
        <v>100</v>
      </c>
      <c r="E40" s="419" t="s">
        <v>3294</v>
      </c>
      <c r="F40" s="420">
        <f>SUMIF(117:117,E40,118:118)-SUMIF(117:117,C40,118:118)+100</f>
        <v>100</v>
      </c>
      <c r="G40" s="419" t="s">
        <v>3294</v>
      </c>
      <c r="H40" s="394">
        <f>SUMIF(117:117,G40,118:118)-SUMIF(117:117,C40,118:118)+100</f>
        <v>100</v>
      </c>
      <c r="I40" s="419" t="s">
        <v>3294</v>
      </c>
      <c r="J40" s="394">
        <f>SUMIF(117:117,I40,118:118)-SUMIF(117:117,C40,118:118)+100</f>
        <v>100</v>
      </c>
      <c r="K40" s="569">
        <v>2</v>
      </c>
      <c r="L40" s="2952"/>
      <c r="M40" s="2946"/>
      <c r="N40" s="2946"/>
      <c r="O40" s="2946"/>
      <c r="P40" s="3403"/>
      <c r="Q40" s="1538" t="str">
        <f t="shared" si="11"/>
        <v>市政基础设施</v>
      </c>
      <c r="R40" s="714" t="s">
        <v>17</v>
      </c>
      <c r="S40" s="715">
        <f t="shared" si="12"/>
        <v>100</v>
      </c>
      <c r="T40" s="714" t="s">
        <v>17</v>
      </c>
      <c r="U40" s="715">
        <f t="shared" si="13"/>
        <v>100</v>
      </c>
      <c r="V40" s="714" t="s">
        <v>17</v>
      </c>
      <c r="W40" s="715">
        <f t="shared" si="14"/>
        <v>100</v>
      </c>
      <c r="X40" s="1541"/>
      <c r="Y40" s="3405"/>
      <c r="Z40" s="1542" t="str">
        <f t="shared" si="15"/>
        <v>市政基础设施</v>
      </c>
      <c r="AA40" s="1539">
        <f t="shared" si="3"/>
        <v>1</v>
      </c>
      <c r="AB40" s="1539">
        <f t="shared" si="4"/>
        <v>1</v>
      </c>
      <c r="AC40" s="2150">
        <f t="shared" si="5"/>
        <v>1</v>
      </c>
    </row>
    <row r="41" spans="1:29" ht="15">
      <c r="A41" s="431"/>
      <c r="B41" s="381" t="s">
        <v>2486</v>
      </c>
      <c r="C41" s="573" t="s">
        <v>3297</v>
      </c>
      <c r="D41" s="394">
        <v>100</v>
      </c>
      <c r="E41" s="573" t="s">
        <v>3297</v>
      </c>
      <c r="F41" s="420">
        <f>SUMIF(119:119,E41,120:120)-SUMIF(119:119,C41,120:120)+100</f>
        <v>100</v>
      </c>
      <c r="G41" s="573" t="s">
        <v>3297</v>
      </c>
      <c r="H41" s="394">
        <f>SUMIF(119:119,G41,120:120)-SUMIF(119:119,C41,120:120)+100</f>
        <v>100</v>
      </c>
      <c r="I41" s="573" t="s">
        <v>3297</v>
      </c>
      <c r="J41" s="394">
        <f>SUMIF(119:119,I41,120:120)-SUMIF(119:119,C41,120:120)+100</f>
        <v>100</v>
      </c>
      <c r="K41" s="569"/>
      <c r="L41" s="2952"/>
      <c r="M41" s="2946"/>
      <c r="N41" s="2946"/>
      <c r="O41" s="2946"/>
      <c r="P41" s="3403"/>
      <c r="Q41" s="1538" t="str">
        <f t="shared" si="11"/>
        <v>层高</v>
      </c>
      <c r="R41" s="714" t="s">
        <v>17</v>
      </c>
      <c r="S41" s="715">
        <f t="shared" si="12"/>
        <v>100</v>
      </c>
      <c r="T41" s="714" t="s">
        <v>17</v>
      </c>
      <c r="U41" s="715">
        <f t="shared" si="13"/>
        <v>100</v>
      </c>
      <c r="V41" s="714" t="s">
        <v>17</v>
      </c>
      <c r="W41" s="715">
        <f t="shared" si="14"/>
        <v>100</v>
      </c>
      <c r="X41" s="1541"/>
      <c r="Y41" s="3405"/>
      <c r="Z41" s="1542" t="str">
        <f t="shared" si="15"/>
        <v>层高</v>
      </c>
      <c r="AA41" s="1539">
        <f t="shared" si="3"/>
        <v>1</v>
      </c>
      <c r="AB41" s="1539">
        <f t="shared" si="4"/>
        <v>1</v>
      </c>
      <c r="AC41" s="2150">
        <f t="shared" si="5"/>
        <v>1</v>
      </c>
    </row>
    <row r="42" spans="1:29" s="430" customFormat="1" ht="15" hidden="1">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403"/>
      <c r="Q42" s="716" t="str">
        <f t="shared" si="11"/>
        <v>单套建筑面积</v>
      </c>
      <c r="R42" s="717" t="s">
        <v>17</v>
      </c>
      <c r="S42" s="718">
        <f t="shared" si="12"/>
        <v>100</v>
      </c>
      <c r="T42" s="717" t="s">
        <v>17</v>
      </c>
      <c r="U42" s="718">
        <f t="shared" si="13"/>
        <v>100</v>
      </c>
      <c r="V42" s="717" t="s">
        <v>17</v>
      </c>
      <c r="W42" s="718">
        <f t="shared" si="14"/>
        <v>100</v>
      </c>
      <c r="X42" s="719"/>
      <c r="Y42" s="3405"/>
      <c r="Z42" s="720" t="str">
        <f t="shared" si="15"/>
        <v>单套建筑面积</v>
      </c>
      <c r="AA42" s="1539">
        <f t="shared" si="3"/>
        <v>1</v>
      </c>
      <c r="AB42" s="1539">
        <f t="shared" si="4"/>
        <v>1</v>
      </c>
      <c r="AC42" s="2150">
        <f t="shared" si="5"/>
        <v>1</v>
      </c>
    </row>
    <row r="43" spans="1:29" ht="15">
      <c r="A43" s="431"/>
      <c r="B43" s="381" t="s">
        <v>2489</v>
      </c>
      <c r="C43" s="419" t="s">
        <v>3286</v>
      </c>
      <c r="D43" s="394">
        <v>100</v>
      </c>
      <c r="E43" s="419" t="s">
        <v>3323</v>
      </c>
      <c r="F43" s="420">
        <f>SUMIF(123:123,E43,124:124)-SUMIF(123:123,C43,124:124)+100</f>
        <v>97</v>
      </c>
      <c r="G43" s="419" t="s">
        <v>3286</v>
      </c>
      <c r="H43" s="394">
        <f>SUMIF(123:123,G43,124:124)-SUMIF(123:123,C43,124:124)+100</f>
        <v>100</v>
      </c>
      <c r="I43" s="419" t="s">
        <v>3307</v>
      </c>
      <c r="J43" s="394">
        <f>SUMIF(123:123,I43,124:124)-SUMIF(123:123,C43,124:124)+100</f>
        <v>103</v>
      </c>
      <c r="K43" s="569">
        <v>3</v>
      </c>
      <c r="L43" s="2952"/>
      <c r="M43" s="2946"/>
      <c r="N43" s="2946"/>
      <c r="O43" s="2946"/>
      <c r="P43" s="3403"/>
      <c r="Q43" s="1538" t="str">
        <f t="shared" si="11"/>
        <v>内部装修</v>
      </c>
      <c r="R43" s="714" t="s">
        <v>17</v>
      </c>
      <c r="S43" s="715">
        <f t="shared" si="12"/>
        <v>97</v>
      </c>
      <c r="T43" s="714" t="s">
        <v>17</v>
      </c>
      <c r="U43" s="715">
        <f t="shared" si="13"/>
        <v>100</v>
      </c>
      <c r="V43" s="714" t="s">
        <v>17</v>
      </c>
      <c r="W43" s="715">
        <f t="shared" si="14"/>
        <v>103</v>
      </c>
      <c r="X43" s="1541"/>
      <c r="Y43" s="3405"/>
      <c r="Z43" s="1542" t="str">
        <f t="shared" si="15"/>
        <v>内部装修</v>
      </c>
      <c r="AA43" s="1539">
        <f t="shared" si="3"/>
        <v>1.0309278350515463</v>
      </c>
      <c r="AB43" s="1539">
        <f t="shared" si="4"/>
        <v>1</v>
      </c>
      <c r="AC43" s="2150">
        <f t="shared" si="5"/>
        <v>0.970873786407767</v>
      </c>
    </row>
    <row r="44" spans="1:29" ht="15.75" thickBot="1">
      <c r="A44" s="431"/>
      <c r="B44" s="381" t="s">
        <v>2397</v>
      </c>
      <c r="C44" s="419" t="s">
        <v>3260</v>
      </c>
      <c r="D44" s="394">
        <v>100</v>
      </c>
      <c r="E44" s="2094" t="s">
        <v>3260</v>
      </c>
      <c r="F44" s="420">
        <f>SUMIF(125:125,E44,126:126)-SUMIF(125:125,C44,126:126)+100</f>
        <v>100</v>
      </c>
      <c r="G44" s="2094" t="s">
        <v>3260</v>
      </c>
      <c r="H44" s="394">
        <f>SUMIF(125:125,G44,126:126)-SUMIF(125:125,C44,126:126)+100</f>
        <v>100</v>
      </c>
      <c r="I44" s="2094" t="s">
        <v>3260</v>
      </c>
      <c r="J44" s="394">
        <f>SUMIF(125:125,I44,126:126)-SUMIF(125:125,C44,126:126)+100</f>
        <v>100</v>
      </c>
      <c r="K44" s="569"/>
      <c r="L44" s="2952"/>
      <c r="M44" s="2946"/>
      <c r="N44" s="2946"/>
      <c r="O44" s="2946"/>
      <c r="P44" s="3403"/>
      <c r="Q44" s="1538" t="str">
        <f t="shared" si="11"/>
        <v>内部装修维护情况</v>
      </c>
      <c r="R44" s="714" t="s">
        <v>17</v>
      </c>
      <c r="S44" s="715">
        <f t="shared" si="12"/>
        <v>100</v>
      </c>
      <c r="T44" s="714" t="s">
        <v>17</v>
      </c>
      <c r="U44" s="715">
        <f t="shared" si="13"/>
        <v>100</v>
      </c>
      <c r="V44" s="714" t="s">
        <v>17</v>
      </c>
      <c r="W44" s="715">
        <f t="shared" si="14"/>
        <v>100</v>
      </c>
      <c r="X44" s="1541"/>
      <c r="Y44" s="3405"/>
      <c r="Z44" s="1542" t="str">
        <f t="shared" si="15"/>
        <v>内部装修维护情况</v>
      </c>
      <c r="AA44" s="1539">
        <f t="shared" si="3"/>
        <v>1</v>
      </c>
      <c r="AB44" s="1539">
        <f t="shared" si="4"/>
        <v>1</v>
      </c>
      <c r="AC44" s="2150">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403"/>
      <c r="Q45" s="1529">
        <f t="shared" si="11"/>
        <v>111</v>
      </c>
      <c r="R45" s="710" t="s">
        <v>17</v>
      </c>
      <c r="S45" s="711">
        <f t="shared" si="12"/>
        <v>100</v>
      </c>
      <c r="T45" s="710" t="s">
        <v>17</v>
      </c>
      <c r="U45" s="711">
        <f t="shared" si="13"/>
        <v>100</v>
      </c>
      <c r="V45" s="710" t="s">
        <v>17</v>
      </c>
      <c r="W45" s="711">
        <f t="shared" si="14"/>
        <v>100</v>
      </c>
      <c r="X45" s="712"/>
      <c r="Y45" s="3405"/>
      <c r="Z45" s="55">
        <f t="shared" si="15"/>
        <v>111</v>
      </c>
      <c r="AA45" s="713">
        <f t="shared" si="3"/>
        <v>1</v>
      </c>
      <c r="AB45" s="713">
        <f t="shared" si="4"/>
        <v>1</v>
      </c>
      <c r="AC45" s="2147">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403"/>
      <c r="Q46" s="1538">
        <f t="shared" si="11"/>
        <v>111</v>
      </c>
      <c r="R46" s="714" t="s">
        <v>17</v>
      </c>
      <c r="S46" s="715">
        <f t="shared" si="12"/>
        <v>100</v>
      </c>
      <c r="T46" s="714" t="s">
        <v>17</v>
      </c>
      <c r="U46" s="715">
        <f t="shared" si="13"/>
        <v>100</v>
      </c>
      <c r="V46" s="714" t="s">
        <v>17</v>
      </c>
      <c r="W46" s="715">
        <f t="shared" si="14"/>
        <v>100</v>
      </c>
      <c r="X46" s="1541"/>
      <c r="Y46" s="3405"/>
      <c r="Z46" s="1542">
        <f t="shared" si="15"/>
        <v>111</v>
      </c>
      <c r="AA46" s="1539">
        <f t="shared" si="3"/>
        <v>1</v>
      </c>
      <c r="AB46" s="1539">
        <f t="shared" si="4"/>
        <v>1</v>
      </c>
      <c r="AC46" s="2150">
        <f t="shared" si="5"/>
        <v>1</v>
      </c>
    </row>
    <row r="47" spans="1:29" ht="15.75" hidden="1"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404"/>
      <c r="Q47" s="1538">
        <f t="shared" si="11"/>
        <v>111</v>
      </c>
      <c r="R47" s="714" t="s">
        <v>17</v>
      </c>
      <c r="S47" s="715">
        <f t="shared" si="12"/>
        <v>100</v>
      </c>
      <c r="T47" s="714" t="s">
        <v>17</v>
      </c>
      <c r="U47" s="715">
        <f t="shared" si="13"/>
        <v>100</v>
      </c>
      <c r="V47" s="714" t="s">
        <v>17</v>
      </c>
      <c r="W47" s="715">
        <f t="shared" si="14"/>
        <v>100</v>
      </c>
      <c r="X47" s="1541"/>
      <c r="Y47" s="3406"/>
      <c r="Z47" s="1542">
        <f t="shared" si="15"/>
        <v>111</v>
      </c>
      <c r="AA47" s="1539">
        <f t="shared" si="3"/>
        <v>1</v>
      </c>
      <c r="AB47" s="1539">
        <f t="shared" si="4"/>
        <v>1</v>
      </c>
      <c r="AC47" s="2150">
        <f t="shared" si="5"/>
        <v>1</v>
      </c>
    </row>
    <row r="48" spans="1:29" ht="15">
      <c r="A48" s="438" t="s">
        <v>2398</v>
      </c>
      <c r="B48" s="439"/>
      <c r="C48" s="1316" t="s">
        <v>1</v>
      </c>
      <c r="D48" s="1317"/>
      <c r="E48" s="1318">
        <v>5.2</v>
      </c>
      <c r="F48" s="1319"/>
      <c r="G48" s="1320">
        <f>ROUND(7-25/30,1)</f>
        <v>6.2</v>
      </c>
      <c r="H48" s="1321"/>
      <c r="I48" s="1318">
        <f>ROUND(7.5-30/30,1)</f>
        <v>6.5</v>
      </c>
      <c r="J48" s="444"/>
      <c r="K48" s="723"/>
      <c r="L48" s="2954"/>
      <c r="M48" s="2946"/>
      <c r="N48" s="2946"/>
      <c r="O48" s="2946"/>
      <c r="P48" s="3380" t="str">
        <f>A48</f>
        <v>成交单价（元/平方米）</v>
      </c>
      <c r="Q48" s="3398"/>
      <c r="R48" s="3399">
        <f>E48</f>
        <v>5.2</v>
      </c>
      <c r="S48" s="3399"/>
      <c r="T48" s="3399">
        <f>G48</f>
        <v>6.2</v>
      </c>
      <c r="U48" s="3399"/>
      <c r="V48" s="3399">
        <f>I48</f>
        <v>6.5</v>
      </c>
      <c r="W48" s="3399"/>
      <c r="X48" s="405"/>
      <c r="Y48" s="721"/>
      <c r="Z48" s="405"/>
      <c r="AA48" s="405"/>
      <c r="AB48" s="405"/>
      <c r="AC48" s="586"/>
    </row>
    <row r="49" spans="1:29" ht="15.75" thickBot="1">
      <c r="A49" s="445" t="s">
        <v>2490</v>
      </c>
      <c r="B49" s="446"/>
      <c r="C49" s="1322">
        <f>R50</f>
        <v>5.8</v>
      </c>
      <c r="D49" s="2540" t="s">
        <v>2879</v>
      </c>
      <c r="E49" s="1323">
        <f>R49</f>
        <v>5.3</v>
      </c>
      <c r="F49" s="2541"/>
      <c r="G49" s="1322">
        <f>T49</f>
        <v>6</v>
      </c>
      <c r="H49" s="2541"/>
      <c r="I49" s="1323">
        <f>V49</f>
        <v>6.1</v>
      </c>
      <c r="J49" s="2541"/>
      <c r="K49" s="2543">
        <f>F49+H49+J49</f>
        <v>0</v>
      </c>
      <c r="L49" s="2954"/>
      <c r="M49" s="2946"/>
      <c r="N49" s="2946"/>
      <c r="O49" s="2946"/>
      <c r="P49" s="3380" t="str">
        <f>A49</f>
        <v>比较价值（元/平方米）</v>
      </c>
      <c r="Q49" s="3398"/>
      <c r="R49" s="3399">
        <f>IF(F1="售价",ROUND(PRODUCT(R48,AA7:AA47),0),ROUND(PRODUCT(R48,AA7:AA47),1))</f>
        <v>5.3</v>
      </c>
      <c r="S49" s="3399"/>
      <c r="T49" s="3399">
        <f>IF(F1="售价",ROUND(PRODUCT(T48,AB7:AB47),0),ROUND(PRODUCT(T48,AB7:AB47),1))</f>
        <v>6</v>
      </c>
      <c r="U49" s="3399"/>
      <c r="V49" s="3399">
        <f>IF(F1="售价",ROUND(PRODUCT(V48,AC7:AC47),0),ROUND(PRODUCT(V48,AC7:AC47),1))</f>
        <v>6.1</v>
      </c>
      <c r="W49" s="3399"/>
      <c r="X49" s="405"/>
      <c r="Y49" s="405"/>
      <c r="Z49" s="405"/>
      <c r="AA49" s="405"/>
      <c r="AB49" s="405"/>
      <c r="AC49" s="586"/>
    </row>
    <row r="50" spans="1:29" ht="15.75" thickBot="1">
      <c r="A50" s="449" t="s">
        <v>3301</v>
      </c>
      <c r="B50" s="450"/>
      <c r="C50" s="1325">
        <f>R50</f>
        <v>5.8</v>
      </c>
      <c r="D50" s="1325"/>
      <c r="E50" s="1325"/>
      <c r="F50" s="1325"/>
      <c r="G50" s="1325"/>
      <c r="H50" s="1325"/>
      <c r="I50" s="1325"/>
      <c r="J50" s="451"/>
      <c r="K50" s="724"/>
      <c r="L50" s="2954"/>
      <c r="M50" s="2946"/>
      <c r="N50" s="2946"/>
      <c r="O50" s="2946"/>
      <c r="P50" s="3424" t="str">
        <f>A50</f>
        <v>估价对象办公用房的比较价值（楼面单价，元/平方米）</v>
      </c>
      <c r="Q50" s="3425"/>
      <c r="R50" s="3426">
        <f>IF(F1="售价",ROUND(IF(D49="简单平均",AVERAGE(R49:V49),R49*F49+T49*H49+V49*J49),0),ROUND(IF(D49="简单平均",AVERAGE(R49:V49),R49*F49+T49*H49+V49*J49),1))</f>
        <v>5.8</v>
      </c>
      <c r="S50" s="3426"/>
      <c r="T50" s="3426"/>
      <c r="U50" s="3426"/>
      <c r="V50" s="3426"/>
      <c r="W50" s="3426"/>
      <c r="X50" s="2134"/>
      <c r="Y50" s="2134"/>
      <c r="Z50" s="2134"/>
      <c r="AA50" s="2134"/>
      <c r="AB50" s="2134"/>
      <c r="AC50" s="2135"/>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f>IF(E48&lt;E49,E49/E48-1,E48/E49-1)</f>
        <v>1.9230769230769162E-2</v>
      </c>
      <c r="F53" s="457" t="str">
        <f>IF(OR(E53&gt;=0.3,E53&lt;=-0.3),"超过30%","")</f>
        <v/>
      </c>
      <c r="G53" s="456">
        <f>IF(G48&lt;G49,G49/G48-1,G48/G49-1)</f>
        <v>3.3333333333333437E-2</v>
      </c>
      <c r="H53" s="457" t="str">
        <f>IF(OR(G53&gt;=0.3,G53&lt;=-0.3),"超过30%","")</f>
        <v/>
      </c>
      <c r="I53" s="456">
        <f>IF(I48&lt;I49,I49/I48-1,I48/I49-1)</f>
        <v>6.5573770491803351E-2</v>
      </c>
      <c r="J53" s="457" t="str">
        <f>IF(OR(I53&gt;=0.3,I53&lt;=-0.3),"超过30%","")</f>
        <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f>IF(E49&lt;G49,G49/E49-1,E49/G49-1)</f>
        <v>0.13207547169811318</v>
      </c>
      <c r="F54" s="457" t="str">
        <f>IF(OR(E54&gt;=0.2,E54&lt;=-0.2),"超过20%","")</f>
        <v/>
      </c>
      <c r="G54" s="456">
        <f>IF(G49&lt;I49,I49/G49-1,G49/I49-1)</f>
        <v>1.6666666666666607E-2</v>
      </c>
      <c r="H54" s="457" t="str">
        <f>IF(OR(G54&gt;=0.2,G54&lt;=-0.2),"超过20%","")</f>
        <v/>
      </c>
      <c r="I54" s="456">
        <f>IF(I49&lt;E49,E49/I49-1,I49/E49-1)</f>
        <v>0.15094339622641506</v>
      </c>
      <c r="J54" s="457" t="str">
        <f>IF(OR(I54&gt;=0.2,I54&lt;=-0.2),"超过20%","")</f>
        <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f>IF(E48&lt;G48,G48/E48-1,E48/G48-1)</f>
        <v>0.19230769230769229</v>
      </c>
      <c r="F55" s="457" t="str">
        <f>IF(OR(E55&gt;=0.3,E55&lt;=-0.3),"超过30%","")</f>
        <v/>
      </c>
      <c r="G55" s="456">
        <f>IF(G48&lt;I48,I48/G48-1,G48/I48-1)</f>
        <v>4.8387096774193505E-2</v>
      </c>
      <c r="H55" s="457" t="str">
        <f>IF(OR(G55&gt;=0.3,G55&lt;=-0.3),"超过30%","")</f>
        <v/>
      </c>
      <c r="I55" s="456">
        <f>IF(I48&lt;E48,E48/I48-1,I48/E48-1)</f>
        <v>0.25</v>
      </c>
      <c r="J55" s="457" t="str">
        <f>IF(OR(I55&gt;=0.3,I55&lt;=-0.3),"超过30%","")</f>
        <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v>100</v>
      </c>
      <c r="E60" s="469">
        <v>100</v>
      </c>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t="str">
        <f>C9</f>
        <v>办公</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1（含）-3</v>
      </c>
      <c r="D68" s="504" t="str">
        <f t="shared" ref="D68:L68" si="17">D69&amp;"（含）"&amp;"-"&amp;E69</f>
        <v>3（含）-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v>1</v>
      </c>
      <c r="D69" s="506">
        <v>3</v>
      </c>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3131" t="s">
        <v>3277</v>
      </c>
      <c r="D87" s="3131" t="s">
        <v>3273</v>
      </c>
      <c r="E87" s="3131" t="s">
        <v>3275</v>
      </c>
      <c r="F87" s="3131" t="s">
        <v>3276</v>
      </c>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5"/>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6"/>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3132" t="s">
        <v>3279</v>
      </c>
      <c r="D101" s="3132" t="s">
        <v>3281</v>
      </c>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0(含)-500</v>
      </c>
      <c r="D103" s="535" t="str">
        <f t="shared" ref="D103:L103" si="23">D104&amp;"(含)"&amp;"-"&amp;E104</f>
        <v>500(含)-1000</v>
      </c>
      <c r="E103" s="535" t="str">
        <f t="shared" si="23"/>
        <v>1000(含)-5000</v>
      </c>
      <c r="F103" s="535" t="str">
        <f t="shared" si="23"/>
        <v>5000(含)-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v>0</v>
      </c>
      <c r="D104" s="552">
        <v>500</v>
      </c>
      <c r="E104" s="552">
        <v>1000</v>
      </c>
      <c r="F104" s="552">
        <v>5000</v>
      </c>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v>100</v>
      </c>
      <c r="D105" s="493">
        <v>99</v>
      </c>
      <c r="E105" s="493">
        <v>98</v>
      </c>
      <c r="F105" s="493">
        <v>97</v>
      </c>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3131" t="s">
        <v>3283</v>
      </c>
      <c r="D106" s="3131" t="s">
        <v>3285</v>
      </c>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3131" t="s">
        <v>3287</v>
      </c>
      <c r="D108" s="3131" t="s">
        <v>3288</v>
      </c>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3131" t="s">
        <v>3290</v>
      </c>
      <c r="D115" s="3131" t="s">
        <v>3292</v>
      </c>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3131" t="s">
        <v>3293</v>
      </c>
      <c r="D117" s="3131" t="s">
        <v>3295</v>
      </c>
      <c r="E117" s="3131" t="s">
        <v>3296</v>
      </c>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3133" t="s">
        <v>3298</v>
      </c>
      <c r="D119" s="540"/>
      <c r="E119" s="540"/>
      <c r="F119" s="540"/>
      <c r="G119" s="540"/>
      <c r="H119" s="540"/>
      <c r="I119" s="540"/>
      <c r="J119" s="540"/>
      <c r="K119" s="540"/>
      <c r="L119" s="2156"/>
      <c r="M119" s="2157"/>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3131" t="s">
        <v>3308</v>
      </c>
      <c r="D123" s="3131" t="s">
        <v>3299</v>
      </c>
      <c r="E123" s="3131" t="s">
        <v>3300</v>
      </c>
      <c r="F123" s="511"/>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97</v>
      </c>
      <c r="E124" s="501">
        <f t="shared" si="30"/>
        <v>94</v>
      </c>
      <c r="F124" s="501">
        <f t="shared" si="30"/>
        <v>91</v>
      </c>
      <c r="G124" s="501">
        <f t="shared" si="30"/>
        <v>88</v>
      </c>
      <c r="H124" s="501">
        <f t="shared" si="30"/>
        <v>85</v>
      </c>
      <c r="I124" s="501">
        <f t="shared" si="30"/>
        <v>82</v>
      </c>
      <c r="J124" s="501">
        <f t="shared" si="30"/>
        <v>79</v>
      </c>
      <c r="K124" s="501">
        <f t="shared" si="30"/>
        <v>76</v>
      </c>
      <c r="L124" s="501">
        <f t="shared" si="30"/>
        <v>73</v>
      </c>
      <c r="M124" s="502">
        <f t="shared" si="30"/>
        <v>70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6"/>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2826.8999999999996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81" t="s">
        <v>2467</v>
      </c>
      <c r="D4" s="3382"/>
      <c r="E4" s="3383" t="s">
        <v>2468</v>
      </c>
      <c r="F4" s="3384"/>
      <c r="G4" s="3381" t="s">
        <v>2469</v>
      </c>
      <c r="H4" s="3382"/>
      <c r="I4" s="3381" t="s">
        <v>2470</v>
      </c>
      <c r="J4" s="3382"/>
      <c r="K4" s="567" t="s">
        <v>2471</v>
      </c>
      <c r="L4" s="1044"/>
      <c r="M4" s="1045"/>
      <c r="N4" s="1045"/>
      <c r="O4" s="1045"/>
      <c r="P4" s="3385" t="s">
        <v>2472</v>
      </c>
      <c r="Q4" s="3386"/>
      <c r="R4" s="3368" t="s">
        <v>2468</v>
      </c>
      <c r="S4" s="3369"/>
      <c r="T4" s="3368" t="s">
        <v>2469</v>
      </c>
      <c r="U4" s="3369"/>
      <c r="V4" s="3393" t="s">
        <v>2470</v>
      </c>
      <c r="W4" s="3393"/>
      <c r="X4" s="1541"/>
      <c r="Y4" s="3368" t="s">
        <v>2472</v>
      </c>
      <c r="Z4" s="3369"/>
      <c r="AA4" s="3363" t="s">
        <v>2468</v>
      </c>
      <c r="AB4" s="3364" t="s">
        <v>2469</v>
      </c>
      <c r="AC4" s="3363" t="s">
        <v>2470</v>
      </c>
    </row>
    <row r="5" spans="1:29" ht="15">
      <c r="A5" s="364"/>
      <c r="B5" s="365"/>
      <c r="C5" s="3374" t="s">
        <v>2363</v>
      </c>
      <c r="D5" s="3375"/>
      <c r="E5" s="3372" t="s">
        <v>2364</v>
      </c>
      <c r="F5" s="3373"/>
      <c r="G5" s="3374" t="s">
        <v>2365</v>
      </c>
      <c r="H5" s="3375"/>
      <c r="I5" s="3374" t="s">
        <v>2366</v>
      </c>
      <c r="J5" s="3375"/>
      <c r="K5" s="567"/>
      <c r="L5" s="1044"/>
      <c r="M5" s="1045"/>
      <c r="N5" s="1045"/>
      <c r="O5" s="1045"/>
      <c r="P5" s="3387"/>
      <c r="Q5" s="3388"/>
      <c r="R5" s="3370"/>
      <c r="S5" s="3371"/>
      <c r="T5" s="3370"/>
      <c r="U5" s="3371"/>
      <c r="V5" s="3393"/>
      <c r="W5" s="3393"/>
      <c r="X5" s="1541"/>
      <c r="Y5" s="3370"/>
      <c r="Z5" s="3371"/>
      <c r="AA5" s="3364"/>
      <c r="AB5" s="3364"/>
      <c r="AC5" s="3364"/>
    </row>
    <row r="6" spans="1:29" ht="15.75" thickBot="1">
      <c r="A6" s="366"/>
      <c r="B6" s="367"/>
      <c r="C6" s="3376" t="s">
        <v>2367</v>
      </c>
      <c r="D6" s="3377"/>
      <c r="E6" s="3378" t="s">
        <v>2367</v>
      </c>
      <c r="F6" s="3379"/>
      <c r="G6" s="3376" t="s">
        <v>2367</v>
      </c>
      <c r="H6" s="3377"/>
      <c r="I6" s="3376" t="s">
        <v>2367</v>
      </c>
      <c r="J6" s="3377"/>
      <c r="K6" s="567" t="s">
        <v>2368</v>
      </c>
      <c r="L6" s="1044"/>
      <c r="M6" s="1045"/>
      <c r="N6" s="1045"/>
      <c r="O6" s="1045"/>
      <c r="P6" s="3389"/>
      <c r="Q6" s="3390"/>
      <c r="R6" s="3370"/>
      <c r="S6" s="3371"/>
      <c r="T6" s="3391"/>
      <c r="U6" s="3392"/>
      <c r="V6" s="3393"/>
      <c r="W6" s="3393"/>
      <c r="X6" s="1541"/>
      <c r="Y6" s="3391"/>
      <c r="Z6" s="3392"/>
      <c r="AA6" s="3365"/>
      <c r="AB6" s="3365"/>
      <c r="AC6" s="3365"/>
    </row>
    <row r="7" spans="1:29" s="113" customFormat="1" ht="15.75" thickBot="1">
      <c r="A7" s="368" t="s">
        <v>2369</v>
      </c>
      <c r="B7" s="369"/>
      <c r="C7" s="370">
        <f>'数据-取费表'!B2</f>
        <v>44201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6" t="s">
        <v>2370</v>
      </c>
      <c r="Q7" s="3394"/>
      <c r="R7" s="710" t="s">
        <v>17</v>
      </c>
      <c r="S7" s="711">
        <f t="shared" ref="S7:S15" si="0">F7</f>
        <v>0</v>
      </c>
      <c r="T7" s="710" t="s">
        <v>17</v>
      </c>
      <c r="U7" s="711">
        <f t="shared" ref="U7:U15" si="1">H7</f>
        <v>0</v>
      </c>
      <c r="V7" s="710" t="s">
        <v>17</v>
      </c>
      <c r="W7" s="711">
        <f t="shared" ref="W7:W15" si="2">J7</f>
        <v>0</v>
      </c>
      <c r="X7" s="712"/>
      <c r="Y7" s="3366" t="s">
        <v>2370</v>
      </c>
      <c r="Z7" s="336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6" t="s">
        <v>2373</v>
      </c>
      <c r="Q8" s="3367"/>
      <c r="R8" s="710" t="s">
        <v>17</v>
      </c>
      <c r="S8" s="711">
        <f t="shared" si="0"/>
        <v>0</v>
      </c>
      <c r="T8" s="710" t="s">
        <v>17</v>
      </c>
      <c r="U8" s="711">
        <f t="shared" si="1"/>
        <v>0</v>
      </c>
      <c r="V8" s="710" t="s">
        <v>17</v>
      </c>
      <c r="W8" s="711">
        <f t="shared" si="2"/>
        <v>0</v>
      </c>
      <c r="X8" s="712"/>
      <c r="Y8" s="3366" t="s">
        <v>2373</v>
      </c>
      <c r="Z8" s="336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98"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98"/>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98"/>
      <c r="Q11" s="1529"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98"/>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98"/>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98"/>
      <c r="Q14" s="1529">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00" t="s">
        <v>2381</v>
      </c>
      <c r="Q15" s="1538" t="str">
        <f t="shared" si="6"/>
        <v>产业集聚程度</v>
      </c>
      <c r="R15" s="714" t="s">
        <v>17</v>
      </c>
      <c r="S15" s="715">
        <f t="shared" si="0"/>
        <v>100</v>
      </c>
      <c r="T15" s="714" t="s">
        <v>17</v>
      </c>
      <c r="U15" s="715">
        <f t="shared" si="1"/>
        <v>100</v>
      </c>
      <c r="V15" s="714" t="s">
        <v>17</v>
      </c>
      <c r="W15" s="715">
        <f t="shared" si="2"/>
        <v>100</v>
      </c>
      <c r="X15" s="1541"/>
      <c r="Y15" s="340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401"/>
      <c r="Q16" s="1538"/>
      <c r="R16" s="714"/>
      <c r="S16" s="715"/>
      <c r="T16" s="714"/>
      <c r="U16" s="715"/>
      <c r="V16" s="714"/>
      <c r="W16" s="715"/>
      <c r="X16" s="1541"/>
      <c r="Y16" s="340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01"/>
      <c r="Q17" s="1538" t="str">
        <f>B17</f>
        <v>交通便捷度</v>
      </c>
      <c r="R17" s="714" t="s">
        <v>17</v>
      </c>
      <c r="S17" s="715">
        <f>F17</f>
        <v>100</v>
      </c>
      <c r="T17" s="714" t="s">
        <v>17</v>
      </c>
      <c r="U17" s="715">
        <f>H17</f>
        <v>100</v>
      </c>
      <c r="V17" s="714" t="s">
        <v>17</v>
      </c>
      <c r="W17" s="715">
        <f>J17</f>
        <v>100</v>
      </c>
      <c r="X17" s="1541"/>
      <c r="Y17" s="34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401"/>
      <c r="Q18" s="1538"/>
      <c r="R18" s="714"/>
      <c r="S18" s="715"/>
      <c r="T18" s="714"/>
      <c r="U18" s="715"/>
      <c r="V18" s="714"/>
      <c r="W18" s="715"/>
      <c r="X18" s="1541"/>
      <c r="Y18" s="340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01"/>
      <c r="Q19" s="1538" t="str">
        <f>B19</f>
        <v>公共配套设施</v>
      </c>
      <c r="R19" s="714" t="s">
        <v>17</v>
      </c>
      <c r="S19" s="715">
        <f>F19</f>
        <v>100</v>
      </c>
      <c r="T19" s="714" t="s">
        <v>17</v>
      </c>
      <c r="U19" s="715">
        <f>H19</f>
        <v>100</v>
      </c>
      <c r="V19" s="714" t="s">
        <v>17</v>
      </c>
      <c r="W19" s="715">
        <f>J19</f>
        <v>100</v>
      </c>
      <c r="X19" s="1541"/>
      <c r="Y19" s="34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401"/>
      <c r="Q20" s="1538"/>
      <c r="R20" s="714"/>
      <c r="S20" s="715"/>
      <c r="T20" s="714"/>
      <c r="U20" s="715"/>
      <c r="V20" s="714"/>
      <c r="W20" s="715"/>
      <c r="X20" s="1541"/>
      <c r="Y20" s="340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01"/>
      <c r="Q21" s="1538" t="str">
        <f>B21</f>
        <v>基础设施水平</v>
      </c>
      <c r="R21" s="714" t="s">
        <v>17</v>
      </c>
      <c r="S21" s="715">
        <f>F21</f>
        <v>100</v>
      </c>
      <c r="T21" s="714" t="s">
        <v>17</v>
      </c>
      <c r="U21" s="715">
        <f>H21</f>
        <v>100</v>
      </c>
      <c r="V21" s="714" t="s">
        <v>17</v>
      </c>
      <c r="W21" s="715">
        <f>J21</f>
        <v>100</v>
      </c>
      <c r="X21" s="1541"/>
      <c r="Y21" s="34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401"/>
      <c r="Q22" s="1538"/>
      <c r="R22" s="714"/>
      <c r="S22" s="715"/>
      <c r="T22" s="714"/>
      <c r="U22" s="715"/>
      <c r="V22" s="714"/>
      <c r="W22" s="715"/>
      <c r="X22" s="1541"/>
      <c r="Y22" s="340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01"/>
      <c r="Q23" s="1538" t="str">
        <f>B23</f>
        <v>环境质量</v>
      </c>
      <c r="R23" s="714" t="s">
        <v>17</v>
      </c>
      <c r="S23" s="715">
        <f>F23</f>
        <v>100</v>
      </c>
      <c r="T23" s="714" t="s">
        <v>17</v>
      </c>
      <c r="U23" s="715">
        <f>H23</f>
        <v>100</v>
      </c>
      <c r="V23" s="714" t="s">
        <v>17</v>
      </c>
      <c r="W23" s="715">
        <f>J23</f>
        <v>100</v>
      </c>
      <c r="X23" s="1541"/>
      <c r="Y23" s="340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401"/>
      <c r="Q24" s="1538"/>
      <c r="R24" s="714"/>
      <c r="S24" s="715"/>
      <c r="T24" s="714"/>
      <c r="U24" s="715"/>
      <c r="V24" s="714"/>
      <c r="W24" s="715"/>
      <c r="X24" s="1541"/>
      <c r="Y24" s="340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01"/>
      <c r="Q25" s="1538">
        <f>B25</f>
        <v>111</v>
      </c>
      <c r="R25" s="714" t="s">
        <v>17</v>
      </c>
      <c r="S25" s="715">
        <f>F25</f>
        <v>100</v>
      </c>
      <c r="T25" s="714" t="s">
        <v>17</v>
      </c>
      <c r="U25" s="715">
        <f>H25</f>
        <v>100</v>
      </c>
      <c r="V25" s="714" t="s">
        <v>17</v>
      </c>
      <c r="W25" s="715">
        <f>J25</f>
        <v>100</v>
      </c>
      <c r="X25" s="1541"/>
      <c r="Y25" s="340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01"/>
      <c r="Q26" s="1538">
        <f t="shared" ref="Q26:Q40" si="11">B26</f>
        <v>111</v>
      </c>
      <c r="R26" s="714" t="s">
        <v>17</v>
      </c>
      <c r="S26" s="715">
        <f>F26</f>
        <v>100</v>
      </c>
      <c r="T26" s="714" t="s">
        <v>17</v>
      </c>
      <c r="U26" s="715">
        <f>H26</f>
        <v>100</v>
      </c>
      <c r="V26" s="714" t="s">
        <v>17</v>
      </c>
      <c r="W26" s="715">
        <f>J26</f>
        <v>100</v>
      </c>
      <c r="X26" s="1541"/>
      <c r="Y26" s="340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01"/>
      <c r="Q27" s="1529">
        <f t="shared" si="11"/>
        <v>111</v>
      </c>
      <c r="R27" s="710" t="s">
        <v>17</v>
      </c>
      <c r="S27" s="711">
        <f>F27</f>
        <v>100</v>
      </c>
      <c r="T27" s="710" t="s">
        <v>17</v>
      </c>
      <c r="U27" s="711">
        <f>H27</f>
        <v>100</v>
      </c>
      <c r="V27" s="710" t="s">
        <v>17</v>
      </c>
      <c r="W27" s="711">
        <f>J27</f>
        <v>100</v>
      </c>
      <c r="X27" s="712"/>
      <c r="Y27" s="340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01"/>
      <c r="Q28" s="1538">
        <f t="shared" si="11"/>
        <v>111</v>
      </c>
      <c r="R28" s="714" t="s">
        <v>17</v>
      </c>
      <c r="S28" s="715">
        <f t="shared" ref="S28:S40" si="12">F28</f>
        <v>100</v>
      </c>
      <c r="T28" s="714" t="s">
        <v>17</v>
      </c>
      <c r="U28" s="715">
        <f t="shared" ref="U28:U40" si="13">H28</f>
        <v>100</v>
      </c>
      <c r="V28" s="714" t="s">
        <v>17</v>
      </c>
      <c r="W28" s="715">
        <f t="shared" ref="W28:W40" si="14">J28</f>
        <v>100</v>
      </c>
      <c r="X28" s="1541"/>
      <c r="Y28" s="3401"/>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427" t="s">
        <v>2386</v>
      </c>
      <c r="Q29" s="1538" t="str">
        <f t="shared" si="11"/>
        <v>建筑类型</v>
      </c>
      <c r="R29" s="714" t="s">
        <v>17</v>
      </c>
      <c r="S29" s="715">
        <f t="shared" si="12"/>
        <v>100</v>
      </c>
      <c r="T29" s="714" t="s">
        <v>17</v>
      </c>
      <c r="U29" s="715">
        <f t="shared" si="13"/>
        <v>100</v>
      </c>
      <c r="V29" s="714" t="s">
        <v>17</v>
      </c>
      <c r="W29" s="715">
        <f t="shared" si="14"/>
        <v>100</v>
      </c>
      <c r="X29" s="1541"/>
      <c r="Y29" s="340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05"/>
      <c r="Q30" s="716" t="str">
        <f t="shared" si="11"/>
        <v>项目建筑规模</v>
      </c>
      <c r="R30" s="717" t="s">
        <v>17</v>
      </c>
      <c r="S30" s="718" t="e">
        <f t="shared" si="12"/>
        <v>#N/A</v>
      </c>
      <c r="T30" s="717" t="s">
        <v>17</v>
      </c>
      <c r="U30" s="718" t="e">
        <f t="shared" si="13"/>
        <v>#N/A</v>
      </c>
      <c r="V30" s="717" t="s">
        <v>17</v>
      </c>
      <c r="W30" s="718" t="e">
        <f t="shared" si="14"/>
        <v>#N/A</v>
      </c>
      <c r="X30" s="719"/>
      <c r="Y30" s="340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05"/>
      <c r="Q31" s="1538" t="str">
        <f t="shared" si="11"/>
        <v>建筑结构</v>
      </c>
      <c r="R31" s="714" t="s">
        <v>17</v>
      </c>
      <c r="S31" s="715">
        <f t="shared" si="12"/>
        <v>100</v>
      </c>
      <c r="T31" s="714" t="s">
        <v>17</v>
      </c>
      <c r="U31" s="715">
        <f t="shared" si="13"/>
        <v>100</v>
      </c>
      <c r="V31" s="714" t="s">
        <v>17</v>
      </c>
      <c r="W31" s="715">
        <f t="shared" si="14"/>
        <v>100</v>
      </c>
      <c r="X31" s="1541"/>
      <c r="Y31" s="340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05"/>
      <c r="Q32" s="1538" t="str">
        <f t="shared" si="11"/>
        <v>公共部分装修</v>
      </c>
      <c r="R32" s="714" t="s">
        <v>17</v>
      </c>
      <c r="S32" s="715">
        <f t="shared" si="12"/>
        <v>100</v>
      </c>
      <c r="T32" s="714" t="s">
        <v>17</v>
      </c>
      <c r="U32" s="715">
        <f t="shared" si="13"/>
        <v>100</v>
      </c>
      <c r="V32" s="714" t="s">
        <v>17</v>
      </c>
      <c r="W32" s="715">
        <f t="shared" si="14"/>
        <v>100</v>
      </c>
      <c r="X32" s="1541"/>
      <c r="Y32" s="340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05"/>
      <c r="Q33" s="1538" t="str">
        <f t="shared" si="11"/>
        <v>成新度</v>
      </c>
      <c r="R33" s="714" t="s">
        <v>17</v>
      </c>
      <c r="S33" s="715" t="e">
        <f t="shared" si="12"/>
        <v>#N/A</v>
      </c>
      <c r="T33" s="714" t="s">
        <v>17</v>
      </c>
      <c r="U33" s="715" t="e">
        <f t="shared" si="13"/>
        <v>#N/A</v>
      </c>
      <c r="V33" s="714" t="s">
        <v>17</v>
      </c>
      <c r="W33" s="715" t="e">
        <f t="shared" si="14"/>
        <v>#N/A</v>
      </c>
      <c r="X33" s="1541"/>
      <c r="Y33" s="340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05"/>
      <c r="Q34" s="1529" t="str">
        <f t="shared" si="11"/>
        <v>物业管理</v>
      </c>
      <c r="R34" s="710" t="s">
        <v>17</v>
      </c>
      <c r="S34" s="711">
        <f t="shared" si="12"/>
        <v>100</v>
      </c>
      <c r="T34" s="710" t="s">
        <v>17</v>
      </c>
      <c r="U34" s="711">
        <f t="shared" si="13"/>
        <v>100</v>
      </c>
      <c r="V34" s="710" t="s">
        <v>17</v>
      </c>
      <c r="W34" s="711">
        <f t="shared" si="14"/>
        <v>100</v>
      </c>
      <c r="X34" s="712"/>
      <c r="Y34" s="340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05" t="s">
        <v>2386</v>
      </c>
      <c r="Q35" s="1538" t="str">
        <f t="shared" si="11"/>
        <v>市政基础设施</v>
      </c>
      <c r="R35" s="714" t="s">
        <v>17</v>
      </c>
      <c r="S35" s="715">
        <f t="shared" si="12"/>
        <v>100</v>
      </c>
      <c r="T35" s="714" t="s">
        <v>17</v>
      </c>
      <c r="U35" s="715">
        <f t="shared" si="13"/>
        <v>100</v>
      </c>
      <c r="V35" s="714" t="s">
        <v>17</v>
      </c>
      <c r="W35" s="715">
        <f t="shared" si="14"/>
        <v>100</v>
      </c>
      <c r="X35" s="1541"/>
      <c r="Y35" s="340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05"/>
      <c r="Q36" s="1538" t="str">
        <f t="shared" si="11"/>
        <v>内部装修</v>
      </c>
      <c r="R36" s="714" t="s">
        <v>17</v>
      </c>
      <c r="S36" s="715">
        <f t="shared" si="12"/>
        <v>100</v>
      </c>
      <c r="T36" s="714" t="s">
        <v>17</v>
      </c>
      <c r="U36" s="715">
        <f t="shared" si="13"/>
        <v>100</v>
      </c>
      <c r="V36" s="714" t="s">
        <v>17</v>
      </c>
      <c r="W36" s="715">
        <f t="shared" si="14"/>
        <v>100</v>
      </c>
      <c r="X36" s="1541"/>
      <c r="Y36" s="340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05"/>
      <c r="Q37" s="1538" t="str">
        <f t="shared" si="11"/>
        <v>内部装修状况</v>
      </c>
      <c r="R37" s="714" t="s">
        <v>17</v>
      </c>
      <c r="S37" s="715">
        <f t="shared" si="12"/>
        <v>100</v>
      </c>
      <c r="T37" s="714" t="s">
        <v>17</v>
      </c>
      <c r="U37" s="715">
        <f t="shared" si="13"/>
        <v>100</v>
      </c>
      <c r="V37" s="714" t="s">
        <v>17</v>
      </c>
      <c r="W37" s="715">
        <f t="shared" si="14"/>
        <v>100</v>
      </c>
      <c r="X37" s="1541"/>
      <c r="Y37" s="340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05"/>
      <c r="Q38" s="716">
        <f t="shared" si="11"/>
        <v>111</v>
      </c>
      <c r="R38" s="717" t="s">
        <v>17</v>
      </c>
      <c r="S38" s="718">
        <f t="shared" si="12"/>
        <v>100</v>
      </c>
      <c r="T38" s="717" t="s">
        <v>17</v>
      </c>
      <c r="U38" s="718">
        <f t="shared" si="13"/>
        <v>100</v>
      </c>
      <c r="V38" s="717" t="s">
        <v>17</v>
      </c>
      <c r="W38" s="718">
        <f t="shared" si="14"/>
        <v>100</v>
      </c>
      <c r="X38" s="719"/>
      <c r="Y38" s="340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05"/>
      <c r="Q39" s="1538">
        <f t="shared" si="11"/>
        <v>111</v>
      </c>
      <c r="R39" s="714" t="s">
        <v>17</v>
      </c>
      <c r="S39" s="715">
        <f t="shared" si="12"/>
        <v>100</v>
      </c>
      <c r="T39" s="714" t="s">
        <v>17</v>
      </c>
      <c r="U39" s="715">
        <f t="shared" si="13"/>
        <v>100</v>
      </c>
      <c r="V39" s="714" t="s">
        <v>17</v>
      </c>
      <c r="W39" s="715">
        <f t="shared" si="14"/>
        <v>100</v>
      </c>
      <c r="X39" s="1541"/>
      <c r="Y39" s="340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6"/>
      <c r="Q40" s="1538">
        <f t="shared" si="11"/>
        <v>111</v>
      </c>
      <c r="R40" s="714" t="s">
        <v>17</v>
      </c>
      <c r="S40" s="715">
        <f t="shared" si="12"/>
        <v>100</v>
      </c>
      <c r="T40" s="714" t="s">
        <v>17</v>
      </c>
      <c r="U40" s="715">
        <f t="shared" si="13"/>
        <v>100</v>
      </c>
      <c r="V40" s="714" t="s">
        <v>17</v>
      </c>
      <c r="W40" s="715">
        <f t="shared" si="14"/>
        <v>100</v>
      </c>
      <c r="X40" s="1541"/>
      <c r="Y40" s="340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98" t="str">
        <f>A41</f>
        <v>成交单价（元/平方米）</v>
      </c>
      <c r="Q41" s="3398"/>
      <c r="R41" s="3399">
        <f>E41</f>
        <v>0</v>
      </c>
      <c r="S41" s="3399"/>
      <c r="T41" s="3399">
        <f>G41</f>
        <v>0</v>
      </c>
      <c r="U41" s="3399"/>
      <c r="V41" s="3399">
        <f>I41</f>
        <v>0</v>
      </c>
      <c r="W41" s="3399"/>
      <c r="X41" s="699"/>
      <c r="Y41" s="721"/>
      <c r="Z41" s="699"/>
      <c r="AA41" s="699"/>
      <c r="AB41" s="699"/>
      <c r="AC41" s="699"/>
    </row>
    <row r="42" spans="1:29" ht="15.75" thickBot="1">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估价对象为北京市房地产，为所有。根据《国有土地使用证》[]，估价对象（分摊）出让国有建设用地使用权面积为4742.46平方米，建筑面积为2826.9平方米。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估价对象为北京市房地产,属开发建设的，该项目尚在开发建设中。根据《国有土地使用证》[]，估价对象（分摊）出让国有建设用地使用权面积为4742.46平方米，规划建筑面积为2826.9平方米。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2021年1月5日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381" t="s">
        <v>2467</v>
      </c>
      <c r="D4" s="3382"/>
      <c r="E4" s="3383" t="s">
        <v>2468</v>
      </c>
      <c r="F4" s="3384"/>
      <c r="G4" s="3381" t="s">
        <v>2469</v>
      </c>
      <c r="H4" s="3382"/>
      <c r="I4" s="3381" t="s">
        <v>2470</v>
      </c>
      <c r="J4" s="3382"/>
      <c r="K4" s="567" t="s">
        <v>2471</v>
      </c>
      <c r="L4" s="2945"/>
      <c r="M4" s="2946"/>
      <c r="N4" s="2946"/>
      <c r="O4" s="2946"/>
      <c r="P4" s="3385" t="s">
        <v>2472</v>
      </c>
      <c r="Q4" s="3386"/>
      <c r="R4" s="3368" t="s">
        <v>2468</v>
      </c>
      <c r="S4" s="3369"/>
      <c r="T4" s="3368" t="s">
        <v>2469</v>
      </c>
      <c r="U4" s="3369"/>
      <c r="V4" s="3393" t="s">
        <v>2470</v>
      </c>
      <c r="W4" s="3393"/>
      <c r="X4" s="1541"/>
      <c r="Y4" s="3368" t="s">
        <v>2472</v>
      </c>
      <c r="Z4" s="3369"/>
      <c r="AA4" s="3363" t="s">
        <v>2468</v>
      </c>
      <c r="AB4" s="3364" t="s">
        <v>2469</v>
      </c>
      <c r="AC4" s="3363" t="s">
        <v>2470</v>
      </c>
    </row>
    <row r="5" spans="1:29" ht="15">
      <c r="A5" s="364"/>
      <c r="B5" s="365"/>
      <c r="C5" s="3374" t="s">
        <v>2363</v>
      </c>
      <c r="D5" s="3375"/>
      <c r="E5" s="3372" t="s">
        <v>2364</v>
      </c>
      <c r="F5" s="3373"/>
      <c r="G5" s="3374" t="s">
        <v>2365</v>
      </c>
      <c r="H5" s="3375"/>
      <c r="I5" s="3374" t="s">
        <v>2366</v>
      </c>
      <c r="J5" s="3375"/>
      <c r="K5" s="567"/>
      <c r="L5" s="2945"/>
      <c r="M5" s="2946"/>
      <c r="N5" s="2946"/>
      <c r="O5" s="2946"/>
      <c r="P5" s="3387"/>
      <c r="Q5" s="3388"/>
      <c r="R5" s="3370"/>
      <c r="S5" s="3371"/>
      <c r="T5" s="3370"/>
      <c r="U5" s="3371"/>
      <c r="V5" s="3393"/>
      <c r="W5" s="3393"/>
      <c r="X5" s="1541"/>
      <c r="Y5" s="3370"/>
      <c r="Z5" s="3371"/>
      <c r="AA5" s="3364"/>
      <c r="AB5" s="3364"/>
      <c r="AC5" s="3364"/>
    </row>
    <row r="6" spans="1:29" ht="15.75" thickBot="1">
      <c r="A6" s="366"/>
      <c r="B6" s="367"/>
      <c r="C6" s="3376" t="s">
        <v>2367</v>
      </c>
      <c r="D6" s="3377"/>
      <c r="E6" s="3378" t="s">
        <v>2367</v>
      </c>
      <c r="F6" s="3379"/>
      <c r="G6" s="3376" t="s">
        <v>2367</v>
      </c>
      <c r="H6" s="3377"/>
      <c r="I6" s="3376" t="s">
        <v>2367</v>
      </c>
      <c r="J6" s="3377"/>
      <c r="K6" s="567" t="s">
        <v>2368</v>
      </c>
      <c r="L6" s="2945"/>
      <c r="M6" s="2946"/>
      <c r="N6" s="2946"/>
      <c r="O6" s="2946"/>
      <c r="P6" s="3389"/>
      <c r="Q6" s="3390"/>
      <c r="R6" s="3370"/>
      <c r="S6" s="3371"/>
      <c r="T6" s="3391"/>
      <c r="U6" s="3392"/>
      <c r="V6" s="3393"/>
      <c r="W6" s="3393"/>
      <c r="X6" s="1541"/>
      <c r="Y6" s="3391"/>
      <c r="Z6" s="3392"/>
      <c r="AA6" s="3365"/>
      <c r="AB6" s="3365"/>
      <c r="AC6" s="3365"/>
    </row>
    <row r="7" spans="1:29" s="113" customFormat="1" ht="15.75" thickBot="1">
      <c r="A7" s="368" t="s">
        <v>2369</v>
      </c>
      <c r="B7" s="369"/>
      <c r="C7" s="370">
        <f>'数据-取费表'!B2</f>
        <v>44201</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66" t="s">
        <v>2370</v>
      </c>
      <c r="Q7" s="3394"/>
      <c r="R7" s="710" t="s">
        <v>17</v>
      </c>
      <c r="S7" s="711">
        <f t="shared" ref="S7:S14" si="0">F7</f>
        <v>0</v>
      </c>
      <c r="T7" s="710" t="s">
        <v>17</v>
      </c>
      <c r="U7" s="711">
        <f t="shared" ref="U7:U14" si="1">H7</f>
        <v>0</v>
      </c>
      <c r="V7" s="710" t="s">
        <v>17</v>
      </c>
      <c r="W7" s="711">
        <f t="shared" ref="W7:W14" si="2">J7</f>
        <v>0</v>
      </c>
      <c r="X7" s="712"/>
      <c r="Y7" s="3366" t="s">
        <v>2370</v>
      </c>
      <c r="Z7" s="336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66" t="s">
        <v>2373</v>
      </c>
      <c r="Q8" s="3367"/>
      <c r="R8" s="710" t="s">
        <v>17</v>
      </c>
      <c r="S8" s="711">
        <f t="shared" si="0"/>
        <v>0</v>
      </c>
      <c r="T8" s="710" t="s">
        <v>17</v>
      </c>
      <c r="U8" s="711">
        <f t="shared" si="1"/>
        <v>0</v>
      </c>
      <c r="V8" s="710" t="s">
        <v>17</v>
      </c>
      <c r="W8" s="711">
        <f t="shared" si="2"/>
        <v>0</v>
      </c>
      <c r="X8" s="712"/>
      <c r="Y8" s="3366" t="s">
        <v>2373</v>
      </c>
      <c r="Z8" s="336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98" t="s">
        <v>2376</v>
      </c>
      <c r="Q9" s="1529" t="str">
        <f t="shared" ref="Q9:Q14" si="6">B9</f>
        <v>用途</v>
      </c>
      <c r="R9" s="710" t="s">
        <v>17</v>
      </c>
      <c r="S9" s="711">
        <f t="shared" si="0"/>
        <v>100</v>
      </c>
      <c r="T9" s="710" t="s">
        <v>17</v>
      </c>
      <c r="U9" s="711">
        <f t="shared" si="1"/>
        <v>100</v>
      </c>
      <c r="V9" s="710" t="s">
        <v>17</v>
      </c>
      <c r="W9" s="711">
        <f t="shared" si="2"/>
        <v>100</v>
      </c>
      <c r="X9" s="712"/>
      <c r="Y9" s="330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98"/>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98"/>
      <c r="Q11" s="1529">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98"/>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98"/>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400" t="s">
        <v>2381</v>
      </c>
      <c r="Q14" s="1538" t="str">
        <f t="shared" si="6"/>
        <v>交通便捷度</v>
      </c>
      <c r="R14" s="714" t="s">
        <v>17</v>
      </c>
      <c r="S14" s="715">
        <f t="shared" si="0"/>
        <v>100</v>
      </c>
      <c r="T14" s="714" t="s">
        <v>17</v>
      </c>
      <c r="U14" s="715">
        <f t="shared" si="1"/>
        <v>100</v>
      </c>
      <c r="V14" s="714" t="s">
        <v>17</v>
      </c>
      <c r="W14" s="715">
        <f t="shared" si="2"/>
        <v>100</v>
      </c>
      <c r="X14" s="1541"/>
      <c r="Y14" s="340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401"/>
      <c r="Q15" s="1538"/>
      <c r="R15" s="714"/>
      <c r="S15" s="715"/>
      <c r="T15" s="714"/>
      <c r="U15" s="715"/>
      <c r="V15" s="714"/>
      <c r="W15" s="715"/>
      <c r="X15" s="1541"/>
      <c r="Y15" s="3401"/>
      <c r="Z15" s="1542"/>
      <c r="AA15" s="1539">
        <v>1</v>
      </c>
      <c r="AB15" s="1539">
        <v>1</v>
      </c>
      <c r="AC15" s="1539">
        <v>1</v>
      </c>
    </row>
    <row r="16" spans="1:29" ht="42.75">
      <c r="A16" s="364"/>
      <c r="B16" s="587" t="s">
        <v>2509</v>
      </c>
      <c r="C16" s="2088" t="str">
        <f>IF(B1="工业",估价对象房地状况!G5,估价对象房地状况!C7)</f>
        <v>估价对象所在区域公共配套设施齐备</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401"/>
      <c r="Q16" s="1538" t="str">
        <f>B16</f>
        <v>公共配套设施</v>
      </c>
      <c r="R16" s="714" t="s">
        <v>17</v>
      </c>
      <c r="S16" s="715">
        <f>F16</f>
        <v>100</v>
      </c>
      <c r="T16" s="714" t="s">
        <v>17</v>
      </c>
      <c r="U16" s="715">
        <f>H16</f>
        <v>100</v>
      </c>
      <c r="V16" s="714" t="s">
        <v>17</v>
      </c>
      <c r="W16" s="715">
        <f>J16</f>
        <v>100</v>
      </c>
      <c r="X16" s="1541"/>
      <c r="Y16" s="340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2"/>
      <c r="M17" s="2946"/>
      <c r="N17" s="2946"/>
      <c r="O17" s="2946"/>
      <c r="P17" s="3401"/>
      <c r="Q17" s="1538"/>
      <c r="R17" s="714"/>
      <c r="S17" s="715"/>
      <c r="T17" s="714"/>
      <c r="U17" s="715"/>
      <c r="V17" s="714"/>
      <c r="W17" s="715"/>
      <c r="X17" s="1541"/>
      <c r="Y17" s="3401"/>
      <c r="Z17" s="1542"/>
      <c r="AA17" s="1539">
        <v>1</v>
      </c>
      <c r="AB17" s="1539">
        <v>1</v>
      </c>
      <c r="AC17" s="1539">
        <v>1</v>
      </c>
    </row>
    <row r="18" spans="1:29" ht="15">
      <c r="A18" s="364"/>
      <c r="B18" s="589" t="s">
        <v>2510</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401"/>
      <c r="Q18" s="1538" t="str">
        <f>B18</f>
        <v>基础设施水平</v>
      </c>
      <c r="R18" s="714" t="s">
        <v>17</v>
      </c>
      <c r="S18" s="715">
        <f>F18</f>
        <v>100</v>
      </c>
      <c r="T18" s="714" t="s">
        <v>17</v>
      </c>
      <c r="U18" s="715">
        <f>H18</f>
        <v>100</v>
      </c>
      <c r="V18" s="714" t="s">
        <v>17</v>
      </c>
      <c r="W18" s="715">
        <f>J18</f>
        <v>100</v>
      </c>
      <c r="X18" s="1541"/>
      <c r="Y18" s="340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2"/>
      <c r="M19" s="2946"/>
      <c r="N19" s="2946"/>
      <c r="O19" s="2946"/>
      <c r="P19" s="3401"/>
      <c r="Q19" s="1538"/>
      <c r="R19" s="714"/>
      <c r="S19" s="715"/>
      <c r="T19" s="714"/>
      <c r="U19" s="715"/>
      <c r="V19" s="714"/>
      <c r="W19" s="715"/>
      <c r="X19" s="1541"/>
      <c r="Y19" s="3401"/>
      <c r="Z19" s="1542"/>
      <c r="AA19" s="1539">
        <v>1</v>
      </c>
      <c r="AB19" s="1539">
        <v>1</v>
      </c>
      <c r="AC19" s="1539">
        <v>1</v>
      </c>
    </row>
    <row r="20" spans="1:29" ht="57">
      <c r="A20" s="364"/>
      <c r="B20" s="587" t="s">
        <v>2531</v>
      </c>
      <c r="C20" s="2088" t="str">
        <f>IF(B1="工业",估价对象房地状况!G7,估价对象房地状况!C9)</f>
        <v>区域自然环境：；人文环境；综合评价环境状况较好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401"/>
      <c r="Q20" s="1538" t="str">
        <f>B20</f>
        <v>自然及人文环境</v>
      </c>
      <c r="R20" s="714" t="s">
        <v>17</v>
      </c>
      <c r="S20" s="715">
        <f>F20</f>
        <v>100</v>
      </c>
      <c r="T20" s="714" t="s">
        <v>17</v>
      </c>
      <c r="U20" s="715">
        <f>H20</f>
        <v>100</v>
      </c>
      <c r="V20" s="714" t="s">
        <v>17</v>
      </c>
      <c r="W20" s="715">
        <f>J20</f>
        <v>100</v>
      </c>
      <c r="X20" s="1541"/>
      <c r="Y20" s="340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401"/>
      <c r="Q21" s="1538"/>
      <c r="R21" s="714"/>
      <c r="S21" s="715"/>
      <c r="T21" s="714"/>
      <c r="U21" s="715"/>
      <c r="V21" s="714"/>
      <c r="W21" s="715"/>
      <c r="X21" s="1541"/>
      <c r="Y21" s="340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401"/>
      <c r="Q22" s="1538" t="str">
        <f>B22</f>
        <v>楼层</v>
      </c>
      <c r="R22" s="714" t="s">
        <v>17</v>
      </c>
      <c r="S22" s="715">
        <f>F22</f>
        <v>100</v>
      </c>
      <c r="T22" s="714" t="s">
        <v>17</v>
      </c>
      <c r="U22" s="715">
        <f>H22</f>
        <v>100</v>
      </c>
      <c r="V22" s="714" t="s">
        <v>17</v>
      </c>
      <c r="W22" s="715">
        <f>J22</f>
        <v>100</v>
      </c>
      <c r="X22" s="1541"/>
      <c r="Y22" s="340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401"/>
      <c r="Q23" s="1538">
        <f>B23</f>
        <v>111</v>
      </c>
      <c r="R23" s="714" t="s">
        <v>17</v>
      </c>
      <c r="S23" s="715">
        <f>F23</f>
        <v>100</v>
      </c>
      <c r="T23" s="714" t="s">
        <v>17</v>
      </c>
      <c r="U23" s="715">
        <f>H23</f>
        <v>100</v>
      </c>
      <c r="V23" s="714" t="s">
        <v>17</v>
      </c>
      <c r="W23" s="715">
        <f>J23</f>
        <v>100</v>
      </c>
      <c r="X23" s="1541"/>
      <c r="Y23" s="340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401"/>
      <c r="Q24" s="1538">
        <f t="shared" ref="Q24:Q36" si="11">B24</f>
        <v>111</v>
      </c>
      <c r="R24" s="714" t="s">
        <v>17</v>
      </c>
      <c r="S24" s="715">
        <f>F24</f>
        <v>100</v>
      </c>
      <c r="T24" s="714" t="s">
        <v>17</v>
      </c>
      <c r="U24" s="715">
        <f>H24</f>
        <v>100</v>
      </c>
      <c r="V24" s="714" t="s">
        <v>17</v>
      </c>
      <c r="W24" s="715">
        <f>J24</f>
        <v>100</v>
      </c>
      <c r="X24" s="1541"/>
      <c r="Y24" s="340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401"/>
      <c r="Q25" s="1529">
        <f t="shared" si="11"/>
        <v>111</v>
      </c>
      <c r="R25" s="710" t="s">
        <v>17</v>
      </c>
      <c r="S25" s="711">
        <f>F25</f>
        <v>100</v>
      </c>
      <c r="T25" s="710" t="s">
        <v>17</v>
      </c>
      <c r="U25" s="711">
        <f>H25</f>
        <v>100</v>
      </c>
      <c r="V25" s="710" t="s">
        <v>17</v>
      </c>
      <c r="W25" s="711">
        <f>J25</f>
        <v>100</v>
      </c>
      <c r="X25" s="712"/>
      <c r="Y25" s="3401"/>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427"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40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405"/>
      <c r="Q27" s="716" t="str">
        <f t="shared" si="11"/>
        <v>项目停车位配比</v>
      </c>
      <c r="R27" s="717" t="s">
        <v>17</v>
      </c>
      <c r="S27" s="718">
        <f t="shared" si="12"/>
        <v>100</v>
      </c>
      <c r="T27" s="717" t="s">
        <v>17</v>
      </c>
      <c r="U27" s="718">
        <f t="shared" si="13"/>
        <v>100</v>
      </c>
      <c r="V27" s="717" t="s">
        <v>17</v>
      </c>
      <c r="W27" s="718">
        <f t="shared" si="14"/>
        <v>100</v>
      </c>
      <c r="X27" s="719"/>
      <c r="Y27" s="340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405"/>
      <c r="Q28" s="1538" t="str">
        <f t="shared" si="11"/>
        <v>公共部分装修</v>
      </c>
      <c r="R28" s="714" t="s">
        <v>17</v>
      </c>
      <c r="S28" s="715">
        <f t="shared" si="12"/>
        <v>100</v>
      </c>
      <c r="T28" s="714" t="s">
        <v>17</v>
      </c>
      <c r="U28" s="715">
        <f t="shared" si="13"/>
        <v>100</v>
      </c>
      <c r="V28" s="714" t="s">
        <v>17</v>
      </c>
      <c r="W28" s="715">
        <f t="shared" si="14"/>
        <v>100</v>
      </c>
      <c r="X28" s="1541"/>
      <c r="Y28" s="340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405"/>
      <c r="Q29" s="1538" t="str">
        <f t="shared" si="11"/>
        <v>成新率</v>
      </c>
      <c r="R29" s="714" t="s">
        <v>17</v>
      </c>
      <c r="S29" s="715" t="e">
        <f t="shared" si="12"/>
        <v>#N/A</v>
      </c>
      <c r="T29" s="714" t="s">
        <v>17</v>
      </c>
      <c r="U29" s="715" t="e">
        <f t="shared" si="13"/>
        <v>#N/A</v>
      </c>
      <c r="V29" s="714" t="s">
        <v>17</v>
      </c>
      <c r="W29" s="715" t="e">
        <f t="shared" si="14"/>
        <v>#N/A</v>
      </c>
      <c r="X29" s="1541"/>
      <c r="Y29" s="340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405"/>
      <c r="Q30" s="1538" t="str">
        <f t="shared" si="11"/>
        <v>物业等级</v>
      </c>
      <c r="R30" s="714" t="s">
        <v>17</v>
      </c>
      <c r="S30" s="715">
        <f t="shared" si="12"/>
        <v>100</v>
      </c>
      <c r="T30" s="714" t="s">
        <v>17</v>
      </c>
      <c r="U30" s="715">
        <f t="shared" si="13"/>
        <v>100</v>
      </c>
      <c r="V30" s="714" t="s">
        <v>17</v>
      </c>
      <c r="W30" s="715">
        <f t="shared" si="14"/>
        <v>100</v>
      </c>
      <c r="X30" s="1541"/>
      <c r="Y30" s="340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405"/>
      <c r="Q31" s="1529" t="str">
        <f t="shared" si="11"/>
        <v>停车位面积</v>
      </c>
      <c r="R31" s="710" t="s">
        <v>17</v>
      </c>
      <c r="S31" s="711" t="e">
        <f t="shared" si="12"/>
        <v>#N/A</v>
      </c>
      <c r="T31" s="710" t="s">
        <v>17</v>
      </c>
      <c r="U31" s="711" t="e">
        <f t="shared" si="13"/>
        <v>#N/A</v>
      </c>
      <c r="V31" s="710" t="s">
        <v>17</v>
      </c>
      <c r="W31" s="711" t="e">
        <f t="shared" si="14"/>
        <v>#N/A</v>
      </c>
      <c r="X31" s="712"/>
      <c r="Y31" s="340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405" t="s">
        <v>2386</v>
      </c>
      <c r="Q32" s="1538" t="str">
        <f t="shared" si="11"/>
        <v>车位类型</v>
      </c>
      <c r="R32" s="714" t="s">
        <v>17</v>
      </c>
      <c r="S32" s="715">
        <f t="shared" si="12"/>
        <v>100</v>
      </c>
      <c r="T32" s="714" t="s">
        <v>17</v>
      </c>
      <c r="U32" s="715">
        <f t="shared" si="13"/>
        <v>100</v>
      </c>
      <c r="V32" s="714" t="s">
        <v>17</v>
      </c>
      <c r="W32" s="715">
        <f t="shared" si="14"/>
        <v>100</v>
      </c>
      <c r="X32" s="1541"/>
      <c r="Y32" s="340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405"/>
      <c r="Q33" s="1538" t="str">
        <f t="shared" si="11"/>
        <v>是否直接入户</v>
      </c>
      <c r="R33" s="714" t="s">
        <v>17</v>
      </c>
      <c r="S33" s="715">
        <f t="shared" si="12"/>
        <v>100</v>
      </c>
      <c r="T33" s="714" t="s">
        <v>17</v>
      </c>
      <c r="U33" s="715">
        <f t="shared" si="13"/>
        <v>100</v>
      </c>
      <c r="V33" s="714" t="s">
        <v>17</v>
      </c>
      <c r="W33" s="715">
        <f t="shared" si="14"/>
        <v>100</v>
      </c>
      <c r="X33" s="1541"/>
      <c r="Y33" s="340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405"/>
      <c r="Q34" s="1538">
        <f t="shared" si="11"/>
        <v>111</v>
      </c>
      <c r="R34" s="714" t="s">
        <v>17</v>
      </c>
      <c r="S34" s="715">
        <f t="shared" si="12"/>
        <v>100</v>
      </c>
      <c r="T34" s="714" t="s">
        <v>17</v>
      </c>
      <c r="U34" s="715">
        <f t="shared" si="13"/>
        <v>100</v>
      </c>
      <c r="V34" s="714" t="s">
        <v>17</v>
      </c>
      <c r="W34" s="715">
        <f t="shared" si="14"/>
        <v>100</v>
      </c>
      <c r="X34" s="1541"/>
      <c r="Y34" s="340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405"/>
      <c r="Q35" s="716">
        <f t="shared" si="11"/>
        <v>111</v>
      </c>
      <c r="R35" s="717" t="s">
        <v>17</v>
      </c>
      <c r="S35" s="718">
        <f t="shared" si="12"/>
        <v>100</v>
      </c>
      <c r="T35" s="717" t="s">
        <v>17</v>
      </c>
      <c r="U35" s="718">
        <f t="shared" si="13"/>
        <v>100</v>
      </c>
      <c r="V35" s="717" t="s">
        <v>17</v>
      </c>
      <c r="W35" s="718">
        <f t="shared" si="14"/>
        <v>100</v>
      </c>
      <c r="X35" s="719"/>
      <c r="Y35" s="340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405"/>
      <c r="Q36" s="1538">
        <f t="shared" si="11"/>
        <v>111</v>
      </c>
      <c r="R36" s="714" t="s">
        <v>17</v>
      </c>
      <c r="S36" s="715">
        <f t="shared" si="12"/>
        <v>100</v>
      </c>
      <c r="T36" s="714" t="s">
        <v>17</v>
      </c>
      <c r="U36" s="715">
        <f t="shared" si="13"/>
        <v>100</v>
      </c>
      <c r="V36" s="714" t="s">
        <v>17</v>
      </c>
      <c r="W36" s="715">
        <f t="shared" si="14"/>
        <v>100</v>
      </c>
      <c r="X36" s="1541"/>
      <c r="Y36" s="340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4"/>
      <c r="M37" s="2955"/>
      <c r="N37" s="2946"/>
      <c r="O37" s="2955"/>
      <c r="P37" s="3398" t="str">
        <f>A37</f>
        <v>成交单价</v>
      </c>
      <c r="Q37" s="3398"/>
      <c r="R37" s="3399">
        <f>E37</f>
        <v>0</v>
      </c>
      <c r="S37" s="3399"/>
      <c r="T37" s="3399">
        <f>G37</f>
        <v>0</v>
      </c>
      <c r="U37" s="3399"/>
      <c r="V37" s="3399">
        <f>I37</f>
        <v>0</v>
      </c>
      <c r="W37" s="3399"/>
      <c r="X37" s="699"/>
      <c r="Y37" s="721"/>
      <c r="Z37" s="699"/>
      <c r="AA37" s="699"/>
      <c r="AB37" s="699"/>
      <c r="AC37" s="699"/>
    </row>
    <row r="38" spans="1:29" ht="15.75" thickBot="1">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4"/>
      <c r="M38" s="2955"/>
      <c r="N38" s="2955"/>
      <c r="O38" s="2955"/>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95" t="str">
        <f>A39</f>
        <v>估价对象XX用房的比较价值（楼面单价，元/平方米）</v>
      </c>
      <c r="Q39" s="3396"/>
      <c r="R39" s="3428" t="e">
        <f>IF(F1="售价",ROUND(IF(D38="简单平均",AVERAGE(R38:W38),R38*F38+T38*H38+V38*J38),0),ROUND(IF(D38="简单平均",AVERAGE(R38:V38),R38*F38+T38*H38+V38*J38),1))</f>
        <v>#DIV/0!</v>
      </c>
      <c r="S39" s="3428"/>
      <c r="T39" s="3428"/>
      <c r="U39" s="3428"/>
      <c r="V39" s="3428"/>
      <c r="W39" s="3428"/>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381" t="s">
        <v>2467</v>
      </c>
      <c r="D4" s="3382"/>
      <c r="E4" s="3383" t="s">
        <v>2468</v>
      </c>
      <c r="F4" s="3384"/>
      <c r="G4" s="3381" t="s">
        <v>2469</v>
      </c>
      <c r="H4" s="3382"/>
      <c r="I4" s="3381" t="s">
        <v>2470</v>
      </c>
      <c r="J4" s="3382"/>
      <c r="K4" s="567" t="s">
        <v>2471</v>
      </c>
      <c r="L4" s="2945"/>
      <c r="M4" s="2946"/>
      <c r="N4" s="2946"/>
      <c r="O4" s="2946"/>
      <c r="P4" s="3385" t="s">
        <v>2472</v>
      </c>
      <c r="Q4" s="3386"/>
      <c r="R4" s="3368" t="s">
        <v>2468</v>
      </c>
      <c r="S4" s="3369"/>
      <c r="T4" s="3368" t="s">
        <v>2469</v>
      </c>
      <c r="U4" s="3369"/>
      <c r="V4" s="3393" t="s">
        <v>2470</v>
      </c>
      <c r="W4" s="3393"/>
      <c r="X4" s="1541"/>
      <c r="Y4" s="3368" t="s">
        <v>2472</v>
      </c>
      <c r="Z4" s="3369"/>
      <c r="AA4" s="3363" t="s">
        <v>2468</v>
      </c>
      <c r="AB4" s="3364" t="s">
        <v>2469</v>
      </c>
      <c r="AC4" s="3363" t="s">
        <v>2470</v>
      </c>
    </row>
    <row r="5" spans="1:29" ht="15">
      <c r="A5" s="364"/>
      <c r="B5" s="365"/>
      <c r="C5" s="3374" t="s">
        <v>2363</v>
      </c>
      <c r="D5" s="3375"/>
      <c r="E5" s="3372" t="s">
        <v>2364</v>
      </c>
      <c r="F5" s="3373"/>
      <c r="G5" s="3374" t="s">
        <v>2365</v>
      </c>
      <c r="H5" s="3375"/>
      <c r="I5" s="3374" t="s">
        <v>2366</v>
      </c>
      <c r="J5" s="3375"/>
      <c r="K5" s="567"/>
      <c r="L5" s="2945"/>
      <c r="M5" s="2946"/>
      <c r="N5" s="2946"/>
      <c r="O5" s="2946"/>
      <c r="P5" s="3387"/>
      <c r="Q5" s="3388"/>
      <c r="R5" s="3370"/>
      <c r="S5" s="3371"/>
      <c r="T5" s="3370"/>
      <c r="U5" s="3371"/>
      <c r="V5" s="3393"/>
      <c r="W5" s="3393"/>
      <c r="X5" s="1541"/>
      <c r="Y5" s="3370"/>
      <c r="Z5" s="3371"/>
      <c r="AA5" s="3364"/>
      <c r="AB5" s="3364"/>
      <c r="AC5" s="3364"/>
    </row>
    <row r="6" spans="1:29" ht="15.75" thickBot="1">
      <c r="A6" s="366"/>
      <c r="B6" s="367"/>
      <c r="C6" s="3376" t="s">
        <v>2367</v>
      </c>
      <c r="D6" s="3377"/>
      <c r="E6" s="3378" t="s">
        <v>2367</v>
      </c>
      <c r="F6" s="3379"/>
      <c r="G6" s="3376" t="s">
        <v>2367</v>
      </c>
      <c r="H6" s="3377"/>
      <c r="I6" s="3376" t="s">
        <v>2367</v>
      </c>
      <c r="J6" s="3377"/>
      <c r="K6" s="567" t="s">
        <v>2368</v>
      </c>
      <c r="L6" s="2945"/>
      <c r="M6" s="2946"/>
      <c r="N6" s="2946"/>
      <c r="O6" s="2946"/>
      <c r="P6" s="3389"/>
      <c r="Q6" s="3390"/>
      <c r="R6" s="3370"/>
      <c r="S6" s="3371"/>
      <c r="T6" s="3391"/>
      <c r="U6" s="3392"/>
      <c r="V6" s="3393"/>
      <c r="W6" s="3393"/>
      <c r="X6" s="1541"/>
      <c r="Y6" s="3391"/>
      <c r="Z6" s="3392"/>
      <c r="AA6" s="3365"/>
      <c r="AB6" s="3365"/>
      <c r="AC6" s="3365"/>
    </row>
    <row r="7" spans="1:29" s="113" customFormat="1" ht="15.75" thickBot="1">
      <c r="A7" s="368" t="s">
        <v>2369</v>
      </c>
      <c r="B7" s="369"/>
      <c r="C7" s="370">
        <f>'数据-取费表'!B2</f>
        <v>44201</v>
      </c>
      <c r="D7" s="371">
        <v>100</v>
      </c>
      <c r="E7" s="372"/>
      <c r="F7" s="373">
        <f>SUMIF(46:46,YEAR(E7)&amp;"-"&amp;MONTH(E7),47:47)</f>
        <v>0</v>
      </c>
      <c r="G7" s="2162"/>
      <c r="H7" s="371">
        <f>SUMIF(46:46,YEAR(G7)&amp;"-"&amp;MONTH(G7),47:47)</f>
        <v>0</v>
      </c>
      <c r="I7" s="372"/>
      <c r="J7" s="371">
        <f>SUMIF(46:46,YEAR(I7)&amp;"-"&amp;MONTH(I7),47:47)</f>
        <v>0</v>
      </c>
      <c r="K7" s="568"/>
      <c r="L7" s="2947"/>
      <c r="M7" s="2948"/>
      <c r="N7" s="2948"/>
      <c r="O7" s="2948"/>
      <c r="P7" s="3366" t="s">
        <v>2370</v>
      </c>
      <c r="Q7" s="3394"/>
      <c r="R7" s="710" t="s">
        <v>17</v>
      </c>
      <c r="S7" s="711">
        <f t="shared" ref="S7:S14" si="0">F7</f>
        <v>0</v>
      </c>
      <c r="T7" s="710" t="s">
        <v>17</v>
      </c>
      <c r="U7" s="711">
        <f t="shared" ref="U7:U14" si="1">H7</f>
        <v>0</v>
      </c>
      <c r="V7" s="710" t="s">
        <v>17</v>
      </c>
      <c r="W7" s="711">
        <f t="shared" ref="W7:W14" si="2">J7</f>
        <v>0</v>
      </c>
      <c r="X7" s="712"/>
      <c r="Y7" s="3366" t="s">
        <v>2370</v>
      </c>
      <c r="Z7" s="336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66" t="s">
        <v>2373</v>
      </c>
      <c r="Q8" s="3367"/>
      <c r="R8" s="710" t="s">
        <v>17</v>
      </c>
      <c r="S8" s="711">
        <f t="shared" si="0"/>
        <v>0</v>
      </c>
      <c r="T8" s="710" t="s">
        <v>17</v>
      </c>
      <c r="U8" s="711">
        <f t="shared" si="1"/>
        <v>0</v>
      </c>
      <c r="V8" s="710" t="s">
        <v>17</v>
      </c>
      <c r="W8" s="711">
        <f t="shared" si="2"/>
        <v>0</v>
      </c>
      <c r="X8" s="712"/>
      <c r="Y8" s="3366" t="s">
        <v>2373</v>
      </c>
      <c r="Z8" s="336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98" t="s">
        <v>2376</v>
      </c>
      <c r="Q9" s="1529" t="str">
        <f t="shared" ref="Q9:Q14" si="6">B9</f>
        <v>用途</v>
      </c>
      <c r="R9" s="710" t="s">
        <v>17</v>
      </c>
      <c r="S9" s="711">
        <f t="shared" si="0"/>
        <v>100</v>
      </c>
      <c r="T9" s="710" t="s">
        <v>17</v>
      </c>
      <c r="U9" s="711">
        <f t="shared" si="1"/>
        <v>100</v>
      </c>
      <c r="V9" s="710" t="s">
        <v>17</v>
      </c>
      <c r="W9" s="711">
        <f t="shared" si="2"/>
        <v>100</v>
      </c>
      <c r="X9" s="712"/>
      <c r="Y9" s="330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98"/>
      <c r="Q10" s="1529"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98"/>
      <c r="Q11" s="1529">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98"/>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2"/>
      <c r="M13" s="2946"/>
      <c r="N13" s="2946"/>
      <c r="O13" s="3004"/>
      <c r="P13" s="3398"/>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400" t="s">
        <v>2381</v>
      </c>
      <c r="Q14" s="1538" t="str">
        <f t="shared" si="6"/>
        <v>交通便捷度</v>
      </c>
      <c r="R14" s="714" t="s">
        <v>17</v>
      </c>
      <c r="S14" s="715">
        <f t="shared" si="0"/>
        <v>100</v>
      </c>
      <c r="T14" s="714" t="s">
        <v>17</v>
      </c>
      <c r="U14" s="715">
        <f t="shared" si="1"/>
        <v>100</v>
      </c>
      <c r="V14" s="714" t="s">
        <v>17</v>
      </c>
      <c r="W14" s="715">
        <f t="shared" si="2"/>
        <v>100</v>
      </c>
      <c r="X14" s="1541"/>
      <c r="Y14" s="340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401"/>
      <c r="Q15" s="1538"/>
      <c r="R15" s="714"/>
      <c r="S15" s="715"/>
      <c r="T15" s="714"/>
      <c r="U15" s="715"/>
      <c r="V15" s="714"/>
      <c r="W15" s="715"/>
      <c r="X15" s="1541"/>
      <c r="Y15" s="3401"/>
      <c r="Z15" s="1542"/>
      <c r="AA15" s="1539">
        <v>1</v>
      </c>
      <c r="AB15" s="1539">
        <v>1</v>
      </c>
      <c r="AC15" s="1539">
        <v>1</v>
      </c>
    </row>
    <row r="16" spans="1:29" ht="42.75">
      <c r="A16" s="387"/>
      <c r="B16" s="410" t="s">
        <v>2509</v>
      </c>
      <c r="C16" s="2088" t="str">
        <f>IF(B1="工业",估价对象房地状况!G5,估价对象房地状况!C7)</f>
        <v>估价对象所在区域公共配套设施齐备</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401"/>
      <c r="Q16" s="1538" t="str">
        <f>B16</f>
        <v>公共配套设施</v>
      </c>
      <c r="R16" s="714" t="s">
        <v>17</v>
      </c>
      <c r="S16" s="715">
        <f>F16</f>
        <v>100</v>
      </c>
      <c r="T16" s="714" t="s">
        <v>17</v>
      </c>
      <c r="U16" s="715">
        <f>H16</f>
        <v>100</v>
      </c>
      <c r="V16" s="714" t="s">
        <v>17</v>
      </c>
      <c r="W16" s="715">
        <f>J16</f>
        <v>100</v>
      </c>
      <c r="X16" s="1541"/>
      <c r="Y16" s="340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2"/>
      <c r="M17" s="2946"/>
      <c r="N17" s="2946"/>
      <c r="O17" s="3004"/>
      <c r="P17" s="3401"/>
      <c r="Q17" s="1538"/>
      <c r="R17" s="714"/>
      <c r="S17" s="715"/>
      <c r="T17" s="714"/>
      <c r="U17" s="715"/>
      <c r="V17" s="714"/>
      <c r="W17" s="715"/>
      <c r="X17" s="1541"/>
      <c r="Y17" s="3401"/>
      <c r="Z17" s="1542"/>
      <c r="AA17" s="1539">
        <v>1</v>
      </c>
      <c r="AB17" s="1539">
        <v>1</v>
      </c>
      <c r="AC17" s="1539">
        <v>1</v>
      </c>
    </row>
    <row r="18" spans="1:29" ht="15">
      <c r="A18" s="387"/>
      <c r="B18" s="1293" t="s">
        <v>2510</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401"/>
      <c r="Q18" s="1538" t="str">
        <f>B18</f>
        <v>基础设施水平</v>
      </c>
      <c r="R18" s="714" t="s">
        <v>17</v>
      </c>
      <c r="S18" s="715">
        <f>F18</f>
        <v>100</v>
      </c>
      <c r="T18" s="714" t="s">
        <v>17</v>
      </c>
      <c r="U18" s="715">
        <f>H18</f>
        <v>100</v>
      </c>
      <c r="V18" s="714" t="s">
        <v>17</v>
      </c>
      <c r="W18" s="715">
        <f>J18</f>
        <v>100</v>
      </c>
      <c r="X18" s="1541"/>
      <c r="Y18" s="340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2"/>
      <c r="M19" s="2946"/>
      <c r="N19" s="2946"/>
      <c r="O19" s="3004"/>
      <c r="P19" s="3401"/>
      <c r="Q19" s="1538"/>
      <c r="R19" s="714"/>
      <c r="S19" s="715"/>
      <c r="T19" s="714"/>
      <c r="U19" s="715"/>
      <c r="V19" s="714"/>
      <c r="W19" s="715"/>
      <c r="X19" s="1541"/>
      <c r="Y19" s="3401"/>
      <c r="Z19" s="1542"/>
      <c r="AA19" s="1539">
        <v>1</v>
      </c>
      <c r="AB19" s="1539">
        <v>1</v>
      </c>
      <c r="AC19" s="1539">
        <v>1</v>
      </c>
    </row>
    <row r="20" spans="1:29" ht="57">
      <c r="A20" s="387"/>
      <c r="B20" s="410" t="s">
        <v>2531</v>
      </c>
      <c r="C20" s="2088" t="str">
        <f>IF(B1="工业",估价对象房地状况!G7,估价对象房地状况!C9)</f>
        <v>区域自然环境：；人文环境；综合评价环境状况较好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401"/>
      <c r="Q20" s="1538" t="str">
        <f>B20</f>
        <v>自然及人文环境</v>
      </c>
      <c r="R20" s="714" t="s">
        <v>17</v>
      </c>
      <c r="S20" s="715">
        <f>F20</f>
        <v>100</v>
      </c>
      <c r="T20" s="714" t="s">
        <v>17</v>
      </c>
      <c r="U20" s="715">
        <f>H20</f>
        <v>100</v>
      </c>
      <c r="V20" s="714" t="s">
        <v>17</v>
      </c>
      <c r="W20" s="715">
        <f>J20</f>
        <v>100</v>
      </c>
      <c r="X20" s="1541"/>
      <c r="Y20" s="340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401"/>
      <c r="Q21" s="1538"/>
      <c r="R21" s="714"/>
      <c r="S21" s="715"/>
      <c r="T21" s="714"/>
      <c r="U21" s="715"/>
      <c r="V21" s="714"/>
      <c r="W21" s="715"/>
      <c r="X21" s="1541"/>
      <c r="Y21" s="340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401"/>
      <c r="Q22" s="1538" t="str">
        <f>B22</f>
        <v>楼层</v>
      </c>
      <c r="R22" s="714" t="s">
        <v>17</v>
      </c>
      <c r="S22" s="715">
        <f>F22</f>
        <v>100</v>
      </c>
      <c r="T22" s="714" t="s">
        <v>17</v>
      </c>
      <c r="U22" s="715">
        <f>H22</f>
        <v>100</v>
      </c>
      <c r="V22" s="714" t="s">
        <v>17</v>
      </c>
      <c r="W22" s="715">
        <f>J22</f>
        <v>100</v>
      </c>
      <c r="X22" s="1541"/>
      <c r="Y22" s="340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401"/>
      <c r="Q23" s="1538">
        <f>B23</f>
        <v>111</v>
      </c>
      <c r="R23" s="714" t="s">
        <v>17</v>
      </c>
      <c r="S23" s="715">
        <f>F23</f>
        <v>100</v>
      </c>
      <c r="T23" s="714" t="s">
        <v>17</v>
      </c>
      <c r="U23" s="715">
        <f>H23</f>
        <v>100</v>
      </c>
      <c r="V23" s="714" t="s">
        <v>17</v>
      </c>
      <c r="W23" s="715">
        <f>J23</f>
        <v>100</v>
      </c>
      <c r="X23" s="1541"/>
      <c r="Y23" s="340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401"/>
      <c r="Q24" s="1538">
        <f t="shared" ref="Q24:Q34" si="11">B24</f>
        <v>111</v>
      </c>
      <c r="R24" s="714" t="s">
        <v>17</v>
      </c>
      <c r="S24" s="715">
        <f>F24</f>
        <v>100</v>
      </c>
      <c r="T24" s="714" t="s">
        <v>17</v>
      </c>
      <c r="U24" s="715">
        <f>H24</f>
        <v>100</v>
      </c>
      <c r="V24" s="714" t="s">
        <v>17</v>
      </c>
      <c r="W24" s="715">
        <f>J24</f>
        <v>100</v>
      </c>
      <c r="X24" s="1541"/>
      <c r="Y24" s="340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7"/>
      <c r="M25" s="2948"/>
      <c r="N25" s="2948"/>
      <c r="O25" s="3002"/>
      <c r="P25" s="3401"/>
      <c r="Q25" s="1529">
        <f t="shared" si="11"/>
        <v>111</v>
      </c>
      <c r="R25" s="710" t="s">
        <v>17</v>
      </c>
      <c r="S25" s="711">
        <f>F25</f>
        <v>100</v>
      </c>
      <c r="T25" s="710" t="s">
        <v>17</v>
      </c>
      <c r="U25" s="711">
        <f>H25</f>
        <v>100</v>
      </c>
      <c r="V25" s="710" t="s">
        <v>17</v>
      </c>
      <c r="W25" s="711">
        <f>J25</f>
        <v>100</v>
      </c>
      <c r="X25" s="712"/>
      <c r="Y25" s="3401"/>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2"/>
      <c r="M26" s="2946"/>
      <c r="N26" s="2946"/>
      <c r="O26" s="3004"/>
      <c r="P26" s="3427"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40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405"/>
      <c r="Q27" s="716" t="str">
        <f t="shared" si="11"/>
        <v>成新率</v>
      </c>
      <c r="R27" s="717" t="s">
        <v>17</v>
      </c>
      <c r="S27" s="718" t="e">
        <f t="shared" si="12"/>
        <v>#N/A</v>
      </c>
      <c r="T27" s="717" t="s">
        <v>17</v>
      </c>
      <c r="U27" s="718" t="e">
        <f t="shared" si="13"/>
        <v>#N/A</v>
      </c>
      <c r="V27" s="717" t="s">
        <v>17</v>
      </c>
      <c r="W27" s="718" t="e">
        <f t="shared" si="14"/>
        <v>#N/A</v>
      </c>
      <c r="X27" s="719"/>
      <c r="Y27" s="340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405"/>
      <c r="Q28" s="1538" t="str">
        <f t="shared" si="11"/>
        <v>物业等级</v>
      </c>
      <c r="R28" s="714" t="s">
        <v>17</v>
      </c>
      <c r="S28" s="715">
        <f t="shared" si="12"/>
        <v>100</v>
      </c>
      <c r="T28" s="714" t="s">
        <v>17</v>
      </c>
      <c r="U28" s="715">
        <f t="shared" si="13"/>
        <v>100</v>
      </c>
      <c r="V28" s="714" t="s">
        <v>17</v>
      </c>
      <c r="W28" s="715">
        <f t="shared" si="14"/>
        <v>100</v>
      </c>
      <c r="X28" s="1541"/>
      <c r="Y28" s="340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405"/>
      <c r="Q29" s="1538" t="str">
        <f t="shared" si="11"/>
        <v>有无电梯</v>
      </c>
      <c r="R29" s="714" t="s">
        <v>17</v>
      </c>
      <c r="S29" s="715">
        <f t="shared" si="12"/>
        <v>100</v>
      </c>
      <c r="T29" s="714" t="s">
        <v>17</v>
      </c>
      <c r="U29" s="715">
        <f t="shared" si="13"/>
        <v>100</v>
      </c>
      <c r="V29" s="714" t="s">
        <v>17</v>
      </c>
      <c r="W29" s="715">
        <f t="shared" si="14"/>
        <v>100</v>
      </c>
      <c r="X29" s="1541"/>
      <c r="Y29" s="340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405"/>
      <c r="Q30" s="1538" t="str">
        <f t="shared" si="11"/>
        <v>建筑面积</v>
      </c>
      <c r="R30" s="714" t="s">
        <v>17</v>
      </c>
      <c r="S30" s="715" t="e">
        <f t="shared" si="12"/>
        <v>#N/A</v>
      </c>
      <c r="T30" s="714" t="s">
        <v>17</v>
      </c>
      <c r="U30" s="715" t="e">
        <f t="shared" si="13"/>
        <v>#N/A</v>
      </c>
      <c r="V30" s="714" t="s">
        <v>17</v>
      </c>
      <c r="W30" s="715" t="e">
        <f t="shared" si="14"/>
        <v>#N/A</v>
      </c>
      <c r="X30" s="1541"/>
      <c r="Y30" s="340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405"/>
      <c r="Q31" s="1529" t="str">
        <f t="shared" si="11"/>
        <v>是否封闭</v>
      </c>
      <c r="R31" s="710" t="s">
        <v>17</v>
      </c>
      <c r="S31" s="711">
        <f t="shared" si="12"/>
        <v>100</v>
      </c>
      <c r="T31" s="710" t="s">
        <v>17</v>
      </c>
      <c r="U31" s="711">
        <f t="shared" si="13"/>
        <v>100</v>
      </c>
      <c r="V31" s="710" t="s">
        <v>17</v>
      </c>
      <c r="W31" s="711">
        <f t="shared" si="14"/>
        <v>100</v>
      </c>
      <c r="X31" s="712"/>
      <c r="Y31" s="340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405" t="s">
        <v>2386</v>
      </c>
      <c r="Q32" s="1538">
        <f t="shared" si="11"/>
        <v>111</v>
      </c>
      <c r="R32" s="714" t="s">
        <v>17</v>
      </c>
      <c r="S32" s="715">
        <f t="shared" si="12"/>
        <v>100</v>
      </c>
      <c r="T32" s="714" t="s">
        <v>17</v>
      </c>
      <c r="U32" s="715">
        <f t="shared" si="13"/>
        <v>100</v>
      </c>
      <c r="V32" s="714" t="s">
        <v>17</v>
      </c>
      <c r="W32" s="715">
        <f t="shared" si="14"/>
        <v>100</v>
      </c>
      <c r="X32" s="1541"/>
      <c r="Y32" s="340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405"/>
      <c r="Q33" s="1538">
        <f t="shared" si="11"/>
        <v>111</v>
      </c>
      <c r="R33" s="714" t="s">
        <v>17</v>
      </c>
      <c r="S33" s="715">
        <f t="shared" si="12"/>
        <v>100</v>
      </c>
      <c r="T33" s="714" t="s">
        <v>17</v>
      </c>
      <c r="U33" s="715">
        <f t="shared" si="13"/>
        <v>100</v>
      </c>
      <c r="V33" s="714" t="s">
        <v>17</v>
      </c>
      <c r="W33" s="715">
        <f t="shared" si="14"/>
        <v>100</v>
      </c>
      <c r="X33" s="1541"/>
      <c r="Y33" s="340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2"/>
      <c r="M34" s="2946"/>
      <c r="N34" s="2946"/>
      <c r="O34" s="3004"/>
      <c r="P34" s="3405"/>
      <c r="Q34" s="1538">
        <f t="shared" si="11"/>
        <v>111</v>
      </c>
      <c r="R34" s="714" t="s">
        <v>17</v>
      </c>
      <c r="S34" s="715">
        <f t="shared" si="12"/>
        <v>100</v>
      </c>
      <c r="T34" s="714" t="s">
        <v>17</v>
      </c>
      <c r="U34" s="715">
        <f t="shared" si="13"/>
        <v>100</v>
      </c>
      <c r="V34" s="714" t="s">
        <v>17</v>
      </c>
      <c r="W34" s="715">
        <f t="shared" si="14"/>
        <v>100</v>
      </c>
      <c r="X34" s="1541"/>
      <c r="Y34" s="340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4"/>
      <c r="M35" s="2955"/>
      <c r="N35" s="2946"/>
      <c r="O35" s="2955"/>
      <c r="P35" s="3398" t="str">
        <f>A35</f>
        <v>成交单价（元/平方米）</v>
      </c>
      <c r="Q35" s="3398"/>
      <c r="R35" s="3399">
        <f>E35</f>
        <v>0</v>
      </c>
      <c r="S35" s="3399"/>
      <c r="T35" s="3399">
        <f>G35</f>
        <v>0</v>
      </c>
      <c r="U35" s="3399"/>
      <c r="V35" s="3399">
        <f>I35</f>
        <v>0</v>
      </c>
      <c r="W35" s="3399"/>
      <c r="X35" s="699"/>
      <c r="Y35" s="721"/>
      <c r="Z35" s="699"/>
      <c r="AA35" s="699"/>
      <c r="AB35" s="699"/>
      <c r="AC35" s="699"/>
    </row>
    <row r="36" spans="1:30" ht="15.75" thickBot="1">
      <c r="A36" s="445" t="s">
        <v>2490</v>
      </c>
      <c r="B36" s="446"/>
      <c r="C36" s="1322" t="e">
        <f>R37</f>
        <v>#DIV/0!</v>
      </c>
      <c r="D36" s="2540" t="s">
        <v>2879</v>
      </c>
      <c r="E36" s="1323" t="e">
        <f>R36</f>
        <v>#DIV/0!</v>
      </c>
      <c r="F36" s="2541"/>
      <c r="G36" s="1322" t="e">
        <f>T36</f>
        <v>#DIV/0!</v>
      </c>
      <c r="H36" s="2541"/>
      <c r="I36" s="1323" t="e">
        <f>V36</f>
        <v>#DIV/0!</v>
      </c>
      <c r="J36" s="2541"/>
      <c r="K36" s="2543">
        <f>F36+H36+J36</f>
        <v>0</v>
      </c>
      <c r="L36" s="2954"/>
      <c r="M36" s="2955"/>
      <c r="N36" s="2946"/>
      <c r="O36" s="2955"/>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95" t="str">
        <f>A37</f>
        <v>估价对象XX用房的比较价值（楼面单价，元/平方米）</v>
      </c>
      <c r="Q37" s="3396"/>
      <c r="R37" s="3428" t="e">
        <f>IF(F1="售价",ROUND(IF(D36="简单平均",AVERAGE(R36:W36),R36*F36+T36*H36+V36*J36),0),ROUND(IF(D36="简单平均",AVERAGE(R36:V36),R36*F36+T36*H36+V36*J36),1))</f>
        <v>#DIV/0!</v>
      </c>
      <c r="S37" s="3428"/>
      <c r="T37" s="3428"/>
      <c r="U37" s="3428"/>
      <c r="V37" s="3428"/>
      <c r="W37" s="3428"/>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381" t="s">
        <v>2467</v>
      </c>
      <c r="D4" s="3382"/>
      <c r="E4" s="3383" t="s">
        <v>2468</v>
      </c>
      <c r="F4" s="3384"/>
      <c r="G4" s="3381" t="s">
        <v>2469</v>
      </c>
      <c r="H4" s="3382"/>
      <c r="I4" s="3381" t="s">
        <v>2470</v>
      </c>
      <c r="J4" s="3382"/>
      <c r="K4" s="567" t="s">
        <v>2471</v>
      </c>
      <c r="L4" s="2945"/>
      <c r="M4" s="2946"/>
      <c r="N4" s="2946"/>
      <c r="O4" s="2946"/>
      <c r="P4" s="3385" t="s">
        <v>2472</v>
      </c>
      <c r="Q4" s="3386"/>
      <c r="R4" s="3368" t="s">
        <v>2468</v>
      </c>
      <c r="S4" s="3369"/>
      <c r="T4" s="3368" t="s">
        <v>2469</v>
      </c>
      <c r="U4" s="3369"/>
      <c r="V4" s="3393" t="s">
        <v>2470</v>
      </c>
      <c r="W4" s="3393"/>
      <c r="X4" s="1541"/>
      <c r="Y4" s="3368" t="s">
        <v>2472</v>
      </c>
      <c r="Z4" s="3369"/>
      <c r="AA4" s="3363" t="s">
        <v>2468</v>
      </c>
      <c r="AB4" s="3364" t="s">
        <v>2469</v>
      </c>
      <c r="AC4" s="3363" t="s">
        <v>2470</v>
      </c>
    </row>
    <row r="5" spans="1:30" ht="15">
      <c r="A5" s="364"/>
      <c r="B5" s="365"/>
      <c r="C5" s="3374" t="s">
        <v>2363</v>
      </c>
      <c r="D5" s="3375"/>
      <c r="E5" s="3372" t="s">
        <v>2364</v>
      </c>
      <c r="F5" s="3373"/>
      <c r="G5" s="3374" t="s">
        <v>2365</v>
      </c>
      <c r="H5" s="3375"/>
      <c r="I5" s="3374" t="s">
        <v>2366</v>
      </c>
      <c r="J5" s="3375"/>
      <c r="K5" s="567"/>
      <c r="L5" s="2945"/>
      <c r="M5" s="2946"/>
      <c r="N5" s="2946"/>
      <c r="O5" s="2946"/>
      <c r="P5" s="3387"/>
      <c r="Q5" s="3388"/>
      <c r="R5" s="3370"/>
      <c r="S5" s="3371"/>
      <c r="T5" s="3370"/>
      <c r="U5" s="3371"/>
      <c r="V5" s="3393"/>
      <c r="W5" s="3393"/>
      <c r="X5" s="1541"/>
      <c r="Y5" s="3370"/>
      <c r="Z5" s="3371"/>
      <c r="AA5" s="3364"/>
      <c r="AB5" s="3364"/>
      <c r="AC5" s="3364"/>
    </row>
    <row r="6" spans="1:30" ht="15.75" thickBot="1">
      <c r="A6" s="366"/>
      <c r="B6" s="367"/>
      <c r="C6" s="3376" t="s">
        <v>2367</v>
      </c>
      <c r="D6" s="3377"/>
      <c r="E6" s="3378" t="s">
        <v>2367</v>
      </c>
      <c r="F6" s="3379"/>
      <c r="G6" s="3376" t="s">
        <v>2367</v>
      </c>
      <c r="H6" s="3377"/>
      <c r="I6" s="3376" t="s">
        <v>2367</v>
      </c>
      <c r="J6" s="3377"/>
      <c r="K6" s="567" t="s">
        <v>2368</v>
      </c>
      <c r="L6" s="2945"/>
      <c r="M6" s="2946"/>
      <c r="N6" s="2946"/>
      <c r="O6" s="2946"/>
      <c r="P6" s="3389"/>
      <c r="Q6" s="3390"/>
      <c r="R6" s="3370"/>
      <c r="S6" s="3371"/>
      <c r="T6" s="3391"/>
      <c r="U6" s="3392"/>
      <c r="V6" s="3393"/>
      <c r="W6" s="3393"/>
      <c r="X6" s="1541"/>
      <c r="Y6" s="3391"/>
      <c r="Z6" s="3392"/>
      <c r="AA6" s="3365"/>
      <c r="AB6" s="3365"/>
      <c r="AC6" s="3365"/>
    </row>
    <row r="7" spans="1:30" s="113" customFormat="1" ht="15.75" thickBot="1">
      <c r="A7" s="368" t="s">
        <v>2369</v>
      </c>
      <c r="B7" s="369"/>
      <c r="C7" s="370">
        <f>'数据-取费表'!B2</f>
        <v>44201</v>
      </c>
      <c r="D7" s="371">
        <v>100</v>
      </c>
      <c r="E7" s="372"/>
      <c r="F7" s="373">
        <f>SUMIF(70:70,YEAR(E7)&amp;"-"&amp;INT((MONTH(E7)+2)/3),71:71)</f>
        <v>0</v>
      </c>
      <c r="G7" s="2162"/>
      <c r="H7" s="371">
        <f>SUMIF(70:70,YEAR(G7)&amp;"-"&amp;INT((MONTH(G7)+2)/3),71:71)</f>
        <v>0</v>
      </c>
      <c r="I7" s="2162"/>
      <c r="J7" s="371">
        <f>SUMIF(70:70,YEAR(I7)&amp;"-"&amp;INT((MONTH(I7)+2)/3),71:71)</f>
        <v>0</v>
      </c>
      <c r="K7" s="568"/>
      <c r="L7" s="2947"/>
      <c r="M7" s="2948"/>
      <c r="N7" s="2948"/>
      <c r="O7" s="2948"/>
      <c r="P7" s="3366" t="s">
        <v>2370</v>
      </c>
      <c r="Q7" s="3394"/>
      <c r="R7" s="710" t="s">
        <v>17</v>
      </c>
      <c r="S7" s="711">
        <f t="shared" ref="S7:S15" si="0">F7</f>
        <v>0</v>
      </c>
      <c r="T7" s="710" t="s">
        <v>17</v>
      </c>
      <c r="U7" s="711">
        <f t="shared" ref="U7:U15" si="1">H7</f>
        <v>0</v>
      </c>
      <c r="V7" s="710" t="s">
        <v>17</v>
      </c>
      <c r="W7" s="711">
        <f t="shared" ref="W7:W15" si="2">J7</f>
        <v>0</v>
      </c>
      <c r="X7" s="712"/>
      <c r="Y7" s="3366" t="s">
        <v>2370</v>
      </c>
      <c r="Z7" s="336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66" t="s">
        <v>2373</v>
      </c>
      <c r="Q8" s="3367"/>
      <c r="R8" s="710" t="s">
        <v>17</v>
      </c>
      <c r="S8" s="711">
        <f t="shared" si="0"/>
        <v>0</v>
      </c>
      <c r="T8" s="710" t="s">
        <v>17</v>
      </c>
      <c r="U8" s="711">
        <f t="shared" si="1"/>
        <v>0</v>
      </c>
      <c r="V8" s="710" t="s">
        <v>17</v>
      </c>
      <c r="W8" s="711">
        <f t="shared" si="2"/>
        <v>0</v>
      </c>
      <c r="X8" s="712"/>
      <c r="Y8" s="3366" t="s">
        <v>2373</v>
      </c>
      <c r="Z8" s="3367"/>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7"/>
      <c r="M9" s="2948"/>
      <c r="N9" s="2948"/>
      <c r="O9" s="3002"/>
      <c r="P9" s="3398"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t="e">
        <f>ROUND(100/'数据-取费表'!G16,0)</f>
        <v>#DIV/0!</v>
      </c>
      <c r="G10" s="422"/>
      <c r="H10" s="132" t="e">
        <f>ROUND(100/'数据-取费表'!G16,0)</f>
        <v>#DIV/0!</v>
      </c>
      <c r="I10" s="422"/>
      <c r="J10" s="132" t="e">
        <f>ROUND(100/'数据-取费表'!G16,0)</f>
        <v>#DIV/0!</v>
      </c>
      <c r="K10" s="628"/>
      <c r="L10" s="2949"/>
      <c r="M10" s="2950"/>
      <c r="N10" s="2950"/>
      <c r="O10" s="3003"/>
      <c r="P10" s="3398"/>
      <c r="Q10" s="1529" t="str">
        <f t="shared" si="6"/>
        <v>土地使用年限（年）</v>
      </c>
      <c r="R10" s="710" t="s">
        <v>17</v>
      </c>
      <c r="S10" s="711" t="e">
        <f t="shared" si="0"/>
        <v>#DIV/0!</v>
      </c>
      <c r="T10" s="710" t="s">
        <v>17</v>
      </c>
      <c r="U10" s="711" t="e">
        <f t="shared" si="1"/>
        <v>#DIV/0!</v>
      </c>
      <c r="V10" s="710" t="s">
        <v>17</v>
      </c>
      <c r="W10" s="711" t="e">
        <f t="shared" si="2"/>
        <v>#DIV/0!</v>
      </c>
      <c r="X10" s="712"/>
      <c r="Y10" s="3308"/>
      <c r="Z10" s="55" t="str">
        <f t="shared" si="7"/>
        <v>土地使用年限（年）</v>
      </c>
      <c r="AA10" s="713" t="e">
        <f t="shared" si="3"/>
        <v>#DIV/0!</v>
      </c>
      <c r="AB10" s="713" t="e">
        <f t="shared" si="4"/>
        <v>#DIV/0!</v>
      </c>
      <c r="AC10" s="713" t="e">
        <f t="shared" si="5"/>
        <v>#DIV/0!</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98"/>
      <c r="Q11" s="1529"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98"/>
      <c r="Q12" s="1529" t="str">
        <f t="shared" si="6"/>
        <v>配建</v>
      </c>
      <c r="R12" s="710" t="s">
        <v>17</v>
      </c>
      <c r="S12" s="711">
        <f t="shared" si="0"/>
        <v>100</v>
      </c>
      <c r="T12" s="710" t="s">
        <v>17</v>
      </c>
      <c r="U12" s="711">
        <f t="shared" si="1"/>
        <v>100</v>
      </c>
      <c r="V12" s="710" t="s">
        <v>17</v>
      </c>
      <c r="W12" s="711">
        <f t="shared" si="2"/>
        <v>100</v>
      </c>
      <c r="X12" s="712"/>
      <c r="Y12" s="330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98"/>
      <c r="Q13" s="1529">
        <f t="shared" si="6"/>
        <v>111</v>
      </c>
      <c r="R13" s="710" t="s">
        <v>17</v>
      </c>
      <c r="S13" s="711">
        <f t="shared" si="0"/>
        <v>100</v>
      </c>
      <c r="T13" s="710" t="s">
        <v>17</v>
      </c>
      <c r="U13" s="711">
        <f t="shared" si="1"/>
        <v>100</v>
      </c>
      <c r="V13" s="710" t="s">
        <v>17</v>
      </c>
      <c r="W13" s="711">
        <f t="shared" si="2"/>
        <v>100</v>
      </c>
      <c r="X13" s="712"/>
      <c r="Y13" s="330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98"/>
      <c r="Q14" s="1529">
        <f t="shared" si="6"/>
        <v>111</v>
      </c>
      <c r="R14" s="710" t="s">
        <v>17</v>
      </c>
      <c r="S14" s="711">
        <f t="shared" si="0"/>
        <v>100</v>
      </c>
      <c r="T14" s="710" t="s">
        <v>17</v>
      </c>
      <c r="U14" s="711">
        <f t="shared" si="1"/>
        <v>100</v>
      </c>
      <c r="V14" s="710" t="s">
        <v>17</v>
      </c>
      <c r="W14" s="711">
        <f t="shared" si="2"/>
        <v>100</v>
      </c>
      <c r="X14" s="712"/>
      <c r="Y14" s="3308"/>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400" t="s">
        <v>2381</v>
      </c>
      <c r="Q15" s="1538" t="str">
        <f t="shared" si="6"/>
        <v>居住社区成熟度</v>
      </c>
      <c r="R15" s="714" t="s">
        <v>17</v>
      </c>
      <c r="S15" s="715">
        <f t="shared" si="0"/>
        <v>100</v>
      </c>
      <c r="T15" s="714" t="s">
        <v>17</v>
      </c>
      <c r="U15" s="715">
        <f t="shared" si="1"/>
        <v>100</v>
      </c>
      <c r="V15" s="714" t="s">
        <v>17</v>
      </c>
      <c r="W15" s="715">
        <f t="shared" si="2"/>
        <v>100</v>
      </c>
      <c r="X15" s="1541"/>
      <c r="Y15" s="340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2"/>
      <c r="M16" s="2946"/>
      <c r="N16" s="2946"/>
      <c r="O16" s="3004"/>
      <c r="P16" s="3401"/>
      <c r="Q16" s="1538"/>
      <c r="R16" s="714"/>
      <c r="S16" s="715"/>
      <c r="T16" s="714"/>
      <c r="U16" s="715"/>
      <c r="V16" s="714"/>
      <c r="W16" s="715"/>
      <c r="X16" s="1541"/>
      <c r="Y16" s="3401"/>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401"/>
      <c r="Q17" s="1538" t="str">
        <f>B17</f>
        <v>商业繁华度</v>
      </c>
      <c r="R17" s="714" t="s">
        <v>17</v>
      </c>
      <c r="S17" s="715">
        <f>F17</f>
        <v>100</v>
      </c>
      <c r="T17" s="714" t="s">
        <v>17</v>
      </c>
      <c r="U17" s="715">
        <f>H17</f>
        <v>100</v>
      </c>
      <c r="V17" s="714" t="s">
        <v>17</v>
      </c>
      <c r="W17" s="715">
        <f>J17</f>
        <v>100</v>
      </c>
      <c r="X17" s="1541"/>
      <c r="Y17" s="340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2"/>
      <c r="M18" s="2946"/>
      <c r="N18" s="2946"/>
      <c r="O18" s="3004"/>
      <c r="P18" s="3401"/>
      <c r="Q18" s="1538"/>
      <c r="R18" s="714"/>
      <c r="S18" s="715"/>
      <c r="T18" s="714"/>
      <c r="U18" s="715"/>
      <c r="V18" s="714"/>
      <c r="W18" s="715"/>
      <c r="X18" s="1541"/>
      <c r="Y18" s="3401"/>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401"/>
      <c r="Q19" s="1538" t="str">
        <f>B19</f>
        <v>办公集聚程度</v>
      </c>
      <c r="R19" s="714" t="s">
        <v>17</v>
      </c>
      <c r="S19" s="715">
        <f>F19</f>
        <v>100</v>
      </c>
      <c r="T19" s="714" t="s">
        <v>17</v>
      </c>
      <c r="U19" s="715">
        <f>H19</f>
        <v>100</v>
      </c>
      <c r="V19" s="714" t="s">
        <v>17</v>
      </c>
      <c r="W19" s="715">
        <f>J19</f>
        <v>100</v>
      </c>
      <c r="X19" s="1541"/>
      <c r="Y19" s="340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2"/>
      <c r="M20" s="2946"/>
      <c r="N20" s="2946"/>
      <c r="O20" s="3004"/>
      <c r="P20" s="3401"/>
      <c r="Q20" s="1538"/>
      <c r="R20" s="714"/>
      <c r="S20" s="715"/>
      <c r="T20" s="714"/>
      <c r="U20" s="715"/>
      <c r="V20" s="714"/>
      <c r="W20" s="715"/>
      <c r="X20" s="1541"/>
      <c r="Y20" s="3401"/>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401"/>
      <c r="Q21" s="1538" t="str">
        <f>B21</f>
        <v>交通便捷度</v>
      </c>
      <c r="R21" s="714" t="s">
        <v>17</v>
      </c>
      <c r="S21" s="715">
        <f>F21</f>
        <v>100</v>
      </c>
      <c r="T21" s="714" t="s">
        <v>17</v>
      </c>
      <c r="U21" s="715">
        <f>H21</f>
        <v>100</v>
      </c>
      <c r="V21" s="714" t="s">
        <v>17</v>
      </c>
      <c r="W21" s="715">
        <f>J21</f>
        <v>100</v>
      </c>
      <c r="X21" s="1541"/>
      <c r="Y21" s="340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2"/>
      <c r="M22" s="2946"/>
      <c r="N22" s="2946"/>
      <c r="O22" s="3004"/>
      <c r="P22" s="3401"/>
      <c r="Q22" s="1538"/>
      <c r="R22" s="714"/>
      <c r="S22" s="715"/>
      <c r="T22" s="714"/>
      <c r="U22" s="715"/>
      <c r="V22" s="714"/>
      <c r="W22" s="715"/>
      <c r="X22" s="1541"/>
      <c r="Y22" s="340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401"/>
      <c r="Q23" s="1538" t="str">
        <f t="shared" ref="Q23:Q37" si="8">B23</f>
        <v>区域土地利用方向</v>
      </c>
      <c r="R23" s="714" t="s">
        <v>17</v>
      </c>
      <c r="S23" s="715">
        <f>F23</f>
        <v>100</v>
      </c>
      <c r="T23" s="714" t="s">
        <v>17</v>
      </c>
      <c r="U23" s="715">
        <f>H23</f>
        <v>100</v>
      </c>
      <c r="V23" s="714" t="s">
        <v>17</v>
      </c>
      <c r="W23" s="715">
        <f>J23</f>
        <v>100</v>
      </c>
      <c r="X23" s="1541"/>
      <c r="Y23" s="340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2"/>
      <c r="M24" s="2946"/>
      <c r="N24" s="2946"/>
      <c r="O24" s="3004"/>
      <c r="P24" s="3401"/>
      <c r="Q24" s="1538"/>
      <c r="R24" s="714"/>
      <c r="S24" s="715"/>
      <c r="T24" s="714"/>
      <c r="U24" s="715"/>
      <c r="V24" s="714"/>
      <c r="W24" s="715"/>
      <c r="X24" s="1541"/>
      <c r="Y24" s="3401"/>
      <c r="Z24" s="1542"/>
      <c r="AA24" s="1539"/>
      <c r="AB24" s="1539"/>
      <c r="AC24" s="1539"/>
    </row>
    <row r="25" spans="1:29" ht="57">
      <c r="A25" s="364"/>
      <c r="B25" s="1293" t="s">
        <v>2570</v>
      </c>
      <c r="C25" s="2143" t="str">
        <f>估价对象房地状况!C20</f>
        <v>区域自然环境：；人文环境；综合评价环境状况较好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401"/>
      <c r="Q25" s="1538" t="str">
        <f t="shared" si="8"/>
        <v>自然及人文环境状况</v>
      </c>
      <c r="R25" s="714" t="s">
        <v>17</v>
      </c>
      <c r="S25" s="715">
        <f>F25</f>
        <v>100</v>
      </c>
      <c r="T25" s="714" t="s">
        <v>17</v>
      </c>
      <c r="U25" s="715">
        <f>H25</f>
        <v>100</v>
      </c>
      <c r="V25" s="714" t="s">
        <v>17</v>
      </c>
      <c r="W25" s="715">
        <f>J25</f>
        <v>100</v>
      </c>
      <c r="X25" s="1541"/>
      <c r="Y25" s="340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2"/>
      <c r="M26" s="2946"/>
      <c r="N26" s="2946"/>
      <c r="O26" s="3004"/>
      <c r="P26" s="3401"/>
      <c r="Q26" s="1538"/>
      <c r="R26" s="714"/>
      <c r="S26" s="715"/>
      <c r="T26" s="714"/>
      <c r="U26" s="715"/>
      <c r="V26" s="714"/>
      <c r="W26" s="715"/>
      <c r="X26" s="1541"/>
      <c r="Y26" s="3401"/>
      <c r="Z26" s="1542"/>
      <c r="AA26" s="1539">
        <v>1</v>
      </c>
      <c r="AB26" s="1539">
        <v>1</v>
      </c>
      <c r="AC26" s="1539">
        <v>1</v>
      </c>
    </row>
    <row r="27" spans="1:29" s="113" customFormat="1" ht="42.75">
      <c r="A27" s="605"/>
      <c r="B27" s="1293" t="s">
        <v>2475</v>
      </c>
      <c r="C27" s="2088" t="str">
        <f>估价对象房地状况!C21</f>
        <v>估价对象所在区域公共配套设施齐备</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401"/>
      <c r="Q27" s="1529" t="str">
        <f t="shared" si="8"/>
        <v>公共配套设施</v>
      </c>
      <c r="R27" s="710" t="s">
        <v>17</v>
      </c>
      <c r="S27" s="711">
        <f>F27</f>
        <v>100</v>
      </c>
      <c r="T27" s="710" t="s">
        <v>17</v>
      </c>
      <c r="U27" s="711">
        <f>H27</f>
        <v>100</v>
      </c>
      <c r="V27" s="710" t="s">
        <v>17</v>
      </c>
      <c r="W27" s="711">
        <f>J27</f>
        <v>100</v>
      </c>
      <c r="X27" s="712"/>
      <c r="Y27" s="340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7"/>
      <c r="M28" s="2948"/>
      <c r="N28" s="2948"/>
      <c r="O28" s="3002"/>
      <c r="P28" s="3401"/>
      <c r="Q28" s="1529"/>
      <c r="R28" s="710"/>
      <c r="S28" s="711"/>
      <c r="T28" s="710"/>
      <c r="U28" s="711"/>
      <c r="V28" s="710"/>
      <c r="W28" s="711"/>
      <c r="X28" s="712"/>
      <c r="Y28" s="3401"/>
      <c r="Z28" s="55"/>
      <c r="AA28" s="1539">
        <v>1</v>
      </c>
      <c r="AB28" s="1539">
        <v>1</v>
      </c>
      <c r="AC28" s="1539">
        <v>1</v>
      </c>
    </row>
    <row r="29" spans="1:29" s="113" customFormat="1" ht="15">
      <c r="A29" s="605"/>
      <c r="B29" s="1293" t="s">
        <v>2476</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401"/>
      <c r="Q29" s="1529" t="str">
        <f t="shared" ref="Q29" si="9">B29</f>
        <v>基础设施水平</v>
      </c>
      <c r="R29" s="710" t="s">
        <v>17</v>
      </c>
      <c r="S29" s="711">
        <f>F29</f>
        <v>100</v>
      </c>
      <c r="T29" s="710" t="s">
        <v>17</v>
      </c>
      <c r="U29" s="711">
        <f>H29</f>
        <v>100</v>
      </c>
      <c r="V29" s="710" t="s">
        <v>17</v>
      </c>
      <c r="W29" s="711">
        <f>J29</f>
        <v>100</v>
      </c>
      <c r="X29" s="712"/>
      <c r="Y29" s="340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7"/>
      <c r="M30" s="2948"/>
      <c r="N30" s="2948"/>
      <c r="O30" s="3002"/>
      <c r="P30" s="3401"/>
      <c r="Q30" s="1529"/>
      <c r="R30" s="710"/>
      <c r="S30" s="711"/>
      <c r="T30" s="710"/>
      <c r="U30" s="711"/>
      <c r="V30" s="710"/>
      <c r="W30" s="711"/>
      <c r="X30" s="712"/>
      <c r="Y30" s="340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40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40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401"/>
      <c r="Q32" s="1538" t="str">
        <f t="shared" si="8"/>
        <v>毗邻道路的类型与等级</v>
      </c>
      <c r="R32" s="714" t="s">
        <v>17</v>
      </c>
      <c r="S32" s="715">
        <f t="shared" si="10"/>
        <v>100</v>
      </c>
      <c r="T32" s="714" t="s">
        <v>17</v>
      </c>
      <c r="U32" s="715">
        <f t="shared" si="11"/>
        <v>100</v>
      </c>
      <c r="V32" s="714" t="s">
        <v>17</v>
      </c>
      <c r="W32" s="715">
        <f t="shared" si="12"/>
        <v>100</v>
      </c>
      <c r="X32" s="1541"/>
      <c r="Y32" s="340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2"/>
      <c r="M33" s="2946"/>
      <c r="N33" s="2946"/>
      <c r="O33" s="3004"/>
      <c r="P33" s="3401"/>
      <c r="Q33" s="1538"/>
      <c r="R33" s="714"/>
      <c r="S33" s="715"/>
      <c r="T33" s="714"/>
      <c r="U33" s="715"/>
      <c r="V33" s="714"/>
      <c r="W33" s="715"/>
      <c r="X33" s="1541"/>
      <c r="Y33" s="340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401"/>
      <c r="Q34" s="1538" t="str">
        <f t="shared" si="8"/>
        <v>土地级别</v>
      </c>
      <c r="R34" s="714" t="s">
        <v>17</v>
      </c>
      <c r="S34" s="715">
        <f t="shared" si="10"/>
        <v>100</v>
      </c>
      <c r="T34" s="714" t="s">
        <v>17</v>
      </c>
      <c r="U34" s="715">
        <f t="shared" si="11"/>
        <v>100</v>
      </c>
      <c r="V34" s="714" t="s">
        <v>17</v>
      </c>
      <c r="W34" s="715">
        <f t="shared" si="12"/>
        <v>100</v>
      </c>
      <c r="X34" s="1541"/>
      <c r="Y34" s="340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401"/>
      <c r="Q35" s="1538">
        <f t="shared" si="8"/>
        <v>111</v>
      </c>
      <c r="R35" s="714" t="s">
        <v>17</v>
      </c>
      <c r="S35" s="715">
        <f t="shared" si="10"/>
        <v>100</v>
      </c>
      <c r="T35" s="714" t="s">
        <v>17</v>
      </c>
      <c r="U35" s="715">
        <f t="shared" si="11"/>
        <v>100</v>
      </c>
      <c r="V35" s="714" t="s">
        <v>17</v>
      </c>
      <c r="W35" s="715">
        <f t="shared" si="12"/>
        <v>100</v>
      </c>
      <c r="X35" s="1541"/>
      <c r="Y35" s="340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427" t="s">
        <v>2386</v>
      </c>
      <c r="Q36" s="1538">
        <f t="shared" si="8"/>
        <v>111</v>
      </c>
      <c r="R36" s="714" t="s">
        <v>17</v>
      </c>
      <c r="S36" s="715">
        <f t="shared" si="10"/>
        <v>100</v>
      </c>
      <c r="T36" s="714" t="s">
        <v>17</v>
      </c>
      <c r="U36" s="715">
        <f t="shared" si="11"/>
        <v>100</v>
      </c>
      <c r="V36" s="714" t="s">
        <v>17</v>
      </c>
      <c r="W36" s="715">
        <f t="shared" si="12"/>
        <v>100</v>
      </c>
      <c r="X36" s="1541"/>
      <c r="Y36" s="340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405"/>
      <c r="Q37" s="1538">
        <f t="shared" si="8"/>
        <v>111</v>
      </c>
      <c r="R37" s="717" t="s">
        <v>17</v>
      </c>
      <c r="S37" s="718">
        <f t="shared" si="10"/>
        <v>100</v>
      </c>
      <c r="T37" s="717" t="s">
        <v>17</v>
      </c>
      <c r="U37" s="718">
        <f t="shared" si="11"/>
        <v>100</v>
      </c>
      <c r="V37" s="717" t="s">
        <v>17</v>
      </c>
      <c r="W37" s="718">
        <f t="shared" si="12"/>
        <v>100</v>
      </c>
      <c r="X37" s="719"/>
      <c r="Y37" s="3405"/>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405"/>
      <c r="Q38" s="1538" t="str">
        <f>B38</f>
        <v>宗地面积</v>
      </c>
      <c r="R38" s="714" t="s">
        <v>17</v>
      </c>
      <c r="S38" s="715" t="e">
        <f t="shared" si="10"/>
        <v>#N/A</v>
      </c>
      <c r="T38" s="714" t="s">
        <v>17</v>
      </c>
      <c r="U38" s="715" t="e">
        <f t="shared" si="11"/>
        <v>#N/A</v>
      </c>
      <c r="V38" s="714" t="s">
        <v>17</v>
      </c>
      <c r="W38" s="715" t="e">
        <f t="shared" si="12"/>
        <v>#N/A</v>
      </c>
      <c r="X38" s="1541"/>
      <c r="Y38" s="340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2"/>
      <c r="M39" s="2946"/>
      <c r="N39" s="2946"/>
      <c r="O39" s="3004"/>
      <c r="P39" s="3405"/>
      <c r="Q39" s="1538" t="str">
        <f t="shared" ref="Q39:Q45" si="14">B39</f>
        <v>宗地形状</v>
      </c>
      <c r="R39" s="714" t="s">
        <v>17</v>
      </c>
      <c r="S39" s="715">
        <f t="shared" si="10"/>
        <v>100</v>
      </c>
      <c r="T39" s="714" t="s">
        <v>17</v>
      </c>
      <c r="U39" s="715">
        <f t="shared" si="11"/>
        <v>100</v>
      </c>
      <c r="V39" s="714" t="s">
        <v>17</v>
      </c>
      <c r="W39" s="715">
        <f t="shared" si="12"/>
        <v>100</v>
      </c>
      <c r="X39" s="1541"/>
      <c r="Y39" s="340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2"/>
      <c r="M40" s="2946"/>
      <c r="N40" s="2946"/>
      <c r="O40" s="3004"/>
      <c r="P40" s="3405"/>
      <c r="Q40" s="1538" t="str">
        <f t="shared" si="14"/>
        <v>临街宽度及深度</v>
      </c>
      <c r="R40" s="714" t="s">
        <v>17</v>
      </c>
      <c r="S40" s="715">
        <f t="shared" si="10"/>
        <v>100</v>
      </c>
      <c r="T40" s="714" t="s">
        <v>17</v>
      </c>
      <c r="U40" s="715">
        <f t="shared" si="11"/>
        <v>100</v>
      </c>
      <c r="V40" s="714" t="s">
        <v>17</v>
      </c>
      <c r="W40" s="715">
        <f t="shared" si="12"/>
        <v>100</v>
      </c>
      <c r="X40" s="1541"/>
      <c r="Y40" s="340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7"/>
      <c r="M41" s="2948"/>
      <c r="N41" s="2948"/>
      <c r="O41" s="3002"/>
      <c r="P41" s="3405"/>
      <c r="Q41" s="1538" t="str">
        <f t="shared" si="14"/>
        <v>宗地开发程度</v>
      </c>
      <c r="R41" s="710" t="s">
        <v>17</v>
      </c>
      <c r="S41" s="711">
        <f t="shared" si="10"/>
        <v>100</v>
      </c>
      <c r="T41" s="710" t="s">
        <v>17</v>
      </c>
      <c r="U41" s="711">
        <f t="shared" si="11"/>
        <v>100</v>
      </c>
      <c r="V41" s="710" t="s">
        <v>17</v>
      </c>
      <c r="W41" s="711">
        <f t="shared" si="12"/>
        <v>100</v>
      </c>
      <c r="X41" s="712"/>
      <c r="Y41" s="340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2"/>
      <c r="M42" s="2946"/>
      <c r="N42" s="2946"/>
      <c r="O42" s="3004"/>
      <c r="P42" s="3405" t="s">
        <v>2386</v>
      </c>
      <c r="Q42" s="1538" t="str">
        <f t="shared" si="14"/>
        <v>工程地质条件</v>
      </c>
      <c r="R42" s="714" t="s">
        <v>17</v>
      </c>
      <c r="S42" s="715">
        <f t="shared" si="10"/>
        <v>100</v>
      </c>
      <c r="T42" s="714" t="s">
        <v>17</v>
      </c>
      <c r="U42" s="715">
        <f t="shared" si="11"/>
        <v>100</v>
      </c>
      <c r="V42" s="714" t="s">
        <v>17</v>
      </c>
      <c r="W42" s="715">
        <f t="shared" si="12"/>
        <v>100</v>
      </c>
      <c r="X42" s="1541"/>
      <c r="Y42" s="340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405"/>
      <c r="Q43" s="1538">
        <f t="shared" si="14"/>
        <v>111</v>
      </c>
      <c r="R43" s="714" t="s">
        <v>17</v>
      </c>
      <c r="S43" s="715">
        <f t="shared" si="10"/>
        <v>100</v>
      </c>
      <c r="T43" s="714" t="s">
        <v>17</v>
      </c>
      <c r="U43" s="715">
        <f t="shared" si="11"/>
        <v>100</v>
      </c>
      <c r="V43" s="714" t="s">
        <v>17</v>
      </c>
      <c r="W43" s="715">
        <f t="shared" si="12"/>
        <v>100</v>
      </c>
      <c r="X43" s="1541"/>
      <c r="Y43" s="340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405"/>
      <c r="Q44" s="1538">
        <f t="shared" si="14"/>
        <v>111</v>
      </c>
      <c r="R44" s="714" t="s">
        <v>17</v>
      </c>
      <c r="S44" s="715">
        <f t="shared" si="10"/>
        <v>100</v>
      </c>
      <c r="T44" s="714" t="s">
        <v>17</v>
      </c>
      <c r="U44" s="715">
        <f t="shared" si="11"/>
        <v>100</v>
      </c>
      <c r="V44" s="714" t="s">
        <v>17</v>
      </c>
      <c r="W44" s="715">
        <f t="shared" si="12"/>
        <v>100</v>
      </c>
      <c r="X44" s="1541"/>
      <c r="Y44" s="340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405"/>
      <c r="Q45" s="1538">
        <f t="shared" si="14"/>
        <v>111</v>
      </c>
      <c r="R45" s="717" t="s">
        <v>17</v>
      </c>
      <c r="S45" s="718">
        <f t="shared" si="10"/>
        <v>100</v>
      </c>
      <c r="T45" s="717" t="s">
        <v>17</v>
      </c>
      <c r="U45" s="718">
        <f t="shared" si="11"/>
        <v>100</v>
      </c>
      <c r="V45" s="717" t="s">
        <v>17</v>
      </c>
      <c r="W45" s="718">
        <f t="shared" si="12"/>
        <v>100</v>
      </c>
      <c r="X45" s="719"/>
      <c r="Y45" s="3405"/>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4"/>
      <c r="M46" s="2955"/>
      <c r="N46" s="2946"/>
      <c r="O46" s="2955"/>
      <c r="P46" s="3398" t="str">
        <f>A46</f>
        <v>成交单价</v>
      </c>
      <c r="Q46" s="3398"/>
      <c r="R46" s="3393">
        <f>E46</f>
        <v>0</v>
      </c>
      <c r="S46" s="3393"/>
      <c r="T46" s="3393">
        <f>G46</f>
        <v>0</v>
      </c>
      <c r="U46" s="3393"/>
      <c r="V46" s="3393">
        <f>I46</f>
        <v>0</v>
      </c>
      <c r="W46" s="3393"/>
      <c r="X46" s="699"/>
      <c r="Y46" s="721"/>
      <c r="Z46" s="699"/>
      <c r="AA46" s="699"/>
      <c r="AB46" s="699"/>
      <c r="AC46" s="699"/>
    </row>
    <row r="47" spans="1:29" ht="15.75" thickBot="1">
      <c r="A47" s="445" t="s">
        <v>2490</v>
      </c>
      <c r="B47" s="639"/>
      <c r="C47" s="448" t="e">
        <f>R48</f>
        <v>#DIV/0!</v>
      </c>
      <c r="D47" s="2540" t="s">
        <v>2879</v>
      </c>
      <c r="E47" s="448" t="e">
        <f>R47</f>
        <v>#DIV/0!</v>
      </c>
      <c r="F47" s="2541"/>
      <c r="G47" s="447" t="e">
        <f>T47</f>
        <v>#DIV/0!</v>
      </c>
      <c r="H47" s="2541"/>
      <c r="I47" s="448" t="e">
        <f>V47</f>
        <v>#DIV/0!</v>
      </c>
      <c r="J47" s="2541"/>
      <c r="K47" s="2543">
        <f>F47+H47+J47</f>
        <v>0</v>
      </c>
      <c r="L47" s="2954"/>
      <c r="M47" s="2955"/>
      <c r="N47" s="2955"/>
      <c r="O47" s="2955"/>
      <c r="P47" s="3398" t="str">
        <f>A47</f>
        <v>比较价值（元/平方米）</v>
      </c>
      <c r="Q47" s="3398"/>
      <c r="R47" s="3429" t="e">
        <f>ROUND(PRODUCT(R46,AA7:AA45),0)</f>
        <v>#DIV/0!</v>
      </c>
      <c r="S47" s="3429"/>
      <c r="T47" s="3429" t="e">
        <f>ROUND(PRODUCT(T46,AB7:AB45),0)</f>
        <v>#DIV/0!</v>
      </c>
      <c r="U47" s="3429"/>
      <c r="V47" s="3429" t="e">
        <f>ROUND(PRODUCT(V46,AC7:AC45),0)</f>
        <v>#DIV/0!</v>
      </c>
      <c r="W47" s="342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95" t="str">
        <f>A48</f>
        <v>估价对象XX用房的比较价值（楼面单价，元/平方米）</v>
      </c>
      <c r="Q48" s="3396"/>
      <c r="R48" s="3430" t="e">
        <f>ROUND(IF(D47="简单平均",AVERAGE(R47:W47),R47*F47+T47*H47+V47*J47),0)</f>
        <v>#DIV/0!</v>
      </c>
      <c r="S48" s="3430"/>
      <c r="T48" s="3430"/>
      <c r="U48" s="3430"/>
      <c r="V48" s="3430"/>
      <c r="W48" s="3430"/>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1" t="s">
        <v>2581</v>
      </c>
      <c r="D55" s="2172" t="s">
        <v>2582</v>
      </c>
      <c r="E55" s="642" t="s">
        <v>2583</v>
      </c>
      <c r="F55" s="1021" t="s">
        <v>2584</v>
      </c>
      <c r="G55" s="3381" t="s">
        <v>2585</v>
      </c>
      <c r="H55" s="3431"/>
      <c r="I55" s="140" t="s">
        <v>2586</v>
      </c>
      <c r="J55" s="2173">
        <f>项目基本情况!F35</f>
        <v>0</v>
      </c>
      <c r="K55" s="2174"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2414.1999999999998</v>
      </c>
      <c r="F56" s="1017" t="e">
        <f t="shared" ref="F56:F65" si="15">ROUND(B56*E56/10000,0)</f>
        <v>#DIV/0!</v>
      </c>
      <c r="G56" s="3380"/>
      <c r="H56" s="3398"/>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432"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432"/>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432"/>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432"/>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0.25</v>
      </c>
      <c r="D61" s="1076">
        <v>0.25</v>
      </c>
      <c r="E61" s="223">
        <f>'数据-汇总表'!E11</f>
        <v>412.7</v>
      </c>
      <c r="F61" s="1017" t="e">
        <f t="shared" si="15"/>
        <v>#DIV/0!</v>
      </c>
      <c r="G61" s="2175" t="s">
        <v>2595</v>
      </c>
      <c r="H61" s="1018" t="str">
        <f>项目基本情况!C37</f>
        <v>三级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0.2</v>
      </c>
      <c r="D65" s="1076">
        <v>0.25</v>
      </c>
      <c r="E65" s="223">
        <f>'数据-汇总表'!E15</f>
        <v>0</v>
      </c>
      <c r="F65" s="1017" t="e">
        <f t="shared" si="15"/>
        <v>#DIV/0!</v>
      </c>
      <c r="G65" s="2176" t="s">
        <v>2595</v>
      </c>
      <c r="H65" s="1028" t="str">
        <f>项目基本情况!C37</f>
        <v>三级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2826.8999999999996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7"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8"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381" t="s">
        <v>2467</v>
      </c>
      <c r="D4" s="3382"/>
      <c r="E4" s="3383" t="s">
        <v>2468</v>
      </c>
      <c r="F4" s="3384"/>
      <c r="G4" s="3381" t="s">
        <v>2469</v>
      </c>
      <c r="H4" s="3382"/>
      <c r="I4" s="3381" t="s">
        <v>2470</v>
      </c>
      <c r="J4" s="3382"/>
      <c r="K4" s="567" t="s">
        <v>2471</v>
      </c>
      <c r="L4" s="2945"/>
      <c r="M4" s="2946"/>
      <c r="N4" s="2946"/>
      <c r="O4" s="2946"/>
      <c r="P4" s="3385" t="s">
        <v>2472</v>
      </c>
      <c r="Q4" s="3386"/>
      <c r="R4" s="3368" t="s">
        <v>2468</v>
      </c>
      <c r="S4" s="3369"/>
      <c r="T4" s="3368" t="s">
        <v>2469</v>
      </c>
      <c r="U4" s="3369"/>
      <c r="V4" s="3393" t="s">
        <v>2470</v>
      </c>
      <c r="W4" s="3393"/>
      <c r="X4" s="1541"/>
      <c r="Y4" s="3368" t="s">
        <v>2472</v>
      </c>
      <c r="Z4" s="3369"/>
      <c r="AA4" s="3363" t="s">
        <v>2468</v>
      </c>
      <c r="AB4" s="3364" t="s">
        <v>2469</v>
      </c>
      <c r="AC4" s="3363" t="s">
        <v>2470</v>
      </c>
    </row>
    <row r="5" spans="1:29" ht="15">
      <c r="A5" s="364"/>
      <c r="B5" s="365"/>
      <c r="C5" s="3374" t="s">
        <v>2363</v>
      </c>
      <c r="D5" s="3375"/>
      <c r="E5" s="3372" t="s">
        <v>2364</v>
      </c>
      <c r="F5" s="3373"/>
      <c r="G5" s="3374" t="s">
        <v>2365</v>
      </c>
      <c r="H5" s="3375"/>
      <c r="I5" s="3374" t="s">
        <v>2366</v>
      </c>
      <c r="J5" s="3375"/>
      <c r="K5" s="567"/>
      <c r="L5" s="2945"/>
      <c r="M5" s="2946"/>
      <c r="N5" s="2946"/>
      <c r="O5" s="2946"/>
      <c r="P5" s="3387"/>
      <c r="Q5" s="3388"/>
      <c r="R5" s="3370"/>
      <c r="S5" s="3371"/>
      <c r="T5" s="3370"/>
      <c r="U5" s="3371"/>
      <c r="V5" s="3393"/>
      <c r="W5" s="3393"/>
      <c r="X5" s="1541"/>
      <c r="Y5" s="3370"/>
      <c r="Z5" s="3371"/>
      <c r="AA5" s="3364"/>
      <c r="AB5" s="3364"/>
      <c r="AC5" s="3364"/>
    </row>
    <row r="6" spans="1:29" ht="15.75" thickBot="1">
      <c r="A6" s="366"/>
      <c r="B6" s="367"/>
      <c r="C6" s="3433" t="s">
        <v>2618</v>
      </c>
      <c r="D6" s="3434"/>
      <c r="E6" s="3435" t="s">
        <v>2618</v>
      </c>
      <c r="F6" s="3436"/>
      <c r="G6" s="3433" t="s">
        <v>2618</v>
      </c>
      <c r="H6" s="3434"/>
      <c r="I6" s="3433" t="s">
        <v>2618</v>
      </c>
      <c r="J6" s="3434"/>
      <c r="K6" s="567" t="s">
        <v>2368</v>
      </c>
      <c r="L6" s="2945"/>
      <c r="M6" s="2946"/>
      <c r="N6" s="2946"/>
      <c r="O6" s="2946"/>
      <c r="P6" s="3389"/>
      <c r="Q6" s="3390"/>
      <c r="R6" s="3370"/>
      <c r="S6" s="3371"/>
      <c r="T6" s="3391"/>
      <c r="U6" s="3392"/>
      <c r="V6" s="3393"/>
      <c r="W6" s="3393"/>
      <c r="X6" s="1541"/>
      <c r="Y6" s="3391"/>
      <c r="Z6" s="3392"/>
      <c r="AA6" s="3365"/>
      <c r="AB6" s="3365"/>
      <c r="AC6" s="3365"/>
    </row>
    <row r="7" spans="1:29" s="113" customFormat="1" ht="15.75" thickBot="1">
      <c r="A7" s="368" t="s">
        <v>2369</v>
      </c>
      <c r="B7" s="369"/>
      <c r="C7" s="370">
        <f>'数据-取费表'!B2</f>
        <v>44201</v>
      </c>
      <c r="D7" s="371">
        <v>100</v>
      </c>
      <c r="E7" s="372"/>
      <c r="F7" s="373">
        <f>SUMIF(65:65,YEAR(E7)&amp;"-"&amp;INT((MONTH(E7)+2)/3),66:66)</f>
        <v>0</v>
      </c>
      <c r="G7" s="2162"/>
      <c r="H7" s="371">
        <f>SUMIF(65:65,YEAR(G7)&amp;"-"&amp;INT((MONTH(G7)+2)/3),66:66)</f>
        <v>0</v>
      </c>
      <c r="I7" s="2162"/>
      <c r="J7" s="371">
        <f>SUMIF(65:65,YEAR(I7)&amp;"-"&amp;INT((MONTH(I7)+2)/3),66:66)</f>
        <v>0</v>
      </c>
      <c r="K7" s="568"/>
      <c r="L7" s="2947"/>
      <c r="M7" s="2948"/>
      <c r="N7" s="2948"/>
      <c r="O7" s="2948"/>
      <c r="P7" s="3366" t="s">
        <v>2370</v>
      </c>
      <c r="Q7" s="3394"/>
      <c r="R7" s="710" t="s">
        <v>17</v>
      </c>
      <c r="S7" s="711">
        <f t="shared" ref="S7:S15" si="0">F7</f>
        <v>0</v>
      </c>
      <c r="T7" s="710" t="s">
        <v>17</v>
      </c>
      <c r="U7" s="711">
        <f t="shared" ref="U7:U15" si="1">H7</f>
        <v>0</v>
      </c>
      <c r="V7" s="710" t="s">
        <v>17</v>
      </c>
      <c r="W7" s="711">
        <f t="shared" ref="W7:W15" si="2">J7</f>
        <v>0</v>
      </c>
      <c r="X7" s="712"/>
      <c r="Y7" s="3366" t="s">
        <v>2370</v>
      </c>
      <c r="Z7" s="336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66" t="s">
        <v>2373</v>
      </c>
      <c r="Q8" s="3367"/>
      <c r="R8" s="710" t="s">
        <v>17</v>
      </c>
      <c r="S8" s="711">
        <f t="shared" si="0"/>
        <v>0</v>
      </c>
      <c r="T8" s="710" t="s">
        <v>17</v>
      </c>
      <c r="U8" s="711">
        <f t="shared" si="1"/>
        <v>0</v>
      </c>
      <c r="V8" s="710" t="s">
        <v>17</v>
      </c>
      <c r="W8" s="711">
        <f t="shared" si="2"/>
        <v>0</v>
      </c>
      <c r="X8" s="712"/>
      <c r="Y8" s="3366" t="s">
        <v>2373</v>
      </c>
      <c r="Z8" s="3367"/>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7"/>
      <c r="M9" s="2948"/>
      <c r="N9" s="2948"/>
      <c r="O9" s="3002"/>
      <c r="P9" s="3398" t="s">
        <v>2376</v>
      </c>
      <c r="Q9" s="1529"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t="e">
        <f>ROUND(100/'数据-取费表'!G16,0)</f>
        <v>#DIV/0!</v>
      </c>
      <c r="G10" s="391"/>
      <c r="H10" s="132" t="e">
        <f>ROUND(100/'数据-取费表'!G16,0)</f>
        <v>#DIV/0!</v>
      </c>
      <c r="I10" s="391"/>
      <c r="J10" s="132" t="e">
        <f>ROUND(100/'数据-取费表'!G16,0)</f>
        <v>#DIV/0!</v>
      </c>
      <c r="K10" s="628"/>
      <c r="L10" s="2949"/>
      <c r="M10" s="2950"/>
      <c r="N10" s="2950"/>
      <c r="O10" s="3003"/>
      <c r="P10" s="3398"/>
      <c r="Q10" s="1529" t="str">
        <f t="shared" si="6"/>
        <v>土地使用年限（年）</v>
      </c>
      <c r="R10" s="710" t="s">
        <v>17</v>
      </c>
      <c r="S10" s="711" t="e">
        <f t="shared" si="0"/>
        <v>#DIV/0!</v>
      </c>
      <c r="T10" s="710" t="s">
        <v>17</v>
      </c>
      <c r="U10" s="711" t="e">
        <f t="shared" si="1"/>
        <v>#DIV/0!</v>
      </c>
      <c r="V10" s="710" t="s">
        <v>17</v>
      </c>
      <c r="W10" s="711" t="e">
        <f t="shared" si="2"/>
        <v>#DIV/0!</v>
      </c>
      <c r="X10" s="712"/>
      <c r="Y10" s="3308"/>
      <c r="Z10" s="55" t="str">
        <f t="shared" si="7"/>
        <v>土地使用年限（年）</v>
      </c>
      <c r="AA10" s="713" t="e">
        <f t="shared" si="3"/>
        <v>#DIV/0!</v>
      </c>
      <c r="AB10" s="713" t="e">
        <f t="shared" si="4"/>
        <v>#DIV/0!</v>
      </c>
      <c r="AC10" s="713" t="e">
        <f t="shared" si="5"/>
        <v>#DIV/0!</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98"/>
      <c r="Q11" s="1529"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98"/>
      <c r="Q12" s="1529">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98"/>
      <c r="Q13" s="1529">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98"/>
      <c r="Q14" s="1529">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400" t="s">
        <v>2381</v>
      </c>
      <c r="Q15" s="1538" t="str">
        <f t="shared" si="6"/>
        <v>产业集聚程度</v>
      </c>
      <c r="R15" s="714" t="s">
        <v>17</v>
      </c>
      <c r="S15" s="715">
        <f t="shared" si="0"/>
        <v>100</v>
      </c>
      <c r="T15" s="714" t="s">
        <v>17</v>
      </c>
      <c r="U15" s="715">
        <f t="shared" si="1"/>
        <v>100</v>
      </c>
      <c r="V15" s="714" t="s">
        <v>17</v>
      </c>
      <c r="W15" s="715">
        <f t="shared" si="2"/>
        <v>100</v>
      </c>
      <c r="X15" s="1541"/>
      <c r="Y15" s="340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2"/>
      <c r="M16" s="2946"/>
      <c r="N16" s="2946"/>
      <c r="O16" s="3004"/>
      <c r="P16" s="3401"/>
      <c r="Q16" s="1538"/>
      <c r="R16" s="714"/>
      <c r="S16" s="715"/>
      <c r="T16" s="714"/>
      <c r="U16" s="715"/>
      <c r="V16" s="714"/>
      <c r="W16" s="715"/>
      <c r="X16" s="1541"/>
      <c r="Y16" s="340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401"/>
      <c r="Q17" s="1538" t="str">
        <f>B17</f>
        <v>交通便捷度</v>
      </c>
      <c r="R17" s="714" t="s">
        <v>17</v>
      </c>
      <c r="S17" s="715">
        <f>F17</f>
        <v>100</v>
      </c>
      <c r="T17" s="714" t="s">
        <v>17</v>
      </c>
      <c r="U17" s="715">
        <f>H17</f>
        <v>100</v>
      </c>
      <c r="V17" s="714" t="s">
        <v>17</v>
      </c>
      <c r="W17" s="715">
        <f>J17</f>
        <v>100</v>
      </c>
      <c r="X17" s="1541"/>
      <c r="Y17" s="340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2"/>
      <c r="M18" s="2946"/>
      <c r="N18" s="2946"/>
      <c r="O18" s="3004"/>
      <c r="P18" s="3401"/>
      <c r="Q18" s="1538"/>
      <c r="R18" s="714"/>
      <c r="S18" s="715"/>
      <c r="T18" s="714"/>
      <c r="U18" s="715"/>
      <c r="V18" s="714"/>
      <c r="W18" s="715"/>
      <c r="X18" s="1541"/>
      <c r="Y18" s="340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401"/>
      <c r="Q19" s="1538" t="str">
        <f t="shared" ref="Q19:Q33" si="8">B19</f>
        <v>区域土地利用方向</v>
      </c>
      <c r="R19" s="714" t="s">
        <v>17</v>
      </c>
      <c r="S19" s="715">
        <f>F19</f>
        <v>100</v>
      </c>
      <c r="T19" s="714" t="s">
        <v>17</v>
      </c>
      <c r="U19" s="715">
        <f>H19</f>
        <v>100</v>
      </c>
      <c r="V19" s="714" t="s">
        <v>17</v>
      </c>
      <c r="W19" s="715">
        <f>J19</f>
        <v>100</v>
      </c>
      <c r="X19" s="1541"/>
      <c r="Y19" s="340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2"/>
      <c r="M20" s="2946"/>
      <c r="N20" s="2946"/>
      <c r="O20" s="3004"/>
      <c r="P20" s="3401"/>
      <c r="Q20" s="1538"/>
      <c r="R20" s="714"/>
      <c r="S20" s="715"/>
      <c r="T20" s="714"/>
      <c r="U20" s="715"/>
      <c r="V20" s="714"/>
      <c r="W20" s="715"/>
      <c r="X20" s="1541"/>
      <c r="Y20" s="340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401"/>
      <c r="Q21" s="1538" t="str">
        <f t="shared" si="8"/>
        <v>环境状况</v>
      </c>
      <c r="R21" s="714" t="s">
        <v>17</v>
      </c>
      <c r="S21" s="715">
        <f>F21</f>
        <v>100</v>
      </c>
      <c r="T21" s="714" t="s">
        <v>17</v>
      </c>
      <c r="U21" s="715">
        <f>H21</f>
        <v>100</v>
      </c>
      <c r="V21" s="714" t="s">
        <v>17</v>
      </c>
      <c r="W21" s="715">
        <f>J21</f>
        <v>100</v>
      </c>
      <c r="X21" s="1541"/>
      <c r="Y21" s="340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2"/>
      <c r="M22" s="2946"/>
      <c r="N22" s="2946"/>
      <c r="O22" s="3004"/>
      <c r="P22" s="3401"/>
      <c r="Q22" s="1538"/>
      <c r="R22" s="714"/>
      <c r="S22" s="715"/>
      <c r="T22" s="714"/>
      <c r="U22" s="715"/>
      <c r="V22" s="714"/>
      <c r="W22" s="715"/>
      <c r="X22" s="1541"/>
      <c r="Y22" s="340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401"/>
      <c r="Q23" s="1529" t="str">
        <f t="shared" si="8"/>
        <v>公共配套设施</v>
      </c>
      <c r="R23" s="710" t="s">
        <v>17</v>
      </c>
      <c r="S23" s="711">
        <f>F23</f>
        <v>100</v>
      </c>
      <c r="T23" s="710" t="s">
        <v>17</v>
      </c>
      <c r="U23" s="711">
        <f>H23</f>
        <v>100</v>
      </c>
      <c r="V23" s="710" t="s">
        <v>17</v>
      </c>
      <c r="W23" s="711">
        <f>J23</f>
        <v>100</v>
      </c>
      <c r="X23" s="712"/>
      <c r="Y23" s="340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7"/>
      <c r="M24" s="2948"/>
      <c r="N24" s="2948"/>
      <c r="O24" s="3002"/>
      <c r="P24" s="3401"/>
      <c r="Q24" s="1529"/>
      <c r="R24" s="710"/>
      <c r="S24" s="711"/>
      <c r="T24" s="710"/>
      <c r="U24" s="711"/>
      <c r="V24" s="710"/>
      <c r="W24" s="711"/>
      <c r="X24" s="712"/>
      <c r="Y24" s="340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401"/>
      <c r="Q25" s="1529" t="str">
        <f t="shared" ref="Q25" si="9">B25</f>
        <v>基础设施水平</v>
      </c>
      <c r="R25" s="710" t="s">
        <v>17</v>
      </c>
      <c r="S25" s="711">
        <f>F25</f>
        <v>100</v>
      </c>
      <c r="T25" s="710" t="s">
        <v>17</v>
      </c>
      <c r="U25" s="711">
        <f>H25</f>
        <v>100</v>
      </c>
      <c r="V25" s="710" t="s">
        <v>17</v>
      </c>
      <c r="W25" s="711">
        <f>J25</f>
        <v>100</v>
      </c>
      <c r="X25" s="712"/>
      <c r="Y25" s="340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7"/>
      <c r="M26" s="2948"/>
      <c r="N26" s="2948"/>
      <c r="O26" s="3002"/>
      <c r="P26" s="3401"/>
      <c r="Q26" s="1529"/>
      <c r="R26" s="710"/>
      <c r="S26" s="711"/>
      <c r="T26" s="710"/>
      <c r="U26" s="711"/>
      <c r="V26" s="710"/>
      <c r="W26" s="711"/>
      <c r="X26" s="712"/>
      <c r="Y26" s="340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40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40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401"/>
      <c r="Q28" s="1538" t="str">
        <f t="shared" si="8"/>
        <v>毗邻道路的类型与等级</v>
      </c>
      <c r="R28" s="714" t="s">
        <v>17</v>
      </c>
      <c r="S28" s="715">
        <f t="shared" si="10"/>
        <v>100</v>
      </c>
      <c r="T28" s="714" t="s">
        <v>17</v>
      </c>
      <c r="U28" s="715">
        <f t="shared" si="11"/>
        <v>100</v>
      </c>
      <c r="V28" s="714" t="s">
        <v>17</v>
      </c>
      <c r="W28" s="715">
        <f t="shared" si="12"/>
        <v>100</v>
      </c>
      <c r="X28" s="1541"/>
      <c r="Y28" s="340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2"/>
      <c r="M29" s="2946"/>
      <c r="N29" s="2946"/>
      <c r="O29" s="3004"/>
      <c r="P29" s="3401"/>
      <c r="Q29" s="1538"/>
      <c r="R29" s="714"/>
      <c r="S29" s="715"/>
      <c r="T29" s="714"/>
      <c r="U29" s="715"/>
      <c r="V29" s="714"/>
      <c r="W29" s="715"/>
      <c r="X29" s="1541"/>
      <c r="Y29" s="340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401"/>
      <c r="Q30" s="1538" t="str">
        <f t="shared" si="8"/>
        <v>土地级别</v>
      </c>
      <c r="R30" s="714" t="s">
        <v>17</v>
      </c>
      <c r="S30" s="715">
        <f t="shared" si="10"/>
        <v>100</v>
      </c>
      <c r="T30" s="714" t="s">
        <v>17</v>
      </c>
      <c r="U30" s="715">
        <f t="shared" si="11"/>
        <v>100</v>
      </c>
      <c r="V30" s="714" t="s">
        <v>17</v>
      </c>
      <c r="W30" s="715">
        <f t="shared" si="12"/>
        <v>100</v>
      </c>
      <c r="X30" s="1541"/>
      <c r="Y30" s="340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401"/>
      <c r="Q31" s="1538">
        <f t="shared" si="8"/>
        <v>111</v>
      </c>
      <c r="R31" s="714" t="s">
        <v>17</v>
      </c>
      <c r="S31" s="715">
        <f t="shared" si="10"/>
        <v>100</v>
      </c>
      <c r="T31" s="714" t="s">
        <v>17</v>
      </c>
      <c r="U31" s="715">
        <f t="shared" si="11"/>
        <v>100</v>
      </c>
      <c r="V31" s="714" t="s">
        <v>17</v>
      </c>
      <c r="W31" s="715">
        <f t="shared" si="12"/>
        <v>100</v>
      </c>
      <c r="X31" s="1541"/>
      <c r="Y31" s="340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427" t="s">
        <v>2386</v>
      </c>
      <c r="Q32" s="1538">
        <f t="shared" si="8"/>
        <v>111</v>
      </c>
      <c r="R32" s="714" t="s">
        <v>17</v>
      </c>
      <c r="S32" s="715">
        <f t="shared" si="10"/>
        <v>100</v>
      </c>
      <c r="T32" s="714" t="s">
        <v>17</v>
      </c>
      <c r="U32" s="715">
        <f t="shared" si="11"/>
        <v>100</v>
      </c>
      <c r="V32" s="714" t="s">
        <v>17</v>
      </c>
      <c r="W32" s="715">
        <f t="shared" si="12"/>
        <v>100</v>
      </c>
      <c r="X32" s="1541"/>
      <c r="Y32" s="340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405"/>
      <c r="Q33" s="1538">
        <f t="shared" si="8"/>
        <v>111</v>
      </c>
      <c r="R33" s="717" t="s">
        <v>17</v>
      </c>
      <c r="S33" s="718">
        <f t="shared" si="10"/>
        <v>100</v>
      </c>
      <c r="T33" s="717" t="s">
        <v>17</v>
      </c>
      <c r="U33" s="718">
        <f t="shared" si="11"/>
        <v>100</v>
      </c>
      <c r="V33" s="717" t="s">
        <v>17</v>
      </c>
      <c r="W33" s="718">
        <f t="shared" si="12"/>
        <v>100</v>
      </c>
      <c r="X33" s="719"/>
      <c r="Y33" s="340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405"/>
      <c r="Q34" s="1538" t="str">
        <f>B34</f>
        <v>宗地面积</v>
      </c>
      <c r="R34" s="714" t="s">
        <v>17</v>
      </c>
      <c r="S34" s="715" t="e">
        <f t="shared" si="10"/>
        <v>#N/A</v>
      </c>
      <c r="T34" s="714" t="s">
        <v>17</v>
      </c>
      <c r="U34" s="715" t="e">
        <f t="shared" si="11"/>
        <v>#N/A</v>
      </c>
      <c r="V34" s="714" t="s">
        <v>17</v>
      </c>
      <c r="W34" s="715" t="e">
        <f t="shared" si="12"/>
        <v>#N/A</v>
      </c>
      <c r="X34" s="1541"/>
      <c r="Y34" s="340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2"/>
      <c r="M35" s="2946"/>
      <c r="N35" s="2946"/>
      <c r="O35" s="3004"/>
      <c r="P35" s="3405"/>
      <c r="Q35" s="1538" t="str">
        <f t="shared" ref="Q35:Q40" si="14">B35</f>
        <v>宗地形状</v>
      </c>
      <c r="R35" s="714" t="s">
        <v>17</v>
      </c>
      <c r="S35" s="715">
        <f t="shared" si="10"/>
        <v>100</v>
      </c>
      <c r="T35" s="714" t="s">
        <v>17</v>
      </c>
      <c r="U35" s="715">
        <f t="shared" si="11"/>
        <v>100</v>
      </c>
      <c r="V35" s="714" t="s">
        <v>17</v>
      </c>
      <c r="W35" s="715">
        <f t="shared" si="12"/>
        <v>100</v>
      </c>
      <c r="X35" s="1541"/>
      <c r="Y35" s="340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7"/>
      <c r="M36" s="2948"/>
      <c r="N36" s="2948"/>
      <c r="O36" s="3002"/>
      <c r="P36" s="3405"/>
      <c r="Q36" s="1538" t="str">
        <f t="shared" si="14"/>
        <v>宗地开发程度</v>
      </c>
      <c r="R36" s="710" t="s">
        <v>17</v>
      </c>
      <c r="S36" s="711">
        <f t="shared" si="10"/>
        <v>100</v>
      </c>
      <c r="T36" s="710" t="s">
        <v>17</v>
      </c>
      <c r="U36" s="711">
        <f t="shared" si="11"/>
        <v>100</v>
      </c>
      <c r="V36" s="710" t="s">
        <v>17</v>
      </c>
      <c r="W36" s="711">
        <f t="shared" si="12"/>
        <v>100</v>
      </c>
      <c r="X36" s="712"/>
      <c r="Y36" s="340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2"/>
      <c r="M37" s="2946"/>
      <c r="N37" s="2946"/>
      <c r="O37" s="3004"/>
      <c r="P37" s="3405" t="s">
        <v>2386</v>
      </c>
      <c r="Q37" s="1538" t="str">
        <f t="shared" si="14"/>
        <v>工程地质条件</v>
      </c>
      <c r="R37" s="714" t="s">
        <v>17</v>
      </c>
      <c r="S37" s="715">
        <f t="shared" si="10"/>
        <v>100</v>
      </c>
      <c r="T37" s="714" t="s">
        <v>17</v>
      </c>
      <c r="U37" s="715">
        <f t="shared" si="11"/>
        <v>100</v>
      </c>
      <c r="V37" s="714" t="s">
        <v>17</v>
      </c>
      <c r="W37" s="715">
        <f t="shared" si="12"/>
        <v>100</v>
      </c>
      <c r="X37" s="1541"/>
      <c r="Y37" s="340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405"/>
      <c r="Q38" s="1538">
        <f t="shared" si="14"/>
        <v>111</v>
      </c>
      <c r="R38" s="714" t="s">
        <v>17</v>
      </c>
      <c r="S38" s="715">
        <f t="shared" si="10"/>
        <v>100</v>
      </c>
      <c r="T38" s="714" t="s">
        <v>17</v>
      </c>
      <c r="U38" s="715">
        <f t="shared" si="11"/>
        <v>100</v>
      </c>
      <c r="V38" s="714" t="s">
        <v>17</v>
      </c>
      <c r="W38" s="715">
        <f t="shared" si="12"/>
        <v>100</v>
      </c>
      <c r="X38" s="1541"/>
      <c r="Y38" s="340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405"/>
      <c r="Q39" s="1538">
        <f t="shared" si="14"/>
        <v>111</v>
      </c>
      <c r="R39" s="714" t="s">
        <v>17</v>
      </c>
      <c r="S39" s="715">
        <f t="shared" si="10"/>
        <v>100</v>
      </c>
      <c r="T39" s="714" t="s">
        <v>17</v>
      </c>
      <c r="U39" s="715">
        <f t="shared" si="11"/>
        <v>100</v>
      </c>
      <c r="V39" s="714" t="s">
        <v>17</v>
      </c>
      <c r="W39" s="715">
        <f t="shared" si="12"/>
        <v>100</v>
      </c>
      <c r="X39" s="1541"/>
      <c r="Y39" s="340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405"/>
      <c r="Q40" s="1538">
        <f t="shared" si="14"/>
        <v>111</v>
      </c>
      <c r="R40" s="717" t="s">
        <v>17</v>
      </c>
      <c r="S40" s="718">
        <f t="shared" si="10"/>
        <v>100</v>
      </c>
      <c r="T40" s="717" t="s">
        <v>17</v>
      </c>
      <c r="U40" s="718">
        <f t="shared" si="11"/>
        <v>100</v>
      </c>
      <c r="V40" s="717" t="s">
        <v>17</v>
      </c>
      <c r="W40" s="718">
        <f t="shared" si="12"/>
        <v>100</v>
      </c>
      <c r="X40" s="719"/>
      <c r="Y40" s="340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4"/>
      <c r="M41" s="2946"/>
      <c r="N41" s="2946"/>
      <c r="O41" s="2955"/>
      <c r="P41" s="3398" t="str">
        <f>A41</f>
        <v>成交单价</v>
      </c>
      <c r="Q41" s="3398"/>
      <c r="R41" s="3393">
        <f>E41</f>
        <v>0</v>
      </c>
      <c r="S41" s="3393"/>
      <c r="T41" s="3393">
        <f>G41</f>
        <v>0</v>
      </c>
      <c r="U41" s="3393"/>
      <c r="V41" s="3393">
        <f>I41</f>
        <v>0</v>
      </c>
      <c r="W41" s="3393"/>
      <c r="X41" s="699"/>
      <c r="Y41" s="721"/>
      <c r="Z41" s="699"/>
      <c r="AA41" s="699"/>
      <c r="AB41" s="699"/>
      <c r="AC41" s="699"/>
    </row>
    <row r="42" spans="1:31" ht="15.75" thickBot="1">
      <c r="A42" s="445" t="s">
        <v>2490</v>
      </c>
      <c r="B42" s="639"/>
      <c r="C42" s="448" t="e">
        <f>R43</f>
        <v>#DIV/0!</v>
      </c>
      <c r="D42" s="2540" t="s">
        <v>2879</v>
      </c>
      <c r="E42" s="448" t="e">
        <f>R42</f>
        <v>#DIV/0!</v>
      </c>
      <c r="F42" s="2541"/>
      <c r="G42" s="447" t="e">
        <f>T42</f>
        <v>#DIV/0!</v>
      </c>
      <c r="H42" s="2541"/>
      <c r="I42" s="448" t="e">
        <f>V42</f>
        <v>#DIV/0!</v>
      </c>
      <c r="J42" s="2541"/>
      <c r="K42" s="2543">
        <f>F42+H42+J42</f>
        <v>0</v>
      </c>
      <c r="L42" s="2954"/>
      <c r="M42" s="2946"/>
      <c r="N42" s="2946"/>
      <c r="O42" s="2955"/>
      <c r="P42" s="3398" t="str">
        <f>A42</f>
        <v>比较价值（元/平方米）</v>
      </c>
      <c r="Q42" s="3398"/>
      <c r="R42" s="3429" t="e">
        <f>ROUND(PRODUCT(R41,AA7:AA40),0)</f>
        <v>#DIV/0!</v>
      </c>
      <c r="S42" s="3429"/>
      <c r="T42" s="3429" t="e">
        <f>ROUND(PRODUCT(T41,AB7:AB40),0)</f>
        <v>#DIV/0!</v>
      </c>
      <c r="U42" s="3429"/>
      <c r="V42" s="3429" t="e">
        <f>ROUND(PRODUCT(V41,AC7:AC40),0)</f>
        <v>#DIV/0!</v>
      </c>
      <c r="W42" s="342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95" t="str">
        <f>A43</f>
        <v>估价对象XX用房的比较价值（楼面单价，元/平方米）</v>
      </c>
      <c r="Q43" s="3396"/>
      <c r="R43" s="3430" t="e">
        <f>ROUND(IF(D42="简单平均",AVERAGE(R42:W42),R42*F42+T42*H42+V42*J42),0)</f>
        <v>#DIV/0!</v>
      </c>
      <c r="S43" s="3430"/>
      <c r="T43" s="3430"/>
      <c r="U43" s="3430"/>
      <c r="V43" s="3430"/>
      <c r="W43" s="3430"/>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1" t="s">
        <v>2581</v>
      </c>
      <c r="D50" s="2172" t="s">
        <v>2582</v>
      </c>
      <c r="E50" s="642" t="s">
        <v>2583</v>
      </c>
      <c r="F50" s="643" t="s">
        <v>2584</v>
      </c>
      <c r="G50" s="3381" t="s">
        <v>2585</v>
      </c>
      <c r="H50" s="3431"/>
      <c r="I50" s="1542" t="s">
        <v>2622</v>
      </c>
      <c r="J50" s="1542">
        <f>项目基本情况!F35</f>
        <v>0</v>
      </c>
      <c r="K50" s="2174"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2414.1999999999998</v>
      </c>
      <c r="F51" s="647" t="e">
        <f t="shared" ref="F51:F60" si="15">ROUND(B51*E51/10000,0)</f>
        <v>#DIV/0!</v>
      </c>
      <c r="G51" s="3380"/>
      <c r="H51" s="3398"/>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432"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432"/>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432"/>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432"/>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0.25</v>
      </c>
      <c r="D56" s="1076">
        <v>0.25</v>
      </c>
      <c r="E56" s="223">
        <f>'数据-汇总表'!E11</f>
        <v>412.7</v>
      </c>
      <c r="F56" s="647" t="e">
        <f t="shared" si="15"/>
        <v>#DIV/0!</v>
      </c>
      <c r="G56" s="2175" t="s">
        <v>2595</v>
      </c>
      <c r="H56" s="1018" t="str">
        <f>项目基本情况!C37</f>
        <v>三级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0.2</v>
      </c>
      <c r="D60" s="1076">
        <v>0.25</v>
      </c>
      <c r="E60" s="223">
        <f>'数据-汇总表'!E15</f>
        <v>0</v>
      </c>
      <c r="F60" s="647" t="e">
        <f t="shared" si="15"/>
        <v>#DIV/0!</v>
      </c>
      <c r="G60" s="2176" t="s">
        <v>2595</v>
      </c>
      <c r="H60" s="1028" t="str">
        <f>项目基本情况!C37</f>
        <v>三级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4742.46</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7"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2"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Normal="80" zoomScaleSheetLayoutView="100" workbookViewId="0">
      <selection activeCell="E29" activeCellId="1" sqref="E37 E2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2476.1999999999998</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6106</v>
      </c>
      <c r="C2" s="2187" t="s">
        <v>2634</v>
      </c>
      <c r="D2" s="2188" t="s">
        <v>2635</v>
      </c>
      <c r="E2" s="2189" t="s">
        <v>27</v>
      </c>
      <c r="F2" s="2188" t="s">
        <v>2636</v>
      </c>
      <c r="G2" s="2190" t="str">
        <f>IF(E2="商业",项目基本情况!B37,IF(E2="办公",项目基本情况!C37,IF(E2="住宅",项目基本情况!D37,项目基本情况!E37)))</f>
        <v>三级</v>
      </c>
      <c r="H2" s="2188" t="s">
        <v>2637</v>
      </c>
      <c r="I2" s="2190" t="str">
        <f>IF(E2="商业",项目基本情况!B38,IF(E2="办公",项目基本情况!C38,IF(E2="住宅",项目基本情况!D38,项目基本情况!E38)))</f>
        <v>Ⅲ—04</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52496</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24659</v>
      </c>
      <c r="C3" s="2187" t="s">
        <v>2640</v>
      </c>
      <c r="D3" s="2188" t="s">
        <v>2641</v>
      </c>
      <c r="E3" s="2193" t="s">
        <v>3215</v>
      </c>
      <c r="F3" s="2194" t="s">
        <v>3218</v>
      </c>
      <c r="G3" s="855">
        <f>IF(F3="宗地容积率",'数据-汇总表'!I4,IF(F3="估价对象容积率",'数据-汇总表'!I6,'数据-汇总表'!I7))</f>
        <v>2.5</v>
      </c>
      <c r="H3" s="175" t="s">
        <v>2642</v>
      </c>
      <c r="I3" s="881"/>
      <c r="J3" s="2191" t="s">
        <v>2643</v>
      </c>
      <c r="K3" s="1280"/>
      <c r="L3" s="2192" t="s">
        <v>2644</v>
      </c>
      <c r="M3" s="995">
        <f>SUMPRODUCT((区片价!B29:B48=I2)*(区片价!C3:F3=E2)*(区片价!C29:F48))</f>
        <v>21800</v>
      </c>
      <c r="N3" s="997">
        <f>SUMPRODUCT((因素修正幅度!B29:B48=I2)*(因素修正幅度!C3:F3=E2)*(因素修正幅度!C29:F48))</f>
        <v>0.05</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37682</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456"/>
      <c r="B4" s="3457"/>
      <c r="C4" s="3457"/>
      <c r="D4" s="3458"/>
      <c r="E4" s="3458"/>
      <c r="F4" s="3458"/>
      <c r="G4" s="3458"/>
      <c r="H4" s="3458"/>
      <c r="I4" s="3458"/>
      <c r="J4" s="3459"/>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30400</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21784</v>
      </c>
      <c r="D5" s="1525">
        <f>ROUND(C6+C16,0)</f>
        <v>21784</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24392</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21800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20771</v>
      </c>
      <c r="U6" s="1375"/>
      <c r="V6" s="1374">
        <f t="shared" ca="1" si="1"/>
        <v>0</v>
      </c>
      <c r="W6" s="1378"/>
      <c r="X6" s="1378"/>
      <c r="Y6" s="1378"/>
      <c r="Z6" s="1378"/>
      <c r="AA6" s="1378"/>
      <c r="AB6" s="1378"/>
      <c r="AC6" s="2201"/>
      <c r="AD6" s="2202"/>
      <c r="AE6" s="2202"/>
      <c r="AF6" s="2202"/>
      <c r="AG6" s="2202"/>
      <c r="AH6" s="2202"/>
      <c r="AI6" s="2202"/>
      <c r="AJ6" s="2203"/>
    </row>
    <row r="7" spans="1:36" ht="24">
      <c r="A7" s="3437" t="str">
        <f>IF(E2="商业",IF(C8="不临58条商业街","",2),"")</f>
        <v/>
      </c>
      <c r="B7" s="2211" t="s">
        <v>2652</v>
      </c>
      <c r="C7" s="858" t="e">
        <f>IF(C8="不临58条商业街",1,ROUND(1+(1.6*E8+1.2*E9+0.8*E10+0.4*E11)*C9,4))</f>
        <v>#DIV/0!</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18266</v>
      </c>
      <c r="U7" s="1375"/>
      <c r="V7" s="1374">
        <f t="shared" ca="1" si="1"/>
        <v>0</v>
      </c>
      <c r="W7" s="1544" t="s">
        <v>2655</v>
      </c>
      <c r="X7" s="1376" t="str">
        <f>G2</f>
        <v>三级</v>
      </c>
      <c r="Y7" s="1376" t="s">
        <v>2656</v>
      </c>
      <c r="Z7" s="1377">
        <f>G3</f>
        <v>2.5</v>
      </c>
      <c r="AA7" s="1378"/>
      <c r="AB7" s="1378"/>
      <c r="AC7" s="1379"/>
      <c r="AD7" s="1380"/>
      <c r="AE7" s="1380"/>
      <c r="AF7" s="1380"/>
      <c r="AG7" s="1380"/>
      <c r="AH7" s="1380"/>
      <c r="AI7" s="1380"/>
      <c r="AJ7" s="1381"/>
    </row>
    <row r="8" spans="1:36" ht="15">
      <c r="A8" s="3460"/>
      <c r="B8" s="175" t="s">
        <v>2657</v>
      </c>
      <c r="C8" s="2216"/>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453" t="s">
        <v>2660</v>
      </c>
      <c r="X8" s="345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60"/>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455"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60"/>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4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60"/>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455" t="s">
        <v>2684</v>
      </c>
      <c r="X11" s="1386" t="s">
        <v>2685</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437"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45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61"/>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45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461"/>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462"/>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437" t="s">
        <v>2703</v>
      </c>
      <c r="B16" s="2211" t="s">
        <v>2704</v>
      </c>
      <c r="C16" s="2373">
        <f>ROUND(IF(F17="与级别开发程度一致",0,(G17-E17)/C17),0)</f>
        <v>-16</v>
      </c>
      <c r="D16" s="3450" t="s">
        <v>2708</v>
      </c>
      <c r="E16" s="3451"/>
      <c r="F16" s="3450" t="s">
        <v>2705</v>
      </c>
      <c r="G16" s="3451"/>
      <c r="H16" s="2243" t="s">
        <v>3313</v>
      </c>
      <c r="I16" s="2243" t="s">
        <v>3314</v>
      </c>
      <c r="J16" s="2377" t="s">
        <v>3315</v>
      </c>
      <c r="K16" s="2243" t="s">
        <v>3316</v>
      </c>
      <c r="L16" s="2243" t="s">
        <v>3317</v>
      </c>
      <c r="M16" s="2243" t="s">
        <v>3318</v>
      </c>
      <c r="N16" s="2243" t="s">
        <v>3319</v>
      </c>
      <c r="O16" s="2244"/>
      <c r="P16" s="2185"/>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438"/>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3312</v>
      </c>
      <c r="G17" s="2376">
        <f>SUM(H17:O17)</f>
        <v>260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50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v>
      </c>
      <c r="D18" s="2381"/>
      <c r="E18" s="2382"/>
      <c r="F18" s="2382"/>
      <c r="G18" s="2382"/>
      <c r="H18" s="2382"/>
      <c r="I18" s="2382"/>
      <c r="J18" s="2383"/>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0"/>
    </row>
    <row r="19" spans="1:37" s="2204" customFormat="1" ht="29.25" thickBot="1">
      <c r="A19" s="2248" t="s">
        <v>809</v>
      </c>
      <c r="B19" s="2249" t="s">
        <v>2711</v>
      </c>
      <c r="C19" s="863">
        <f>ROUND(IF(H19="按公示增长率计算",SUMPRODUCT((地价!A3:A33=YEAR(G19)&amp;"-"&amp;ROUNDUP(MONTH(G19)/3,0))*(地价!X2:AB2=E2)*(地价!X3:AB33)),IF(H19="地价指数",M20/M19,(1+I19)^O19)),4)</f>
        <v>1.3420000000000001</v>
      </c>
      <c r="D19" s="2253" t="s">
        <v>2712</v>
      </c>
      <c r="E19" s="864">
        <v>41640</v>
      </c>
      <c r="F19" s="2253" t="s">
        <v>2713</v>
      </c>
      <c r="G19" s="865">
        <f>'数据-取费表'!B2</f>
        <v>44201</v>
      </c>
      <c r="H19" s="2254" t="s">
        <v>3216</v>
      </c>
      <c r="I19" s="866" t="str">
        <f>IF(H19="季度增幅（自定义）",SUMIF(N21:N24,E2,O21:O24),"")</f>
        <v/>
      </c>
      <c r="J19" s="2251"/>
      <c r="K19" s="1287"/>
      <c r="L19" s="2255" t="s">
        <v>2714</v>
      </c>
      <c r="M19" s="1498">
        <f>ROUND(SUMIF(地价!B2:F2,E2,地价!B33:F33),0)</f>
        <v>258</v>
      </c>
      <c r="N19" s="2256"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2"/>
      <c r="AI19" s="3024"/>
      <c r="AJ19" s="3024"/>
      <c r="AK19" s="2257"/>
    </row>
    <row r="20" spans="1:37" s="2204" customFormat="1" ht="27.75" thickBot="1">
      <c r="A20" s="2258" t="s">
        <v>810</v>
      </c>
      <c r="B20" s="2259" t="s">
        <v>2716</v>
      </c>
      <c r="C20" s="868">
        <f ca="1">ROUND(POWER(1+G20,J20-I20)*(POWER(1+G20,I20)-1)/(POWER(1+G20,J20)-1),4)</f>
        <v>0.93640000000000001</v>
      </c>
      <c r="D20" s="2260" t="s">
        <v>2717</v>
      </c>
      <c r="E20" s="1507">
        <f ca="1">存贷款利率!D4/100</f>
        <v>4.3499999999999997E-2</v>
      </c>
      <c r="F20" s="2260" t="s">
        <v>2709</v>
      </c>
      <c r="G20" s="873">
        <f ca="1">SUMIF(M26:P26,E2,M28:P28)</f>
        <v>5.1999999999999998E-2</v>
      </c>
      <c r="H20" s="2260" t="s">
        <v>2718</v>
      </c>
      <c r="I20" s="874">
        <f>SUMIF('数据-取费表'!C6:C15,E2,'数据-取费表'!F6:F15)/COUNTIF('数据-取费表'!C6:C15,E2)</f>
        <v>39.090000000000003</v>
      </c>
      <c r="J20" s="875">
        <f>IF(E2="住宅",70,IF(E2="商业",40,50))</f>
        <v>50</v>
      </c>
      <c r="K20" s="1287"/>
      <c r="L20" s="2261" t="s">
        <v>2719</v>
      </c>
      <c r="M20" s="1499">
        <f>ROUND(SUMPRODUCT((地价!A4:A33=YEAR(G19)&amp;"-"&amp;ROUNDUP(MONTH(G19)/3,0))*(地价!B2:F2=E2)*(地价!B4:F33)),0)</f>
        <v>346</v>
      </c>
      <c r="N20" s="2262" t="s">
        <v>2720</v>
      </c>
      <c r="O20" s="2263" t="s">
        <v>2721</v>
      </c>
      <c r="P20" s="2264"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4" customFormat="1" ht="15">
      <c r="A21" s="2265" t="s">
        <v>811</v>
      </c>
      <c r="B21" s="2266" t="s">
        <v>3217</v>
      </c>
      <c r="C21" s="876">
        <f>IF(B21="容积率修正",IF(G3&lt;=10,D22,J22),C23)</f>
        <v>1</v>
      </c>
      <c r="D21" s="2267"/>
      <c r="E21" s="2267"/>
      <c r="F21" s="2267"/>
      <c r="G21" s="2267"/>
      <c r="H21" s="2267"/>
      <c r="I21" s="2267"/>
      <c r="J21" s="2268"/>
      <c r="K21" s="1287"/>
      <c r="L21" s="3020"/>
      <c r="M21" s="3020"/>
      <c r="N21" s="2269" t="s">
        <v>2723</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4" customFormat="1" ht="14.25">
      <c r="A22" s="2143" t="s">
        <v>2724</v>
      </c>
      <c r="B22" s="2270" t="s">
        <v>2725</v>
      </c>
      <c r="C22" s="1538" t="s">
        <v>2726</v>
      </c>
      <c r="D22" s="1538">
        <f>IF(E22=G22,F22,IF(G3&lt;=10,ROUND(F22+(H22-F22)*(G3-E22)/(G22-E22),4),"——"))</f>
        <v>1</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0"/>
      <c r="M22" s="3020"/>
      <c r="N22" s="2269" t="s">
        <v>2727</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1.0294000000000001</v>
      </c>
      <c r="D24" s="2250"/>
      <c r="E24" s="2277"/>
      <c r="F24" s="2277"/>
      <c r="G24" s="2277"/>
      <c r="H24" s="2277"/>
      <c r="I24" s="2277"/>
      <c r="J24" s="2278"/>
      <c r="K24" s="1287"/>
      <c r="L24" s="3020"/>
      <c r="M24" s="3020"/>
      <c r="N24" s="2279" t="s">
        <v>2732</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8" t="s">
        <v>813</v>
      </c>
      <c r="B25" s="2280" t="s">
        <v>2733</v>
      </c>
      <c r="C25" s="869"/>
      <c r="D25" s="2214"/>
      <c r="E25" s="2214"/>
      <c r="F25" s="2281"/>
      <c r="G25" s="2214"/>
      <c r="H25" s="2214"/>
      <c r="I25" s="2214"/>
      <c r="J25" s="2215"/>
      <c r="K25" s="1280"/>
      <c r="L25" s="2185"/>
      <c r="M25" s="2185"/>
      <c r="N25" s="3015" t="s">
        <v>2734</v>
      </c>
      <c r="O25" s="3016"/>
      <c r="P25" s="3017">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f ca="1">IF(B21="容积率修正",E29+SUM(E33:E39),SUM(V2:V16)+SUM(E33:E39))</f>
        <v>6106</v>
      </c>
      <c r="D26" s="2283"/>
      <c r="E26" s="2239"/>
      <c r="F26" s="2284"/>
      <c r="G26" s="2239"/>
      <c r="H26" s="2239"/>
      <c r="I26" s="2239"/>
      <c r="J26" s="2285"/>
      <c r="K26" s="1280"/>
      <c r="L26" s="3018" t="s">
        <v>2635</v>
      </c>
      <c r="M26" s="2212" t="s">
        <v>2699</v>
      </c>
      <c r="N26" s="2212" t="s">
        <v>2700</v>
      </c>
      <c r="O26" s="2212" t="s">
        <v>2701</v>
      </c>
      <c r="P26" s="3019"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73</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28180</v>
      </c>
      <c r="D29" s="2298">
        <f>'数据-基础表'!I13</f>
        <v>2063.5</v>
      </c>
      <c r="E29" s="879">
        <f ca="1">ROUND(C29*D29/10000,0)</f>
        <v>5815</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7045</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47"/>
      <c r="B33" s="2314" t="s">
        <v>2749</v>
      </c>
      <c r="C33" s="180">
        <f ca="1">ROUND(D5*C19*C20*C24*F33,0)</f>
        <v>19726</v>
      </c>
      <c r="D33" s="2298"/>
      <c r="E33" s="176">
        <f ca="1">ROUND(C33*D33/10000,0)</f>
        <v>0</v>
      </c>
      <c r="F33" s="176">
        <f>SUMIF(修正!A45:A56,G2,修正!B45:B56)</f>
        <v>0.7</v>
      </c>
      <c r="G33" s="176">
        <f t="shared" ref="G33" ca="1" si="6">ROUND(IF(E2="工业",C33*$M$39,C33*$M$38),0)</f>
        <v>4932</v>
      </c>
      <c r="H33" s="176">
        <f>D33</f>
        <v>0</v>
      </c>
      <c r="I33" s="176">
        <f ca="1">ROUND(G33*H33/10000,0)</f>
        <v>0</v>
      </c>
      <c r="J33" s="3452"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48"/>
      <c r="B34" s="2231" t="s">
        <v>2750</v>
      </c>
      <c r="C34" s="180">
        <f ca="1">ROUND(D5*C19*C20*C24*F34,0)</f>
        <v>11272</v>
      </c>
      <c r="D34" s="2298"/>
      <c r="E34" s="176">
        <f t="shared" ref="E34:E39" ca="1" si="7">ROUND(C34*D34/10000,0)</f>
        <v>0</v>
      </c>
      <c r="F34" s="176">
        <f>SUMIF(修正!A45:A56,G2,修正!C45:C56)</f>
        <v>0.4</v>
      </c>
      <c r="G34" s="176">
        <f ca="1">ROUND(IF(E2="工业",C34*$M$39,C34*$M$38),0)</f>
        <v>2818</v>
      </c>
      <c r="H34" s="176">
        <f t="shared" ref="H34:H39" si="8">D34</f>
        <v>0</v>
      </c>
      <c r="I34" s="176">
        <f t="shared" ref="I34:I39" ca="1" si="9">ROUND(G34*H34/10000,0)</f>
        <v>0</v>
      </c>
      <c r="J34" s="344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48"/>
      <c r="B35" s="2231" t="s">
        <v>2751</v>
      </c>
      <c r="C35" s="180">
        <f ca="1">ROUND(D5*C19*C20*C24*F35,0)</f>
        <v>7890</v>
      </c>
      <c r="D35" s="2298"/>
      <c r="E35" s="176">
        <f t="shared" ca="1" si="7"/>
        <v>0</v>
      </c>
      <c r="F35" s="176">
        <f>SUMIF(修正!A45:A56,G2,修正!D45:D56)</f>
        <v>0.28000000000000003</v>
      </c>
      <c r="G35" s="176">
        <f ca="1">ROUND(IF(E2="工业",C35*$M$39,C35*$M$38),0)</f>
        <v>1973</v>
      </c>
      <c r="H35" s="176">
        <f t="shared" si="8"/>
        <v>0</v>
      </c>
      <c r="I35" s="176">
        <f t="shared" ca="1" si="9"/>
        <v>0</v>
      </c>
      <c r="J35" s="344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49"/>
      <c r="B36" s="2231" t="s">
        <v>2752</v>
      </c>
      <c r="C36" s="180">
        <f ca="1">ROUND(D5*C19*C20*C24*F36,0)</f>
        <v>7045</v>
      </c>
      <c r="D36" s="2298"/>
      <c r="E36" s="176">
        <f t="shared" ca="1" si="7"/>
        <v>0</v>
      </c>
      <c r="F36" s="176">
        <f>SUMIF(修正!A45:A56,G2,修正!E45:E56)</f>
        <v>0.25</v>
      </c>
      <c r="G36" s="176">
        <f ca="1">ROUND(IF(E2="工业",C36*$M$39,C36*$M$38),0)</f>
        <v>1761</v>
      </c>
      <c r="H36" s="176">
        <f t="shared" si="8"/>
        <v>0</v>
      </c>
      <c r="I36" s="176">
        <f t="shared" ca="1" si="9"/>
        <v>0</v>
      </c>
      <c r="J36" s="344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7045</v>
      </c>
      <c r="D37" s="2298">
        <f>'数据-基础表'!K13</f>
        <v>412.7</v>
      </c>
      <c r="E37" s="176">
        <f t="shared" ca="1" si="7"/>
        <v>291</v>
      </c>
      <c r="F37" s="180">
        <f>SUMIF(修正!A45:A56,G2,修正!F45:F56)</f>
        <v>0.25</v>
      </c>
      <c r="G37" s="176">
        <f ca="1">ROUND(IF(E2="工业",C37*$M$39,C37*$M$38),0)</f>
        <v>1761</v>
      </c>
      <c r="H37" s="176">
        <f t="shared" si="8"/>
        <v>412.7</v>
      </c>
      <c r="I37" s="176">
        <f t="shared" ca="1" si="9"/>
        <v>73</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v>
      </c>
      <c r="D41" s="176" t="s">
        <v>2709</v>
      </c>
      <c r="E41" s="2371">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hidden="1">
      <c r="A52" s="2331" t="s">
        <v>2773</v>
      </c>
      <c r="B52" s="2335" t="str">
        <f>估价对象房地状况!C24</f>
        <v>城市次干道——新街口外大街</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2776</v>
      </c>
      <c r="B54" s="1496" t="str">
        <f>估价对象房地状况!C21</f>
        <v>估价对象所在区域公共配套设施齐备</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hidden="1">
      <c r="A55" s="2338" t="s">
        <v>2777</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2778</v>
      </c>
      <c r="B56" s="2340" t="str">
        <f>估价对象房地状况!C20</f>
        <v>区域自然环境：；人文环境；综合评价环境状况较好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1.0294000000000001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t="s">
        <v>3260</v>
      </c>
      <c r="D59" s="1196">
        <f t="shared" ref="D59:D67" si="15">SUMIF($J$58:$N$58,C59,J59:N59)</f>
        <v>6.0000000000000001E-3</v>
      </c>
      <c r="E59" s="760">
        <f>ROUND(SUM(D59:D67),4)</f>
        <v>2.9399999999999999E-2</v>
      </c>
      <c r="F59" s="2002">
        <f>IF(E2="办公",SUMIF(L1:L12,G2,N1:N12),"——")</f>
        <v>0.05</v>
      </c>
      <c r="G59" s="1194">
        <v>6.0000000000000001E-3</v>
      </c>
      <c r="H59" s="1198">
        <f t="shared" ref="H59:H67" si="16">IFERROR(ROUNDDOWN($F$59*I59/2,4),"——")</f>
        <v>6.0000000000000001E-3</v>
      </c>
      <c r="I59" s="759">
        <v>0.24</v>
      </c>
      <c r="J59" s="1195">
        <f t="shared" ref="J59:J67" si="17">K59+$G59</f>
        <v>1.2E-2</v>
      </c>
      <c r="K59" s="1195">
        <f t="shared" ref="K59:K67" si="18">$L59+$G59</f>
        <v>6.0000000000000001E-3</v>
      </c>
      <c r="L59" s="1195">
        <v>0</v>
      </c>
      <c r="M59" s="1195">
        <f t="shared" ref="M59:N67" si="19">L59-$G59</f>
        <v>-6.0000000000000001E-3</v>
      </c>
      <c r="N59" s="1195">
        <f t="shared" si="19"/>
        <v>-1.2E-2</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t="s">
        <v>3260</v>
      </c>
      <c r="D60" s="1196">
        <f t="shared" si="15"/>
        <v>7.4999999999999997E-3</v>
      </c>
      <c r="E60" s="761"/>
      <c r="F60" s="2002"/>
      <c r="G60" s="1194">
        <v>7.4999999999999997E-3</v>
      </c>
      <c r="H60" s="1198">
        <f t="shared" si="16"/>
        <v>7.4999999999999997E-3</v>
      </c>
      <c r="I60" s="759">
        <v>0.3</v>
      </c>
      <c r="J60" s="1195">
        <f t="shared" si="17"/>
        <v>1.4999999999999999E-2</v>
      </c>
      <c r="K60" s="1195">
        <f t="shared" si="18"/>
        <v>7.4999999999999997E-3</v>
      </c>
      <c r="L60" s="1195">
        <v>0</v>
      </c>
      <c r="M60" s="1195">
        <f t="shared" si="19"/>
        <v>-7.4999999999999997E-3</v>
      </c>
      <c r="N60" s="1195">
        <f t="shared" si="19"/>
        <v>-1.4999999999999999E-2</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t="s">
        <v>3260</v>
      </c>
      <c r="D61" s="1196">
        <f t="shared" si="15"/>
        <v>2E-3</v>
      </c>
      <c r="E61" s="761"/>
      <c r="F61" s="2002"/>
      <c r="G61" s="1194">
        <v>2E-3</v>
      </c>
      <c r="H61" s="1198">
        <f t="shared" si="16"/>
        <v>2E-3</v>
      </c>
      <c r="I61" s="759">
        <v>0.08</v>
      </c>
      <c r="J61" s="1195">
        <f t="shared" si="17"/>
        <v>4.0000000000000001E-3</v>
      </c>
      <c r="K61" s="1195">
        <f t="shared" si="18"/>
        <v>2E-3</v>
      </c>
      <c r="L61" s="1195">
        <v>0</v>
      </c>
      <c r="M61" s="1195">
        <f t="shared" si="19"/>
        <v>-2E-3</v>
      </c>
      <c r="N61" s="1195">
        <f t="shared" si="19"/>
        <v>-4.0000000000000001E-3</v>
      </c>
      <c r="AA61" s="1281"/>
      <c r="AB61" s="1281"/>
      <c r="AC61" s="1281"/>
      <c r="AD61" s="1281"/>
      <c r="AE61" s="1281"/>
      <c r="AF61" s="1281"/>
      <c r="AG61" s="1281"/>
      <c r="AH61" s="1281"/>
      <c r="AI61" s="1281"/>
      <c r="AJ61" s="1281"/>
      <c r="AK61" s="1281"/>
    </row>
    <row r="62" spans="1:37" s="1280" customFormat="1" ht="36.75">
      <c r="A62" s="2331" t="s">
        <v>2771</v>
      </c>
      <c r="B62" s="2336" t="s">
        <v>2772</v>
      </c>
      <c r="C62" s="2236" t="s">
        <v>3260</v>
      </c>
      <c r="D62" s="1196">
        <f t="shared" si="15"/>
        <v>1E-3</v>
      </c>
      <c r="E62" s="761"/>
      <c r="F62" s="2002"/>
      <c r="G62" s="1194">
        <v>1E-3</v>
      </c>
      <c r="H62" s="1198">
        <f t="shared" si="16"/>
        <v>1E-3</v>
      </c>
      <c r="I62" s="759">
        <v>0.04</v>
      </c>
      <c r="J62" s="1195">
        <f t="shared" si="17"/>
        <v>2E-3</v>
      </c>
      <c r="K62" s="1195">
        <f t="shared" si="18"/>
        <v>1E-3</v>
      </c>
      <c r="L62" s="1195">
        <v>0</v>
      </c>
      <c r="M62" s="1195">
        <f t="shared" si="19"/>
        <v>-1E-3</v>
      </c>
      <c r="N62" s="1195">
        <f t="shared" si="19"/>
        <v>-2E-3</v>
      </c>
      <c r="AA62" s="1281"/>
      <c r="AB62" s="1281"/>
      <c r="AC62" s="1281"/>
      <c r="AD62" s="1281"/>
      <c r="AE62" s="1281"/>
      <c r="AF62" s="1281"/>
      <c r="AG62" s="1281"/>
      <c r="AH62" s="1281"/>
      <c r="AI62" s="1281"/>
      <c r="AJ62" s="1281"/>
      <c r="AK62" s="1281"/>
    </row>
    <row r="63" spans="1:37" s="1280" customFormat="1" ht="25.5">
      <c r="A63" s="2331" t="s">
        <v>2773</v>
      </c>
      <c r="B63" s="2335" t="str">
        <f>估价对象房地状况!C24</f>
        <v>城市次干道——新街口外大街</v>
      </c>
      <c r="C63" s="2236" t="s">
        <v>3260</v>
      </c>
      <c r="D63" s="1196">
        <f t="shared" si="15"/>
        <v>1.1999999999999999E-3</v>
      </c>
      <c r="E63" s="761"/>
      <c r="F63" s="2002"/>
      <c r="G63" s="1194">
        <v>1.1999999999999999E-3</v>
      </c>
      <c r="H63" s="1198">
        <f t="shared" si="16"/>
        <v>1.1999999999999999E-3</v>
      </c>
      <c r="I63" s="759">
        <v>0.05</v>
      </c>
      <c r="J63" s="1195">
        <f t="shared" si="17"/>
        <v>2.3999999999999998E-3</v>
      </c>
      <c r="K63" s="1195">
        <f t="shared" si="18"/>
        <v>1.1999999999999999E-3</v>
      </c>
      <c r="L63" s="1195">
        <v>0</v>
      </c>
      <c r="M63" s="1195">
        <f t="shared" si="19"/>
        <v>-1.1999999999999999E-3</v>
      </c>
      <c r="N63" s="1195">
        <f t="shared" si="19"/>
        <v>-2.3999999999999998E-3</v>
      </c>
      <c r="AA63" s="1281"/>
      <c r="AB63" s="1281"/>
      <c r="AC63" s="1281"/>
      <c r="AD63" s="1281"/>
      <c r="AE63" s="1281"/>
      <c r="AF63" s="1281"/>
      <c r="AG63" s="1281"/>
      <c r="AH63" s="1281"/>
      <c r="AI63" s="1281"/>
      <c r="AJ63" s="1281"/>
      <c r="AK63" s="1281"/>
    </row>
    <row r="64" spans="1:37" s="1280" customFormat="1" ht="24">
      <c r="A64" s="2331" t="s">
        <v>2774</v>
      </c>
      <c r="B64" s="2337" t="s">
        <v>2775</v>
      </c>
      <c r="C64" s="2236" t="s">
        <v>3260</v>
      </c>
      <c r="D64" s="1196">
        <f t="shared" si="15"/>
        <v>1.1999999999999999E-3</v>
      </c>
      <c r="E64" s="761"/>
      <c r="F64" s="2002"/>
      <c r="G64" s="1194">
        <v>1.1999999999999999E-3</v>
      </c>
      <c r="H64" s="1198">
        <f t="shared" si="16"/>
        <v>1.1999999999999999E-3</v>
      </c>
      <c r="I64" s="759">
        <v>0.05</v>
      </c>
      <c r="J64" s="1195">
        <f t="shared" si="17"/>
        <v>2.3999999999999998E-3</v>
      </c>
      <c r="K64" s="1195">
        <f t="shared" si="18"/>
        <v>1.1999999999999999E-3</v>
      </c>
      <c r="L64" s="1195">
        <v>0</v>
      </c>
      <c r="M64" s="1195">
        <f t="shared" si="19"/>
        <v>-1.1999999999999999E-3</v>
      </c>
      <c r="N64" s="1195">
        <f t="shared" si="19"/>
        <v>-2.3999999999999998E-3</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v>
      </c>
      <c r="C65" s="2236" t="s">
        <v>3261</v>
      </c>
      <c r="D65" s="1196">
        <f t="shared" si="15"/>
        <v>3.0000000000000001E-3</v>
      </c>
      <c r="E65" s="761"/>
      <c r="F65" s="2002"/>
      <c r="G65" s="1194">
        <v>1.5E-3</v>
      </c>
      <c r="H65" s="1198">
        <f t="shared" si="16"/>
        <v>1.5E-3</v>
      </c>
      <c r="I65" s="759">
        <v>0.06</v>
      </c>
      <c r="J65" s="1195">
        <f t="shared" si="17"/>
        <v>3.0000000000000001E-3</v>
      </c>
      <c r="K65" s="1195">
        <f t="shared" si="18"/>
        <v>1.5E-3</v>
      </c>
      <c r="L65" s="1195">
        <v>0</v>
      </c>
      <c r="M65" s="1195">
        <f t="shared" si="19"/>
        <v>-1.5E-3</v>
      </c>
      <c r="N65" s="1195">
        <f t="shared" si="19"/>
        <v>-3.0000000000000001E-3</v>
      </c>
      <c r="AA65" s="1281"/>
      <c r="AB65" s="1281"/>
      <c r="AC65" s="1281"/>
      <c r="AD65" s="1281"/>
      <c r="AE65" s="1281"/>
      <c r="AF65" s="1281"/>
      <c r="AG65" s="1281"/>
      <c r="AH65" s="1281"/>
      <c r="AI65" s="1281"/>
      <c r="AJ65" s="1281"/>
      <c r="AK65" s="1281"/>
    </row>
    <row r="66" spans="1:37" s="1280" customFormat="1" ht="24">
      <c r="A66" s="2331" t="s">
        <v>2777</v>
      </c>
      <c r="B66" s="1496" t="str">
        <f>估价对象房地状况!C22</f>
        <v>七通</v>
      </c>
      <c r="C66" s="2236" t="s">
        <v>3261</v>
      </c>
      <c r="D66" s="1196">
        <f t="shared" si="15"/>
        <v>6.0000000000000001E-3</v>
      </c>
      <c r="E66" s="761"/>
      <c r="F66" s="2002"/>
      <c r="G66" s="1194">
        <v>3.0000000000000001E-3</v>
      </c>
      <c r="H66" s="1198">
        <f t="shared" si="16"/>
        <v>3.0000000000000001E-3</v>
      </c>
      <c r="I66" s="759">
        <v>0.12</v>
      </c>
      <c r="J66" s="1195">
        <f t="shared" si="17"/>
        <v>6.0000000000000001E-3</v>
      </c>
      <c r="K66" s="1195">
        <f t="shared" si="18"/>
        <v>3.0000000000000001E-3</v>
      </c>
      <c r="L66" s="1195">
        <v>0</v>
      </c>
      <c r="M66" s="1195">
        <f t="shared" si="19"/>
        <v>-3.0000000000000001E-3</v>
      </c>
      <c r="N66" s="1195">
        <f t="shared" si="19"/>
        <v>-6.0000000000000001E-3</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区域自然环境：；人文环境；综合评价环境状况较好</v>
      </c>
      <c r="C67" s="2236" t="s">
        <v>3260</v>
      </c>
      <c r="D67" s="1196">
        <f t="shared" si="15"/>
        <v>1.5E-3</v>
      </c>
      <c r="E67" s="764"/>
      <c r="F67" s="2002"/>
      <c r="G67" s="1194">
        <v>1.5E-3</v>
      </c>
      <c r="H67" s="1198">
        <f t="shared" si="16"/>
        <v>1.5E-3</v>
      </c>
      <c r="I67" s="763">
        <v>0.06</v>
      </c>
      <c r="J67" s="1195">
        <f t="shared" si="17"/>
        <v>3.0000000000000001E-3</v>
      </c>
      <c r="K67" s="1195">
        <f t="shared" si="18"/>
        <v>1.5E-3</v>
      </c>
      <c r="L67" s="1195">
        <v>0</v>
      </c>
      <c r="M67" s="1195">
        <f t="shared" si="19"/>
        <v>-1.5E-3</v>
      </c>
      <c r="N67" s="1195">
        <f t="shared" si="19"/>
        <v>-3.0000000000000001E-3</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31" t="s">
        <v>2784</v>
      </c>
      <c r="B73" s="2335" t="str">
        <f>估价对象房地状况!C24</f>
        <v>城市次干道——新街口外大街</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2777</v>
      </c>
      <c r="B75" s="1496" t="str">
        <f>估价对象房地状况!C22</f>
        <v>七通</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区域自然环境：；人文环境；综合评价环境状况较好</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39" t="s">
        <v>2790</v>
      </c>
      <c r="B90" s="3439"/>
      <c r="C90" s="3439"/>
      <c r="D90" s="3439"/>
      <c r="E90" s="3439"/>
      <c r="F90" s="3439"/>
      <c r="G90" s="3439"/>
      <c r="H90" s="3439"/>
      <c r="I90" s="3439"/>
      <c r="J90" s="3439"/>
      <c r="K90" s="2345"/>
      <c r="L90" s="2345"/>
      <c r="M90" s="2345"/>
      <c r="N90" s="2345"/>
    </row>
    <row r="91" spans="1:37">
      <c r="A91" s="3441" t="s">
        <v>2791</v>
      </c>
      <c r="B91" s="3441" t="s">
        <v>2792</v>
      </c>
      <c r="C91" s="2299" t="s">
        <v>2793</v>
      </c>
      <c r="D91" s="2300"/>
      <c r="E91" s="2300"/>
      <c r="F91" s="2300"/>
      <c r="G91" s="2300"/>
      <c r="H91" s="2300"/>
      <c r="I91" s="2300"/>
      <c r="J91" s="2346"/>
      <c r="K91" s="2347"/>
      <c r="L91" s="2347"/>
      <c r="M91" s="2347"/>
      <c r="N91" s="2347"/>
    </row>
    <row r="92" spans="1:37">
      <c r="A92" s="3441"/>
      <c r="B92" s="344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4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4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4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4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4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4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43"/>
      <c r="B99" s="2348" t="s">
        <v>2677</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4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42" t="s">
        <v>2795</v>
      </c>
      <c r="B101" s="2352" t="s">
        <v>2796</v>
      </c>
      <c r="C101" s="2353">
        <f>$G$3</f>
        <v>2.5</v>
      </c>
      <c r="D101" s="2353">
        <f t="shared" ref="D101:N101" si="31">$G$3</f>
        <v>2.5</v>
      </c>
      <c r="E101" s="2353">
        <f t="shared" si="31"/>
        <v>2.5</v>
      </c>
      <c r="F101" s="2353">
        <f t="shared" si="31"/>
        <v>2.5</v>
      </c>
      <c r="G101" s="2353">
        <f t="shared" si="31"/>
        <v>2.5</v>
      </c>
      <c r="H101" s="2353">
        <f t="shared" si="31"/>
        <v>2.5</v>
      </c>
      <c r="I101" s="2353">
        <f t="shared" si="31"/>
        <v>2.5</v>
      </c>
      <c r="J101" s="2353">
        <f t="shared" si="31"/>
        <v>2.5</v>
      </c>
      <c r="K101" s="2353">
        <f t="shared" si="31"/>
        <v>2.5</v>
      </c>
      <c r="L101" s="2353">
        <f t="shared" si="31"/>
        <v>2.5</v>
      </c>
      <c r="M101" s="2353">
        <f t="shared" si="31"/>
        <v>2.5</v>
      </c>
      <c r="N101" s="2353">
        <f t="shared" si="31"/>
        <v>2.5</v>
      </c>
    </row>
    <row r="102" spans="1:14">
      <c r="A102" s="3443"/>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443"/>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443"/>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443"/>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443"/>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443"/>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443"/>
      <c r="B108" s="3445"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44"/>
      <c r="B109" s="3446"/>
      <c r="C109" s="2351">
        <f>(-0.163*(C108^2)-0.59*C108+7617)*(10^(-4))/C101</f>
        <v>0.30468000000000001</v>
      </c>
      <c r="D109" s="2351">
        <f>(-0.163*(D108^2)-0.59*D108+7617)*(10^(-4))/D101</f>
        <v>0.30468000000000001</v>
      </c>
      <c r="E109" s="2351">
        <f>(-0.161*(E108^2)-7.509*E108+6533)*(10^(-4))/E101</f>
        <v>0.26132</v>
      </c>
      <c r="F109" s="2351">
        <f>(-0.161*(F108^2)-7.509*F108+6533)*(10^(-4))/F101</f>
        <v>0.26132</v>
      </c>
      <c r="G109" s="2351">
        <f>(-0.161*(G108^2)-7.509*G108+6533)*(10^(-4))/G101</f>
        <v>0.26132</v>
      </c>
      <c r="H109" s="2351">
        <f>(-0.161*(H108^2)-7.509*H108+6533)*(10^(-4))/H101</f>
        <v>0.26132</v>
      </c>
      <c r="I109" s="2351">
        <f>(-0.161*(I108^2)-7.509*I108+6533)*(10^(-4))/I101</f>
        <v>0.26132</v>
      </c>
      <c r="J109" s="2351">
        <f>(-0.214*(J108^2)-21.991*J108+4665)*(10^(-4))/J101</f>
        <v>0.18660000000000002</v>
      </c>
      <c r="K109" s="2351">
        <f>(-0.214*(K108^2)-21.991*K108+4665)*(10^(-4))/K101</f>
        <v>0.18660000000000002</v>
      </c>
      <c r="L109" s="2351">
        <f>(-0.214*(L108^2)-21.991*L108+4665)*(10^(-4))/L101</f>
        <v>0.18660000000000002</v>
      </c>
      <c r="M109" s="2351">
        <f>(-0.214*(M108^2)-21.991*M108+4665)*(10^(-4))/M101</f>
        <v>0.18660000000000002</v>
      </c>
      <c r="N109" s="2351">
        <f>(-0.214*(N108^2)-21.991*N108+4665)*(10^(-4))/N101</f>
        <v>0.18660000000000002</v>
      </c>
    </row>
    <row r="110" spans="1:14">
      <c r="A110" s="3440" t="s">
        <v>2798</v>
      </c>
      <c r="B110" s="3440"/>
      <c r="C110" s="3440"/>
      <c r="D110" s="3440"/>
      <c r="E110" s="3440"/>
      <c r="F110" s="3440"/>
      <c r="G110" s="3440"/>
      <c r="H110" s="3440"/>
      <c r="I110" s="3440"/>
      <c r="J110" s="3440"/>
      <c r="K110" s="2354"/>
      <c r="L110" s="2354"/>
      <c r="M110" s="2354"/>
      <c r="N110" s="2354"/>
    </row>
    <row r="112" spans="1:14" ht="13.5" thickBot="1"/>
    <row r="113" spans="1:13" ht="25.5" thickBot="1">
      <c r="A113" s="842" t="s">
        <v>2799</v>
      </c>
      <c r="B113" s="1197">
        <f>G3</f>
        <v>2.5</v>
      </c>
      <c r="C113" s="843" t="s">
        <v>2800</v>
      </c>
      <c r="D113" s="844">
        <f>SUMPRODUCT((A115:A118=F113)*(B114:M114=H113)*B115:M118)</f>
        <v>0.82420000000000004</v>
      </c>
      <c r="E113" s="2190" t="s">
        <v>2635</v>
      </c>
      <c r="F113" s="2356" t="str">
        <f>E2</f>
        <v>办公</v>
      </c>
      <c r="G113" s="2190" t="s">
        <v>2636</v>
      </c>
      <c r="H113" s="2356" t="str">
        <f>G2</f>
        <v>三级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2700</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2701</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34" zoomScale="130" zoomScaleNormal="100" zoomScaleSheetLayoutView="130" workbookViewId="0">
      <selection activeCell="E38" sqref="E38:F38"/>
    </sheetView>
  </sheetViews>
  <sheetFormatPr defaultRowHeight="13.5"/>
  <cols>
    <col min="1" max="1" width="6.375" style="3049" customWidth="1"/>
    <col min="2" max="2" width="19.375" style="3114" customWidth="1"/>
    <col min="3" max="3" width="7" style="3115" customWidth="1"/>
    <col min="4" max="4" width="3.25" style="3115" customWidth="1"/>
    <col min="5" max="5" width="7.375" style="3115" customWidth="1"/>
    <col min="6" max="6" width="3.5" style="3115" customWidth="1"/>
    <col min="7" max="7" width="19.375" style="3116" customWidth="1"/>
    <col min="8" max="8" width="19.5" style="3049" customWidth="1"/>
    <col min="9" max="9" width="8.625" style="3049" customWidth="1"/>
    <col min="10" max="10" width="10.5" style="3045" customWidth="1"/>
    <col min="11" max="11" width="4.875" style="3077" customWidth="1"/>
    <col min="12" max="12" width="16.375" style="3077" customWidth="1"/>
    <col min="13" max="16" width="8.125" style="3049" customWidth="1"/>
    <col min="17" max="256" width="9" style="3049"/>
    <col min="257" max="257" width="6.375" style="3049" customWidth="1"/>
    <col min="258" max="258" width="19.375" style="3049" customWidth="1"/>
    <col min="259" max="259" width="7" style="3049" customWidth="1"/>
    <col min="260" max="260" width="3.25" style="3049" customWidth="1"/>
    <col min="261" max="261" width="7.375" style="3049" customWidth="1"/>
    <col min="262" max="262" width="3.5" style="3049" customWidth="1"/>
    <col min="263" max="263" width="19.375" style="3049" customWidth="1"/>
    <col min="264" max="264" width="19.5" style="3049" customWidth="1"/>
    <col min="265" max="265" width="8.625" style="3049" customWidth="1"/>
    <col min="266" max="266" width="10.5" style="3049" customWidth="1"/>
    <col min="267" max="267" width="4.875" style="3049" customWidth="1"/>
    <col min="268" max="268" width="16.375" style="3049" customWidth="1"/>
    <col min="269" max="272" width="8.125" style="3049" customWidth="1"/>
    <col min="273" max="512" width="9" style="3049"/>
    <col min="513" max="513" width="6.375" style="3049" customWidth="1"/>
    <col min="514" max="514" width="19.375" style="3049" customWidth="1"/>
    <col min="515" max="515" width="7" style="3049" customWidth="1"/>
    <col min="516" max="516" width="3.25" style="3049" customWidth="1"/>
    <col min="517" max="517" width="7.375" style="3049" customWidth="1"/>
    <col min="518" max="518" width="3.5" style="3049" customWidth="1"/>
    <col min="519" max="519" width="19.375" style="3049" customWidth="1"/>
    <col min="520" max="520" width="19.5" style="3049" customWidth="1"/>
    <col min="521" max="521" width="8.625" style="3049" customWidth="1"/>
    <col min="522" max="522" width="10.5" style="3049" customWidth="1"/>
    <col min="523" max="523" width="4.875" style="3049" customWidth="1"/>
    <col min="524" max="524" width="16.375" style="3049" customWidth="1"/>
    <col min="525" max="528" width="8.125" style="3049" customWidth="1"/>
    <col min="529" max="768" width="9" style="3049"/>
    <col min="769" max="769" width="6.375" style="3049" customWidth="1"/>
    <col min="770" max="770" width="19.375" style="3049" customWidth="1"/>
    <col min="771" max="771" width="7" style="3049" customWidth="1"/>
    <col min="772" max="772" width="3.25" style="3049" customWidth="1"/>
    <col min="773" max="773" width="7.375" style="3049" customWidth="1"/>
    <col min="774" max="774" width="3.5" style="3049" customWidth="1"/>
    <col min="775" max="775" width="19.375" style="3049" customWidth="1"/>
    <col min="776" max="776" width="19.5" style="3049" customWidth="1"/>
    <col min="777" max="777" width="8.625" style="3049" customWidth="1"/>
    <col min="778" max="778" width="10.5" style="3049" customWidth="1"/>
    <col min="779" max="779" width="4.875" style="3049" customWidth="1"/>
    <col min="780" max="780" width="16.375" style="3049" customWidth="1"/>
    <col min="781" max="784" width="8.125" style="3049" customWidth="1"/>
    <col min="785" max="1024" width="9" style="3049"/>
    <col min="1025" max="1025" width="6.375" style="3049" customWidth="1"/>
    <col min="1026" max="1026" width="19.375" style="3049" customWidth="1"/>
    <col min="1027" max="1027" width="7" style="3049" customWidth="1"/>
    <col min="1028" max="1028" width="3.25" style="3049" customWidth="1"/>
    <col min="1029" max="1029" width="7.375" style="3049" customWidth="1"/>
    <col min="1030" max="1030" width="3.5" style="3049" customWidth="1"/>
    <col min="1031" max="1031" width="19.375" style="3049" customWidth="1"/>
    <col min="1032" max="1032" width="19.5" style="3049" customWidth="1"/>
    <col min="1033" max="1033" width="8.625" style="3049" customWidth="1"/>
    <col min="1034" max="1034" width="10.5" style="3049" customWidth="1"/>
    <col min="1035" max="1035" width="4.875" style="3049" customWidth="1"/>
    <col min="1036" max="1036" width="16.375" style="3049" customWidth="1"/>
    <col min="1037" max="1040" width="8.125" style="3049" customWidth="1"/>
    <col min="1041" max="1280" width="9" style="3049"/>
    <col min="1281" max="1281" width="6.375" style="3049" customWidth="1"/>
    <col min="1282" max="1282" width="19.375" style="3049" customWidth="1"/>
    <col min="1283" max="1283" width="7" style="3049" customWidth="1"/>
    <col min="1284" max="1284" width="3.25" style="3049" customWidth="1"/>
    <col min="1285" max="1285" width="7.375" style="3049" customWidth="1"/>
    <col min="1286" max="1286" width="3.5" style="3049" customWidth="1"/>
    <col min="1287" max="1287" width="19.375" style="3049" customWidth="1"/>
    <col min="1288" max="1288" width="19.5" style="3049" customWidth="1"/>
    <col min="1289" max="1289" width="8.625" style="3049" customWidth="1"/>
    <col min="1290" max="1290" width="10.5" style="3049" customWidth="1"/>
    <col min="1291" max="1291" width="4.875" style="3049" customWidth="1"/>
    <col min="1292" max="1292" width="16.375" style="3049" customWidth="1"/>
    <col min="1293" max="1296" width="8.125" style="3049" customWidth="1"/>
    <col min="1297" max="1536" width="9" style="3049"/>
    <col min="1537" max="1537" width="6.375" style="3049" customWidth="1"/>
    <col min="1538" max="1538" width="19.375" style="3049" customWidth="1"/>
    <col min="1539" max="1539" width="7" style="3049" customWidth="1"/>
    <col min="1540" max="1540" width="3.25" style="3049" customWidth="1"/>
    <col min="1541" max="1541" width="7.375" style="3049" customWidth="1"/>
    <col min="1542" max="1542" width="3.5" style="3049" customWidth="1"/>
    <col min="1543" max="1543" width="19.375" style="3049" customWidth="1"/>
    <col min="1544" max="1544" width="19.5" style="3049" customWidth="1"/>
    <col min="1545" max="1545" width="8.625" style="3049" customWidth="1"/>
    <col min="1546" max="1546" width="10.5" style="3049" customWidth="1"/>
    <col min="1547" max="1547" width="4.875" style="3049" customWidth="1"/>
    <col min="1548" max="1548" width="16.375" style="3049" customWidth="1"/>
    <col min="1549" max="1552" width="8.125" style="3049" customWidth="1"/>
    <col min="1553" max="1792" width="9" style="3049"/>
    <col min="1793" max="1793" width="6.375" style="3049" customWidth="1"/>
    <col min="1794" max="1794" width="19.375" style="3049" customWidth="1"/>
    <col min="1795" max="1795" width="7" style="3049" customWidth="1"/>
    <col min="1796" max="1796" width="3.25" style="3049" customWidth="1"/>
    <col min="1797" max="1797" width="7.375" style="3049" customWidth="1"/>
    <col min="1798" max="1798" width="3.5" style="3049" customWidth="1"/>
    <col min="1799" max="1799" width="19.375" style="3049" customWidth="1"/>
    <col min="1800" max="1800" width="19.5" style="3049" customWidth="1"/>
    <col min="1801" max="1801" width="8.625" style="3049" customWidth="1"/>
    <col min="1802" max="1802" width="10.5" style="3049" customWidth="1"/>
    <col min="1803" max="1803" width="4.875" style="3049" customWidth="1"/>
    <col min="1804" max="1804" width="16.375" style="3049" customWidth="1"/>
    <col min="1805" max="1808" width="8.125" style="3049" customWidth="1"/>
    <col min="1809" max="2048" width="9" style="3049"/>
    <col min="2049" max="2049" width="6.375" style="3049" customWidth="1"/>
    <col min="2050" max="2050" width="19.375" style="3049" customWidth="1"/>
    <col min="2051" max="2051" width="7" style="3049" customWidth="1"/>
    <col min="2052" max="2052" width="3.25" style="3049" customWidth="1"/>
    <col min="2053" max="2053" width="7.375" style="3049" customWidth="1"/>
    <col min="2054" max="2054" width="3.5" style="3049" customWidth="1"/>
    <col min="2055" max="2055" width="19.375" style="3049" customWidth="1"/>
    <col min="2056" max="2056" width="19.5" style="3049" customWidth="1"/>
    <col min="2057" max="2057" width="8.625" style="3049" customWidth="1"/>
    <col min="2058" max="2058" width="10.5" style="3049" customWidth="1"/>
    <col min="2059" max="2059" width="4.875" style="3049" customWidth="1"/>
    <col min="2060" max="2060" width="16.375" style="3049" customWidth="1"/>
    <col min="2061" max="2064" width="8.125" style="3049" customWidth="1"/>
    <col min="2065" max="2304" width="9" style="3049"/>
    <col min="2305" max="2305" width="6.375" style="3049" customWidth="1"/>
    <col min="2306" max="2306" width="19.375" style="3049" customWidth="1"/>
    <col min="2307" max="2307" width="7" style="3049" customWidth="1"/>
    <col min="2308" max="2308" width="3.25" style="3049" customWidth="1"/>
    <col min="2309" max="2309" width="7.375" style="3049" customWidth="1"/>
    <col min="2310" max="2310" width="3.5" style="3049" customWidth="1"/>
    <col min="2311" max="2311" width="19.375" style="3049" customWidth="1"/>
    <col min="2312" max="2312" width="19.5" style="3049" customWidth="1"/>
    <col min="2313" max="2313" width="8.625" style="3049" customWidth="1"/>
    <col min="2314" max="2314" width="10.5" style="3049" customWidth="1"/>
    <col min="2315" max="2315" width="4.875" style="3049" customWidth="1"/>
    <col min="2316" max="2316" width="16.375" style="3049" customWidth="1"/>
    <col min="2317" max="2320" width="8.125" style="3049" customWidth="1"/>
    <col min="2321" max="2560" width="9" style="3049"/>
    <col min="2561" max="2561" width="6.375" style="3049" customWidth="1"/>
    <col min="2562" max="2562" width="19.375" style="3049" customWidth="1"/>
    <col min="2563" max="2563" width="7" style="3049" customWidth="1"/>
    <col min="2564" max="2564" width="3.25" style="3049" customWidth="1"/>
    <col min="2565" max="2565" width="7.375" style="3049" customWidth="1"/>
    <col min="2566" max="2566" width="3.5" style="3049" customWidth="1"/>
    <col min="2567" max="2567" width="19.375" style="3049" customWidth="1"/>
    <col min="2568" max="2568" width="19.5" style="3049" customWidth="1"/>
    <col min="2569" max="2569" width="8.625" style="3049" customWidth="1"/>
    <col min="2570" max="2570" width="10.5" style="3049" customWidth="1"/>
    <col min="2571" max="2571" width="4.875" style="3049" customWidth="1"/>
    <col min="2572" max="2572" width="16.375" style="3049" customWidth="1"/>
    <col min="2573" max="2576" width="8.125" style="3049" customWidth="1"/>
    <col min="2577" max="2816" width="9" style="3049"/>
    <col min="2817" max="2817" width="6.375" style="3049" customWidth="1"/>
    <col min="2818" max="2818" width="19.375" style="3049" customWidth="1"/>
    <col min="2819" max="2819" width="7" style="3049" customWidth="1"/>
    <col min="2820" max="2820" width="3.25" style="3049" customWidth="1"/>
    <col min="2821" max="2821" width="7.375" style="3049" customWidth="1"/>
    <col min="2822" max="2822" width="3.5" style="3049" customWidth="1"/>
    <col min="2823" max="2823" width="19.375" style="3049" customWidth="1"/>
    <col min="2824" max="2824" width="19.5" style="3049" customWidth="1"/>
    <col min="2825" max="2825" width="8.625" style="3049" customWidth="1"/>
    <col min="2826" max="2826" width="10.5" style="3049" customWidth="1"/>
    <col min="2827" max="2827" width="4.875" style="3049" customWidth="1"/>
    <col min="2828" max="2828" width="16.375" style="3049" customWidth="1"/>
    <col min="2829" max="2832" width="8.125" style="3049" customWidth="1"/>
    <col min="2833" max="3072" width="9" style="3049"/>
    <col min="3073" max="3073" width="6.375" style="3049" customWidth="1"/>
    <col min="3074" max="3074" width="19.375" style="3049" customWidth="1"/>
    <col min="3075" max="3075" width="7" style="3049" customWidth="1"/>
    <col min="3076" max="3076" width="3.25" style="3049" customWidth="1"/>
    <col min="3077" max="3077" width="7.375" style="3049" customWidth="1"/>
    <col min="3078" max="3078" width="3.5" style="3049" customWidth="1"/>
    <col min="3079" max="3079" width="19.375" style="3049" customWidth="1"/>
    <col min="3080" max="3080" width="19.5" style="3049" customWidth="1"/>
    <col min="3081" max="3081" width="8.625" style="3049" customWidth="1"/>
    <col min="3082" max="3082" width="10.5" style="3049" customWidth="1"/>
    <col min="3083" max="3083" width="4.875" style="3049" customWidth="1"/>
    <col min="3084" max="3084" width="16.375" style="3049" customWidth="1"/>
    <col min="3085" max="3088" width="8.125" style="3049" customWidth="1"/>
    <col min="3089" max="3328" width="9" style="3049"/>
    <col min="3329" max="3329" width="6.375" style="3049" customWidth="1"/>
    <col min="3330" max="3330" width="19.375" style="3049" customWidth="1"/>
    <col min="3331" max="3331" width="7" style="3049" customWidth="1"/>
    <col min="3332" max="3332" width="3.25" style="3049" customWidth="1"/>
    <col min="3333" max="3333" width="7.375" style="3049" customWidth="1"/>
    <col min="3334" max="3334" width="3.5" style="3049" customWidth="1"/>
    <col min="3335" max="3335" width="19.375" style="3049" customWidth="1"/>
    <col min="3336" max="3336" width="19.5" style="3049" customWidth="1"/>
    <col min="3337" max="3337" width="8.625" style="3049" customWidth="1"/>
    <col min="3338" max="3338" width="10.5" style="3049" customWidth="1"/>
    <col min="3339" max="3339" width="4.875" style="3049" customWidth="1"/>
    <col min="3340" max="3340" width="16.375" style="3049" customWidth="1"/>
    <col min="3341" max="3344" width="8.125" style="3049" customWidth="1"/>
    <col min="3345" max="3584" width="9" style="3049"/>
    <col min="3585" max="3585" width="6.375" style="3049" customWidth="1"/>
    <col min="3586" max="3586" width="19.375" style="3049" customWidth="1"/>
    <col min="3587" max="3587" width="7" style="3049" customWidth="1"/>
    <col min="3588" max="3588" width="3.25" style="3049" customWidth="1"/>
    <col min="3589" max="3589" width="7.375" style="3049" customWidth="1"/>
    <col min="3590" max="3590" width="3.5" style="3049" customWidth="1"/>
    <col min="3591" max="3591" width="19.375" style="3049" customWidth="1"/>
    <col min="3592" max="3592" width="19.5" style="3049" customWidth="1"/>
    <col min="3593" max="3593" width="8.625" style="3049" customWidth="1"/>
    <col min="3594" max="3594" width="10.5" style="3049" customWidth="1"/>
    <col min="3595" max="3595" width="4.875" style="3049" customWidth="1"/>
    <col min="3596" max="3596" width="16.375" style="3049" customWidth="1"/>
    <col min="3597" max="3600" width="8.125" style="3049" customWidth="1"/>
    <col min="3601" max="3840" width="9" style="3049"/>
    <col min="3841" max="3841" width="6.375" style="3049" customWidth="1"/>
    <col min="3842" max="3842" width="19.375" style="3049" customWidth="1"/>
    <col min="3843" max="3843" width="7" style="3049" customWidth="1"/>
    <col min="3844" max="3844" width="3.25" style="3049" customWidth="1"/>
    <col min="3845" max="3845" width="7.375" style="3049" customWidth="1"/>
    <col min="3846" max="3846" width="3.5" style="3049" customWidth="1"/>
    <col min="3847" max="3847" width="19.375" style="3049" customWidth="1"/>
    <col min="3848" max="3848" width="19.5" style="3049" customWidth="1"/>
    <col min="3849" max="3849" width="8.625" style="3049" customWidth="1"/>
    <col min="3850" max="3850" width="10.5" style="3049" customWidth="1"/>
    <col min="3851" max="3851" width="4.875" style="3049" customWidth="1"/>
    <col min="3852" max="3852" width="16.375" style="3049" customWidth="1"/>
    <col min="3853" max="3856" width="8.125" style="3049" customWidth="1"/>
    <col min="3857" max="4096" width="9" style="3049"/>
    <col min="4097" max="4097" width="6.375" style="3049" customWidth="1"/>
    <col min="4098" max="4098" width="19.375" style="3049" customWidth="1"/>
    <col min="4099" max="4099" width="7" style="3049" customWidth="1"/>
    <col min="4100" max="4100" width="3.25" style="3049" customWidth="1"/>
    <col min="4101" max="4101" width="7.375" style="3049" customWidth="1"/>
    <col min="4102" max="4102" width="3.5" style="3049" customWidth="1"/>
    <col min="4103" max="4103" width="19.375" style="3049" customWidth="1"/>
    <col min="4104" max="4104" width="19.5" style="3049" customWidth="1"/>
    <col min="4105" max="4105" width="8.625" style="3049" customWidth="1"/>
    <col min="4106" max="4106" width="10.5" style="3049" customWidth="1"/>
    <col min="4107" max="4107" width="4.875" style="3049" customWidth="1"/>
    <col min="4108" max="4108" width="16.375" style="3049" customWidth="1"/>
    <col min="4109" max="4112" width="8.125" style="3049" customWidth="1"/>
    <col min="4113" max="4352" width="9" style="3049"/>
    <col min="4353" max="4353" width="6.375" style="3049" customWidth="1"/>
    <col min="4354" max="4354" width="19.375" style="3049" customWidth="1"/>
    <col min="4355" max="4355" width="7" style="3049" customWidth="1"/>
    <col min="4356" max="4356" width="3.25" style="3049" customWidth="1"/>
    <col min="4357" max="4357" width="7.375" style="3049" customWidth="1"/>
    <col min="4358" max="4358" width="3.5" style="3049" customWidth="1"/>
    <col min="4359" max="4359" width="19.375" style="3049" customWidth="1"/>
    <col min="4360" max="4360" width="19.5" style="3049" customWidth="1"/>
    <col min="4361" max="4361" width="8.625" style="3049" customWidth="1"/>
    <col min="4362" max="4362" width="10.5" style="3049" customWidth="1"/>
    <col min="4363" max="4363" width="4.875" style="3049" customWidth="1"/>
    <col min="4364" max="4364" width="16.375" style="3049" customWidth="1"/>
    <col min="4365" max="4368" width="8.125" style="3049" customWidth="1"/>
    <col min="4369" max="4608" width="9" style="3049"/>
    <col min="4609" max="4609" width="6.375" style="3049" customWidth="1"/>
    <col min="4610" max="4610" width="19.375" style="3049" customWidth="1"/>
    <col min="4611" max="4611" width="7" style="3049" customWidth="1"/>
    <col min="4612" max="4612" width="3.25" style="3049" customWidth="1"/>
    <col min="4613" max="4613" width="7.375" style="3049" customWidth="1"/>
    <col min="4614" max="4614" width="3.5" style="3049" customWidth="1"/>
    <col min="4615" max="4615" width="19.375" style="3049" customWidth="1"/>
    <col min="4616" max="4616" width="19.5" style="3049" customWidth="1"/>
    <col min="4617" max="4617" width="8.625" style="3049" customWidth="1"/>
    <col min="4618" max="4618" width="10.5" style="3049" customWidth="1"/>
    <col min="4619" max="4619" width="4.875" style="3049" customWidth="1"/>
    <col min="4620" max="4620" width="16.375" style="3049" customWidth="1"/>
    <col min="4621" max="4624" width="8.125" style="3049" customWidth="1"/>
    <col min="4625" max="4864" width="9" style="3049"/>
    <col min="4865" max="4865" width="6.375" style="3049" customWidth="1"/>
    <col min="4866" max="4866" width="19.375" style="3049" customWidth="1"/>
    <col min="4867" max="4867" width="7" style="3049" customWidth="1"/>
    <col min="4868" max="4868" width="3.25" style="3049" customWidth="1"/>
    <col min="4869" max="4869" width="7.375" style="3049" customWidth="1"/>
    <col min="4870" max="4870" width="3.5" style="3049" customWidth="1"/>
    <col min="4871" max="4871" width="19.375" style="3049" customWidth="1"/>
    <col min="4872" max="4872" width="19.5" style="3049" customWidth="1"/>
    <col min="4873" max="4873" width="8.625" style="3049" customWidth="1"/>
    <col min="4874" max="4874" width="10.5" style="3049" customWidth="1"/>
    <col min="4875" max="4875" width="4.875" style="3049" customWidth="1"/>
    <col min="4876" max="4876" width="16.375" style="3049" customWidth="1"/>
    <col min="4877" max="4880" width="8.125" style="3049" customWidth="1"/>
    <col min="4881" max="5120" width="9" style="3049"/>
    <col min="5121" max="5121" width="6.375" style="3049" customWidth="1"/>
    <col min="5122" max="5122" width="19.375" style="3049" customWidth="1"/>
    <col min="5123" max="5123" width="7" style="3049" customWidth="1"/>
    <col min="5124" max="5124" width="3.25" style="3049" customWidth="1"/>
    <col min="5125" max="5125" width="7.375" style="3049" customWidth="1"/>
    <col min="5126" max="5126" width="3.5" style="3049" customWidth="1"/>
    <col min="5127" max="5127" width="19.375" style="3049" customWidth="1"/>
    <col min="5128" max="5128" width="19.5" style="3049" customWidth="1"/>
    <col min="5129" max="5129" width="8.625" style="3049" customWidth="1"/>
    <col min="5130" max="5130" width="10.5" style="3049" customWidth="1"/>
    <col min="5131" max="5131" width="4.875" style="3049" customWidth="1"/>
    <col min="5132" max="5132" width="16.375" style="3049" customWidth="1"/>
    <col min="5133" max="5136" width="8.125" style="3049" customWidth="1"/>
    <col min="5137" max="5376" width="9" style="3049"/>
    <col min="5377" max="5377" width="6.375" style="3049" customWidth="1"/>
    <col min="5378" max="5378" width="19.375" style="3049" customWidth="1"/>
    <col min="5379" max="5379" width="7" style="3049" customWidth="1"/>
    <col min="5380" max="5380" width="3.25" style="3049" customWidth="1"/>
    <col min="5381" max="5381" width="7.375" style="3049" customWidth="1"/>
    <col min="5382" max="5382" width="3.5" style="3049" customWidth="1"/>
    <col min="5383" max="5383" width="19.375" style="3049" customWidth="1"/>
    <col min="5384" max="5384" width="19.5" style="3049" customWidth="1"/>
    <col min="5385" max="5385" width="8.625" style="3049" customWidth="1"/>
    <col min="5386" max="5386" width="10.5" style="3049" customWidth="1"/>
    <col min="5387" max="5387" width="4.875" style="3049" customWidth="1"/>
    <col min="5388" max="5388" width="16.375" style="3049" customWidth="1"/>
    <col min="5389" max="5392" width="8.125" style="3049" customWidth="1"/>
    <col min="5393" max="5632" width="9" style="3049"/>
    <col min="5633" max="5633" width="6.375" style="3049" customWidth="1"/>
    <col min="5634" max="5634" width="19.375" style="3049" customWidth="1"/>
    <col min="5635" max="5635" width="7" style="3049" customWidth="1"/>
    <col min="5636" max="5636" width="3.25" style="3049" customWidth="1"/>
    <col min="5637" max="5637" width="7.375" style="3049" customWidth="1"/>
    <col min="5638" max="5638" width="3.5" style="3049" customWidth="1"/>
    <col min="5639" max="5639" width="19.375" style="3049" customWidth="1"/>
    <col min="5640" max="5640" width="19.5" style="3049" customWidth="1"/>
    <col min="5641" max="5641" width="8.625" style="3049" customWidth="1"/>
    <col min="5642" max="5642" width="10.5" style="3049" customWidth="1"/>
    <col min="5643" max="5643" width="4.875" style="3049" customWidth="1"/>
    <col min="5644" max="5644" width="16.375" style="3049" customWidth="1"/>
    <col min="5645" max="5648" width="8.125" style="3049" customWidth="1"/>
    <col min="5649" max="5888" width="9" style="3049"/>
    <col min="5889" max="5889" width="6.375" style="3049" customWidth="1"/>
    <col min="5890" max="5890" width="19.375" style="3049" customWidth="1"/>
    <col min="5891" max="5891" width="7" style="3049" customWidth="1"/>
    <col min="5892" max="5892" width="3.25" style="3049" customWidth="1"/>
    <col min="5893" max="5893" width="7.375" style="3049" customWidth="1"/>
    <col min="5894" max="5894" width="3.5" style="3049" customWidth="1"/>
    <col min="5895" max="5895" width="19.375" style="3049" customWidth="1"/>
    <col min="5896" max="5896" width="19.5" style="3049" customWidth="1"/>
    <col min="5897" max="5897" width="8.625" style="3049" customWidth="1"/>
    <col min="5898" max="5898" width="10.5" style="3049" customWidth="1"/>
    <col min="5899" max="5899" width="4.875" style="3049" customWidth="1"/>
    <col min="5900" max="5900" width="16.375" style="3049" customWidth="1"/>
    <col min="5901" max="5904" width="8.125" style="3049" customWidth="1"/>
    <col min="5905" max="6144" width="9" style="3049"/>
    <col min="6145" max="6145" width="6.375" style="3049" customWidth="1"/>
    <col min="6146" max="6146" width="19.375" style="3049" customWidth="1"/>
    <col min="6147" max="6147" width="7" style="3049" customWidth="1"/>
    <col min="6148" max="6148" width="3.25" style="3049" customWidth="1"/>
    <col min="6149" max="6149" width="7.375" style="3049" customWidth="1"/>
    <col min="6150" max="6150" width="3.5" style="3049" customWidth="1"/>
    <col min="6151" max="6151" width="19.375" style="3049" customWidth="1"/>
    <col min="6152" max="6152" width="19.5" style="3049" customWidth="1"/>
    <col min="6153" max="6153" width="8.625" style="3049" customWidth="1"/>
    <col min="6154" max="6154" width="10.5" style="3049" customWidth="1"/>
    <col min="6155" max="6155" width="4.875" style="3049" customWidth="1"/>
    <col min="6156" max="6156" width="16.375" style="3049" customWidth="1"/>
    <col min="6157" max="6160" width="8.125" style="3049" customWidth="1"/>
    <col min="6161" max="6400" width="9" style="3049"/>
    <col min="6401" max="6401" width="6.375" style="3049" customWidth="1"/>
    <col min="6402" max="6402" width="19.375" style="3049" customWidth="1"/>
    <col min="6403" max="6403" width="7" style="3049" customWidth="1"/>
    <col min="6404" max="6404" width="3.25" style="3049" customWidth="1"/>
    <col min="6405" max="6405" width="7.375" style="3049" customWidth="1"/>
    <col min="6406" max="6406" width="3.5" style="3049" customWidth="1"/>
    <col min="6407" max="6407" width="19.375" style="3049" customWidth="1"/>
    <col min="6408" max="6408" width="19.5" style="3049" customWidth="1"/>
    <col min="6409" max="6409" width="8.625" style="3049" customWidth="1"/>
    <col min="6410" max="6410" width="10.5" style="3049" customWidth="1"/>
    <col min="6411" max="6411" width="4.875" style="3049" customWidth="1"/>
    <col min="6412" max="6412" width="16.375" style="3049" customWidth="1"/>
    <col min="6413" max="6416" width="8.125" style="3049" customWidth="1"/>
    <col min="6417" max="6656" width="9" style="3049"/>
    <col min="6657" max="6657" width="6.375" style="3049" customWidth="1"/>
    <col min="6658" max="6658" width="19.375" style="3049" customWidth="1"/>
    <col min="6659" max="6659" width="7" style="3049" customWidth="1"/>
    <col min="6660" max="6660" width="3.25" style="3049" customWidth="1"/>
    <col min="6661" max="6661" width="7.375" style="3049" customWidth="1"/>
    <col min="6662" max="6662" width="3.5" style="3049" customWidth="1"/>
    <col min="6663" max="6663" width="19.375" style="3049" customWidth="1"/>
    <col min="6664" max="6664" width="19.5" style="3049" customWidth="1"/>
    <col min="6665" max="6665" width="8.625" style="3049" customWidth="1"/>
    <col min="6666" max="6666" width="10.5" style="3049" customWidth="1"/>
    <col min="6667" max="6667" width="4.875" style="3049" customWidth="1"/>
    <col min="6668" max="6668" width="16.375" style="3049" customWidth="1"/>
    <col min="6669" max="6672" width="8.125" style="3049" customWidth="1"/>
    <col min="6673" max="6912" width="9" style="3049"/>
    <col min="6913" max="6913" width="6.375" style="3049" customWidth="1"/>
    <col min="6914" max="6914" width="19.375" style="3049" customWidth="1"/>
    <col min="6915" max="6915" width="7" style="3049" customWidth="1"/>
    <col min="6916" max="6916" width="3.25" style="3049" customWidth="1"/>
    <col min="6917" max="6917" width="7.375" style="3049" customWidth="1"/>
    <col min="6918" max="6918" width="3.5" style="3049" customWidth="1"/>
    <col min="6919" max="6919" width="19.375" style="3049" customWidth="1"/>
    <col min="6920" max="6920" width="19.5" style="3049" customWidth="1"/>
    <col min="6921" max="6921" width="8.625" style="3049" customWidth="1"/>
    <col min="6922" max="6922" width="10.5" style="3049" customWidth="1"/>
    <col min="6923" max="6923" width="4.875" style="3049" customWidth="1"/>
    <col min="6924" max="6924" width="16.375" style="3049" customWidth="1"/>
    <col min="6925" max="6928" width="8.125" style="3049" customWidth="1"/>
    <col min="6929" max="7168" width="9" style="3049"/>
    <col min="7169" max="7169" width="6.375" style="3049" customWidth="1"/>
    <col min="7170" max="7170" width="19.375" style="3049" customWidth="1"/>
    <col min="7171" max="7171" width="7" style="3049" customWidth="1"/>
    <col min="7172" max="7172" width="3.25" style="3049" customWidth="1"/>
    <col min="7173" max="7173" width="7.375" style="3049" customWidth="1"/>
    <col min="7174" max="7174" width="3.5" style="3049" customWidth="1"/>
    <col min="7175" max="7175" width="19.375" style="3049" customWidth="1"/>
    <col min="7176" max="7176" width="19.5" style="3049" customWidth="1"/>
    <col min="7177" max="7177" width="8.625" style="3049" customWidth="1"/>
    <col min="7178" max="7178" width="10.5" style="3049" customWidth="1"/>
    <col min="7179" max="7179" width="4.875" style="3049" customWidth="1"/>
    <col min="7180" max="7180" width="16.375" style="3049" customWidth="1"/>
    <col min="7181" max="7184" width="8.125" style="3049" customWidth="1"/>
    <col min="7185" max="7424" width="9" style="3049"/>
    <col min="7425" max="7425" width="6.375" style="3049" customWidth="1"/>
    <col min="7426" max="7426" width="19.375" style="3049" customWidth="1"/>
    <col min="7427" max="7427" width="7" style="3049" customWidth="1"/>
    <col min="7428" max="7428" width="3.25" style="3049" customWidth="1"/>
    <col min="7429" max="7429" width="7.375" style="3049" customWidth="1"/>
    <col min="7430" max="7430" width="3.5" style="3049" customWidth="1"/>
    <col min="7431" max="7431" width="19.375" style="3049" customWidth="1"/>
    <col min="7432" max="7432" width="19.5" style="3049" customWidth="1"/>
    <col min="7433" max="7433" width="8.625" style="3049" customWidth="1"/>
    <col min="7434" max="7434" width="10.5" style="3049" customWidth="1"/>
    <col min="7435" max="7435" width="4.875" style="3049" customWidth="1"/>
    <col min="7436" max="7436" width="16.375" style="3049" customWidth="1"/>
    <col min="7437" max="7440" width="8.125" style="3049" customWidth="1"/>
    <col min="7441" max="7680" width="9" style="3049"/>
    <col min="7681" max="7681" width="6.375" style="3049" customWidth="1"/>
    <col min="7682" max="7682" width="19.375" style="3049" customWidth="1"/>
    <col min="7683" max="7683" width="7" style="3049" customWidth="1"/>
    <col min="7684" max="7684" width="3.25" style="3049" customWidth="1"/>
    <col min="7685" max="7685" width="7.375" style="3049" customWidth="1"/>
    <col min="7686" max="7686" width="3.5" style="3049" customWidth="1"/>
    <col min="7687" max="7687" width="19.375" style="3049" customWidth="1"/>
    <col min="7688" max="7688" width="19.5" style="3049" customWidth="1"/>
    <col min="7689" max="7689" width="8.625" style="3049" customWidth="1"/>
    <col min="7690" max="7690" width="10.5" style="3049" customWidth="1"/>
    <col min="7691" max="7691" width="4.875" style="3049" customWidth="1"/>
    <col min="7692" max="7692" width="16.375" style="3049" customWidth="1"/>
    <col min="7693" max="7696" width="8.125" style="3049" customWidth="1"/>
    <col min="7697" max="7936" width="9" style="3049"/>
    <col min="7937" max="7937" width="6.375" style="3049" customWidth="1"/>
    <col min="7938" max="7938" width="19.375" style="3049" customWidth="1"/>
    <col min="7939" max="7939" width="7" style="3049" customWidth="1"/>
    <col min="7940" max="7940" width="3.25" style="3049" customWidth="1"/>
    <col min="7941" max="7941" width="7.375" style="3049" customWidth="1"/>
    <col min="7942" max="7942" width="3.5" style="3049" customWidth="1"/>
    <col min="7943" max="7943" width="19.375" style="3049" customWidth="1"/>
    <col min="7944" max="7944" width="19.5" style="3049" customWidth="1"/>
    <col min="7945" max="7945" width="8.625" style="3049" customWidth="1"/>
    <col min="7946" max="7946" width="10.5" style="3049" customWidth="1"/>
    <col min="7947" max="7947" width="4.875" style="3049" customWidth="1"/>
    <col min="7948" max="7948" width="16.375" style="3049" customWidth="1"/>
    <col min="7949" max="7952" width="8.125" style="3049" customWidth="1"/>
    <col min="7953" max="8192" width="9" style="3049"/>
    <col min="8193" max="8193" width="6.375" style="3049" customWidth="1"/>
    <col min="8194" max="8194" width="19.375" style="3049" customWidth="1"/>
    <col min="8195" max="8195" width="7" style="3049" customWidth="1"/>
    <col min="8196" max="8196" width="3.25" style="3049" customWidth="1"/>
    <col min="8197" max="8197" width="7.375" style="3049" customWidth="1"/>
    <col min="8198" max="8198" width="3.5" style="3049" customWidth="1"/>
    <col min="8199" max="8199" width="19.375" style="3049" customWidth="1"/>
    <col min="8200" max="8200" width="19.5" style="3049" customWidth="1"/>
    <col min="8201" max="8201" width="8.625" style="3049" customWidth="1"/>
    <col min="8202" max="8202" width="10.5" style="3049" customWidth="1"/>
    <col min="8203" max="8203" width="4.875" style="3049" customWidth="1"/>
    <col min="8204" max="8204" width="16.375" style="3049" customWidth="1"/>
    <col min="8205" max="8208" width="8.125" style="3049" customWidth="1"/>
    <col min="8209" max="8448" width="9" style="3049"/>
    <col min="8449" max="8449" width="6.375" style="3049" customWidth="1"/>
    <col min="8450" max="8450" width="19.375" style="3049" customWidth="1"/>
    <col min="8451" max="8451" width="7" style="3049" customWidth="1"/>
    <col min="8452" max="8452" width="3.25" style="3049" customWidth="1"/>
    <col min="8453" max="8453" width="7.375" style="3049" customWidth="1"/>
    <col min="8454" max="8454" width="3.5" style="3049" customWidth="1"/>
    <col min="8455" max="8455" width="19.375" style="3049" customWidth="1"/>
    <col min="8456" max="8456" width="19.5" style="3049" customWidth="1"/>
    <col min="8457" max="8457" width="8.625" style="3049" customWidth="1"/>
    <col min="8458" max="8458" width="10.5" style="3049" customWidth="1"/>
    <col min="8459" max="8459" width="4.875" style="3049" customWidth="1"/>
    <col min="8460" max="8460" width="16.375" style="3049" customWidth="1"/>
    <col min="8461" max="8464" width="8.125" style="3049" customWidth="1"/>
    <col min="8465" max="8704" width="9" style="3049"/>
    <col min="8705" max="8705" width="6.375" style="3049" customWidth="1"/>
    <col min="8706" max="8706" width="19.375" style="3049" customWidth="1"/>
    <col min="8707" max="8707" width="7" style="3049" customWidth="1"/>
    <col min="8708" max="8708" width="3.25" style="3049" customWidth="1"/>
    <col min="8709" max="8709" width="7.375" style="3049" customWidth="1"/>
    <col min="8710" max="8710" width="3.5" style="3049" customWidth="1"/>
    <col min="8711" max="8711" width="19.375" style="3049" customWidth="1"/>
    <col min="8712" max="8712" width="19.5" style="3049" customWidth="1"/>
    <col min="8713" max="8713" width="8.625" style="3049" customWidth="1"/>
    <col min="8714" max="8714" width="10.5" style="3049" customWidth="1"/>
    <col min="8715" max="8715" width="4.875" style="3049" customWidth="1"/>
    <col min="8716" max="8716" width="16.375" style="3049" customWidth="1"/>
    <col min="8717" max="8720" width="8.125" style="3049" customWidth="1"/>
    <col min="8721" max="8960" width="9" style="3049"/>
    <col min="8961" max="8961" width="6.375" style="3049" customWidth="1"/>
    <col min="8962" max="8962" width="19.375" style="3049" customWidth="1"/>
    <col min="8963" max="8963" width="7" style="3049" customWidth="1"/>
    <col min="8964" max="8964" width="3.25" style="3049" customWidth="1"/>
    <col min="8965" max="8965" width="7.375" style="3049" customWidth="1"/>
    <col min="8966" max="8966" width="3.5" style="3049" customWidth="1"/>
    <col min="8967" max="8967" width="19.375" style="3049" customWidth="1"/>
    <col min="8968" max="8968" width="19.5" style="3049" customWidth="1"/>
    <col min="8969" max="8969" width="8.625" style="3049" customWidth="1"/>
    <col min="8970" max="8970" width="10.5" style="3049" customWidth="1"/>
    <col min="8971" max="8971" width="4.875" style="3049" customWidth="1"/>
    <col min="8972" max="8972" width="16.375" style="3049" customWidth="1"/>
    <col min="8973" max="8976" width="8.125" style="3049" customWidth="1"/>
    <col min="8977" max="9216" width="9" style="3049"/>
    <col min="9217" max="9217" width="6.375" style="3049" customWidth="1"/>
    <col min="9218" max="9218" width="19.375" style="3049" customWidth="1"/>
    <col min="9219" max="9219" width="7" style="3049" customWidth="1"/>
    <col min="9220" max="9220" width="3.25" style="3049" customWidth="1"/>
    <col min="9221" max="9221" width="7.375" style="3049" customWidth="1"/>
    <col min="9222" max="9222" width="3.5" style="3049" customWidth="1"/>
    <col min="9223" max="9223" width="19.375" style="3049" customWidth="1"/>
    <col min="9224" max="9224" width="19.5" style="3049" customWidth="1"/>
    <col min="9225" max="9225" width="8.625" style="3049" customWidth="1"/>
    <col min="9226" max="9226" width="10.5" style="3049" customWidth="1"/>
    <col min="9227" max="9227" width="4.875" style="3049" customWidth="1"/>
    <col min="9228" max="9228" width="16.375" style="3049" customWidth="1"/>
    <col min="9229" max="9232" width="8.125" style="3049" customWidth="1"/>
    <col min="9233" max="9472" width="9" style="3049"/>
    <col min="9473" max="9473" width="6.375" style="3049" customWidth="1"/>
    <col min="9474" max="9474" width="19.375" style="3049" customWidth="1"/>
    <col min="9475" max="9475" width="7" style="3049" customWidth="1"/>
    <col min="9476" max="9476" width="3.25" style="3049" customWidth="1"/>
    <col min="9477" max="9477" width="7.375" style="3049" customWidth="1"/>
    <col min="9478" max="9478" width="3.5" style="3049" customWidth="1"/>
    <col min="9479" max="9479" width="19.375" style="3049" customWidth="1"/>
    <col min="9480" max="9480" width="19.5" style="3049" customWidth="1"/>
    <col min="9481" max="9481" width="8.625" style="3049" customWidth="1"/>
    <col min="9482" max="9482" width="10.5" style="3049" customWidth="1"/>
    <col min="9483" max="9483" width="4.875" style="3049" customWidth="1"/>
    <col min="9484" max="9484" width="16.375" style="3049" customWidth="1"/>
    <col min="9485" max="9488" width="8.125" style="3049" customWidth="1"/>
    <col min="9489" max="9728" width="9" style="3049"/>
    <col min="9729" max="9729" width="6.375" style="3049" customWidth="1"/>
    <col min="9730" max="9730" width="19.375" style="3049" customWidth="1"/>
    <col min="9731" max="9731" width="7" style="3049" customWidth="1"/>
    <col min="9732" max="9732" width="3.25" style="3049" customWidth="1"/>
    <col min="9733" max="9733" width="7.375" style="3049" customWidth="1"/>
    <col min="9734" max="9734" width="3.5" style="3049" customWidth="1"/>
    <col min="9735" max="9735" width="19.375" style="3049" customWidth="1"/>
    <col min="9736" max="9736" width="19.5" style="3049" customWidth="1"/>
    <col min="9737" max="9737" width="8.625" style="3049" customWidth="1"/>
    <col min="9738" max="9738" width="10.5" style="3049" customWidth="1"/>
    <col min="9739" max="9739" width="4.875" style="3049" customWidth="1"/>
    <col min="9740" max="9740" width="16.375" style="3049" customWidth="1"/>
    <col min="9741" max="9744" width="8.125" style="3049" customWidth="1"/>
    <col min="9745" max="9984" width="9" style="3049"/>
    <col min="9985" max="9985" width="6.375" style="3049" customWidth="1"/>
    <col min="9986" max="9986" width="19.375" style="3049" customWidth="1"/>
    <col min="9987" max="9987" width="7" style="3049" customWidth="1"/>
    <col min="9988" max="9988" width="3.25" style="3049" customWidth="1"/>
    <col min="9989" max="9989" width="7.375" style="3049" customWidth="1"/>
    <col min="9990" max="9990" width="3.5" style="3049" customWidth="1"/>
    <col min="9991" max="9991" width="19.375" style="3049" customWidth="1"/>
    <col min="9992" max="9992" width="19.5" style="3049" customWidth="1"/>
    <col min="9993" max="9993" width="8.625" style="3049" customWidth="1"/>
    <col min="9994" max="9994" width="10.5" style="3049" customWidth="1"/>
    <col min="9995" max="9995" width="4.875" style="3049" customWidth="1"/>
    <col min="9996" max="9996" width="16.375" style="3049" customWidth="1"/>
    <col min="9997" max="10000" width="8.125" style="3049" customWidth="1"/>
    <col min="10001" max="10240" width="9" style="3049"/>
    <col min="10241" max="10241" width="6.375" style="3049" customWidth="1"/>
    <col min="10242" max="10242" width="19.375" style="3049" customWidth="1"/>
    <col min="10243" max="10243" width="7" style="3049" customWidth="1"/>
    <col min="10244" max="10244" width="3.25" style="3049" customWidth="1"/>
    <col min="10245" max="10245" width="7.375" style="3049" customWidth="1"/>
    <col min="10246" max="10246" width="3.5" style="3049" customWidth="1"/>
    <col min="10247" max="10247" width="19.375" style="3049" customWidth="1"/>
    <col min="10248" max="10248" width="19.5" style="3049" customWidth="1"/>
    <col min="10249" max="10249" width="8.625" style="3049" customWidth="1"/>
    <col min="10250" max="10250" width="10.5" style="3049" customWidth="1"/>
    <col min="10251" max="10251" width="4.875" style="3049" customWidth="1"/>
    <col min="10252" max="10252" width="16.375" style="3049" customWidth="1"/>
    <col min="10253" max="10256" width="8.125" style="3049" customWidth="1"/>
    <col min="10257" max="10496" width="9" style="3049"/>
    <col min="10497" max="10497" width="6.375" style="3049" customWidth="1"/>
    <col min="10498" max="10498" width="19.375" style="3049" customWidth="1"/>
    <col min="10499" max="10499" width="7" style="3049" customWidth="1"/>
    <col min="10500" max="10500" width="3.25" style="3049" customWidth="1"/>
    <col min="10501" max="10501" width="7.375" style="3049" customWidth="1"/>
    <col min="10502" max="10502" width="3.5" style="3049" customWidth="1"/>
    <col min="10503" max="10503" width="19.375" style="3049" customWidth="1"/>
    <col min="10504" max="10504" width="19.5" style="3049" customWidth="1"/>
    <col min="10505" max="10505" width="8.625" style="3049" customWidth="1"/>
    <col min="10506" max="10506" width="10.5" style="3049" customWidth="1"/>
    <col min="10507" max="10507" width="4.875" style="3049" customWidth="1"/>
    <col min="10508" max="10508" width="16.375" style="3049" customWidth="1"/>
    <col min="10509" max="10512" width="8.125" style="3049" customWidth="1"/>
    <col min="10513" max="10752" width="9" style="3049"/>
    <col min="10753" max="10753" width="6.375" style="3049" customWidth="1"/>
    <col min="10754" max="10754" width="19.375" style="3049" customWidth="1"/>
    <col min="10755" max="10755" width="7" style="3049" customWidth="1"/>
    <col min="10756" max="10756" width="3.25" style="3049" customWidth="1"/>
    <col min="10757" max="10757" width="7.375" style="3049" customWidth="1"/>
    <col min="10758" max="10758" width="3.5" style="3049" customWidth="1"/>
    <col min="10759" max="10759" width="19.375" style="3049" customWidth="1"/>
    <col min="10760" max="10760" width="19.5" style="3049" customWidth="1"/>
    <col min="10761" max="10761" width="8.625" style="3049" customWidth="1"/>
    <col min="10762" max="10762" width="10.5" style="3049" customWidth="1"/>
    <col min="10763" max="10763" width="4.875" style="3049" customWidth="1"/>
    <col min="10764" max="10764" width="16.375" style="3049" customWidth="1"/>
    <col min="10765" max="10768" width="8.125" style="3049" customWidth="1"/>
    <col min="10769" max="11008" width="9" style="3049"/>
    <col min="11009" max="11009" width="6.375" style="3049" customWidth="1"/>
    <col min="11010" max="11010" width="19.375" style="3049" customWidth="1"/>
    <col min="11011" max="11011" width="7" style="3049" customWidth="1"/>
    <col min="11012" max="11012" width="3.25" style="3049" customWidth="1"/>
    <col min="11013" max="11013" width="7.375" style="3049" customWidth="1"/>
    <col min="11014" max="11014" width="3.5" style="3049" customWidth="1"/>
    <col min="11015" max="11015" width="19.375" style="3049" customWidth="1"/>
    <col min="11016" max="11016" width="19.5" style="3049" customWidth="1"/>
    <col min="11017" max="11017" width="8.625" style="3049" customWidth="1"/>
    <col min="11018" max="11018" width="10.5" style="3049" customWidth="1"/>
    <col min="11019" max="11019" width="4.875" style="3049" customWidth="1"/>
    <col min="11020" max="11020" width="16.375" style="3049" customWidth="1"/>
    <col min="11021" max="11024" width="8.125" style="3049" customWidth="1"/>
    <col min="11025" max="11264" width="9" style="3049"/>
    <col min="11265" max="11265" width="6.375" style="3049" customWidth="1"/>
    <col min="11266" max="11266" width="19.375" style="3049" customWidth="1"/>
    <col min="11267" max="11267" width="7" style="3049" customWidth="1"/>
    <col min="11268" max="11268" width="3.25" style="3049" customWidth="1"/>
    <col min="11269" max="11269" width="7.375" style="3049" customWidth="1"/>
    <col min="11270" max="11270" width="3.5" style="3049" customWidth="1"/>
    <col min="11271" max="11271" width="19.375" style="3049" customWidth="1"/>
    <col min="11272" max="11272" width="19.5" style="3049" customWidth="1"/>
    <col min="11273" max="11273" width="8.625" style="3049" customWidth="1"/>
    <col min="11274" max="11274" width="10.5" style="3049" customWidth="1"/>
    <col min="11275" max="11275" width="4.875" style="3049" customWidth="1"/>
    <col min="11276" max="11276" width="16.375" style="3049" customWidth="1"/>
    <col min="11277" max="11280" width="8.125" style="3049" customWidth="1"/>
    <col min="11281" max="11520" width="9" style="3049"/>
    <col min="11521" max="11521" width="6.375" style="3049" customWidth="1"/>
    <col min="11522" max="11522" width="19.375" style="3049" customWidth="1"/>
    <col min="11523" max="11523" width="7" style="3049" customWidth="1"/>
    <col min="11524" max="11524" width="3.25" style="3049" customWidth="1"/>
    <col min="11525" max="11525" width="7.375" style="3049" customWidth="1"/>
    <col min="11526" max="11526" width="3.5" style="3049" customWidth="1"/>
    <col min="11527" max="11527" width="19.375" style="3049" customWidth="1"/>
    <col min="11528" max="11528" width="19.5" style="3049" customWidth="1"/>
    <col min="11529" max="11529" width="8.625" style="3049" customWidth="1"/>
    <col min="11530" max="11530" width="10.5" style="3049" customWidth="1"/>
    <col min="11531" max="11531" width="4.875" style="3049" customWidth="1"/>
    <col min="11532" max="11532" width="16.375" style="3049" customWidth="1"/>
    <col min="11533" max="11536" width="8.125" style="3049" customWidth="1"/>
    <col min="11537" max="11776" width="9" style="3049"/>
    <col min="11777" max="11777" width="6.375" style="3049" customWidth="1"/>
    <col min="11778" max="11778" width="19.375" style="3049" customWidth="1"/>
    <col min="11779" max="11779" width="7" style="3049" customWidth="1"/>
    <col min="11780" max="11780" width="3.25" style="3049" customWidth="1"/>
    <col min="11781" max="11781" width="7.375" style="3049" customWidth="1"/>
    <col min="11782" max="11782" width="3.5" style="3049" customWidth="1"/>
    <col min="11783" max="11783" width="19.375" style="3049" customWidth="1"/>
    <col min="11784" max="11784" width="19.5" style="3049" customWidth="1"/>
    <col min="11785" max="11785" width="8.625" style="3049" customWidth="1"/>
    <col min="11786" max="11786" width="10.5" style="3049" customWidth="1"/>
    <col min="11787" max="11787" width="4.875" style="3049" customWidth="1"/>
    <col min="11788" max="11788" width="16.375" style="3049" customWidth="1"/>
    <col min="11789" max="11792" width="8.125" style="3049" customWidth="1"/>
    <col min="11793" max="12032" width="9" style="3049"/>
    <col min="12033" max="12033" width="6.375" style="3049" customWidth="1"/>
    <col min="12034" max="12034" width="19.375" style="3049" customWidth="1"/>
    <col min="12035" max="12035" width="7" style="3049" customWidth="1"/>
    <col min="12036" max="12036" width="3.25" style="3049" customWidth="1"/>
    <col min="12037" max="12037" width="7.375" style="3049" customWidth="1"/>
    <col min="12038" max="12038" width="3.5" style="3049" customWidth="1"/>
    <col min="12039" max="12039" width="19.375" style="3049" customWidth="1"/>
    <col min="12040" max="12040" width="19.5" style="3049" customWidth="1"/>
    <col min="12041" max="12041" width="8.625" style="3049" customWidth="1"/>
    <col min="12042" max="12042" width="10.5" style="3049" customWidth="1"/>
    <col min="12043" max="12043" width="4.875" style="3049" customWidth="1"/>
    <col min="12044" max="12044" width="16.375" style="3049" customWidth="1"/>
    <col min="12045" max="12048" width="8.125" style="3049" customWidth="1"/>
    <col min="12049" max="12288" width="9" style="3049"/>
    <col min="12289" max="12289" width="6.375" style="3049" customWidth="1"/>
    <col min="12290" max="12290" width="19.375" style="3049" customWidth="1"/>
    <col min="12291" max="12291" width="7" style="3049" customWidth="1"/>
    <col min="12292" max="12292" width="3.25" style="3049" customWidth="1"/>
    <col min="12293" max="12293" width="7.375" style="3049" customWidth="1"/>
    <col min="12294" max="12294" width="3.5" style="3049" customWidth="1"/>
    <col min="12295" max="12295" width="19.375" style="3049" customWidth="1"/>
    <col min="12296" max="12296" width="19.5" style="3049" customWidth="1"/>
    <col min="12297" max="12297" width="8.625" style="3049" customWidth="1"/>
    <col min="12298" max="12298" width="10.5" style="3049" customWidth="1"/>
    <col min="12299" max="12299" width="4.875" style="3049" customWidth="1"/>
    <col min="12300" max="12300" width="16.375" style="3049" customWidth="1"/>
    <col min="12301" max="12304" width="8.125" style="3049" customWidth="1"/>
    <col min="12305" max="12544" width="9" style="3049"/>
    <col min="12545" max="12545" width="6.375" style="3049" customWidth="1"/>
    <col min="12546" max="12546" width="19.375" style="3049" customWidth="1"/>
    <col min="12547" max="12547" width="7" style="3049" customWidth="1"/>
    <col min="12548" max="12548" width="3.25" style="3049" customWidth="1"/>
    <col min="12549" max="12549" width="7.375" style="3049" customWidth="1"/>
    <col min="12550" max="12550" width="3.5" style="3049" customWidth="1"/>
    <col min="12551" max="12551" width="19.375" style="3049" customWidth="1"/>
    <col min="12552" max="12552" width="19.5" style="3049" customWidth="1"/>
    <col min="12553" max="12553" width="8.625" style="3049" customWidth="1"/>
    <col min="12554" max="12554" width="10.5" style="3049" customWidth="1"/>
    <col min="12555" max="12555" width="4.875" style="3049" customWidth="1"/>
    <col min="12556" max="12556" width="16.375" style="3049" customWidth="1"/>
    <col min="12557" max="12560" width="8.125" style="3049" customWidth="1"/>
    <col min="12561" max="12800" width="9" style="3049"/>
    <col min="12801" max="12801" width="6.375" style="3049" customWidth="1"/>
    <col min="12802" max="12802" width="19.375" style="3049" customWidth="1"/>
    <col min="12803" max="12803" width="7" style="3049" customWidth="1"/>
    <col min="12804" max="12804" width="3.25" style="3049" customWidth="1"/>
    <col min="12805" max="12805" width="7.375" style="3049" customWidth="1"/>
    <col min="12806" max="12806" width="3.5" style="3049" customWidth="1"/>
    <col min="12807" max="12807" width="19.375" style="3049" customWidth="1"/>
    <col min="12808" max="12808" width="19.5" style="3049" customWidth="1"/>
    <col min="12809" max="12809" width="8.625" style="3049" customWidth="1"/>
    <col min="12810" max="12810" width="10.5" style="3049" customWidth="1"/>
    <col min="12811" max="12811" width="4.875" style="3049" customWidth="1"/>
    <col min="12812" max="12812" width="16.375" style="3049" customWidth="1"/>
    <col min="12813" max="12816" width="8.125" style="3049" customWidth="1"/>
    <col min="12817" max="13056" width="9" style="3049"/>
    <col min="13057" max="13057" width="6.375" style="3049" customWidth="1"/>
    <col min="13058" max="13058" width="19.375" style="3049" customWidth="1"/>
    <col min="13059" max="13059" width="7" style="3049" customWidth="1"/>
    <col min="13060" max="13060" width="3.25" style="3049" customWidth="1"/>
    <col min="13061" max="13061" width="7.375" style="3049" customWidth="1"/>
    <col min="13062" max="13062" width="3.5" style="3049" customWidth="1"/>
    <col min="13063" max="13063" width="19.375" style="3049" customWidth="1"/>
    <col min="13064" max="13064" width="19.5" style="3049" customWidth="1"/>
    <col min="13065" max="13065" width="8.625" style="3049" customWidth="1"/>
    <col min="13066" max="13066" width="10.5" style="3049" customWidth="1"/>
    <col min="13067" max="13067" width="4.875" style="3049" customWidth="1"/>
    <col min="13068" max="13068" width="16.375" style="3049" customWidth="1"/>
    <col min="13069" max="13072" width="8.125" style="3049" customWidth="1"/>
    <col min="13073" max="13312" width="9" style="3049"/>
    <col min="13313" max="13313" width="6.375" style="3049" customWidth="1"/>
    <col min="13314" max="13314" width="19.375" style="3049" customWidth="1"/>
    <col min="13315" max="13315" width="7" style="3049" customWidth="1"/>
    <col min="13316" max="13316" width="3.25" style="3049" customWidth="1"/>
    <col min="13317" max="13317" width="7.375" style="3049" customWidth="1"/>
    <col min="13318" max="13318" width="3.5" style="3049" customWidth="1"/>
    <col min="13319" max="13319" width="19.375" style="3049" customWidth="1"/>
    <col min="13320" max="13320" width="19.5" style="3049" customWidth="1"/>
    <col min="13321" max="13321" width="8.625" style="3049" customWidth="1"/>
    <col min="13322" max="13322" width="10.5" style="3049" customWidth="1"/>
    <col min="13323" max="13323" width="4.875" style="3049" customWidth="1"/>
    <col min="13324" max="13324" width="16.375" style="3049" customWidth="1"/>
    <col min="13325" max="13328" width="8.125" style="3049" customWidth="1"/>
    <col min="13329" max="13568" width="9" style="3049"/>
    <col min="13569" max="13569" width="6.375" style="3049" customWidth="1"/>
    <col min="13570" max="13570" width="19.375" style="3049" customWidth="1"/>
    <col min="13571" max="13571" width="7" style="3049" customWidth="1"/>
    <col min="13572" max="13572" width="3.25" style="3049" customWidth="1"/>
    <col min="13573" max="13573" width="7.375" style="3049" customWidth="1"/>
    <col min="13574" max="13574" width="3.5" style="3049" customWidth="1"/>
    <col min="13575" max="13575" width="19.375" style="3049" customWidth="1"/>
    <col min="13576" max="13576" width="19.5" style="3049" customWidth="1"/>
    <col min="13577" max="13577" width="8.625" style="3049" customWidth="1"/>
    <col min="13578" max="13578" width="10.5" style="3049" customWidth="1"/>
    <col min="13579" max="13579" width="4.875" style="3049" customWidth="1"/>
    <col min="13580" max="13580" width="16.375" style="3049" customWidth="1"/>
    <col min="13581" max="13584" width="8.125" style="3049" customWidth="1"/>
    <col min="13585" max="13824" width="9" style="3049"/>
    <col min="13825" max="13825" width="6.375" style="3049" customWidth="1"/>
    <col min="13826" max="13826" width="19.375" style="3049" customWidth="1"/>
    <col min="13827" max="13827" width="7" style="3049" customWidth="1"/>
    <col min="13828" max="13828" width="3.25" style="3049" customWidth="1"/>
    <col min="13829" max="13829" width="7.375" style="3049" customWidth="1"/>
    <col min="13830" max="13830" width="3.5" style="3049" customWidth="1"/>
    <col min="13831" max="13831" width="19.375" style="3049" customWidth="1"/>
    <col min="13832" max="13832" width="19.5" style="3049" customWidth="1"/>
    <col min="13833" max="13833" width="8.625" style="3049" customWidth="1"/>
    <col min="13834" max="13834" width="10.5" style="3049" customWidth="1"/>
    <col min="13835" max="13835" width="4.875" style="3049" customWidth="1"/>
    <col min="13836" max="13836" width="16.375" style="3049" customWidth="1"/>
    <col min="13837" max="13840" width="8.125" style="3049" customWidth="1"/>
    <col min="13841" max="14080" width="9" style="3049"/>
    <col min="14081" max="14081" width="6.375" style="3049" customWidth="1"/>
    <col min="14082" max="14082" width="19.375" style="3049" customWidth="1"/>
    <col min="14083" max="14083" width="7" style="3049" customWidth="1"/>
    <col min="14084" max="14084" width="3.25" style="3049" customWidth="1"/>
    <col min="14085" max="14085" width="7.375" style="3049" customWidth="1"/>
    <col min="14086" max="14086" width="3.5" style="3049" customWidth="1"/>
    <col min="14087" max="14087" width="19.375" style="3049" customWidth="1"/>
    <col min="14088" max="14088" width="19.5" style="3049" customWidth="1"/>
    <col min="14089" max="14089" width="8.625" style="3049" customWidth="1"/>
    <col min="14090" max="14090" width="10.5" style="3049" customWidth="1"/>
    <col min="14091" max="14091" width="4.875" style="3049" customWidth="1"/>
    <col min="14092" max="14092" width="16.375" style="3049" customWidth="1"/>
    <col min="14093" max="14096" width="8.125" style="3049" customWidth="1"/>
    <col min="14097" max="14336" width="9" style="3049"/>
    <col min="14337" max="14337" width="6.375" style="3049" customWidth="1"/>
    <col min="14338" max="14338" width="19.375" style="3049" customWidth="1"/>
    <col min="14339" max="14339" width="7" style="3049" customWidth="1"/>
    <col min="14340" max="14340" width="3.25" style="3049" customWidth="1"/>
    <col min="14341" max="14341" width="7.375" style="3049" customWidth="1"/>
    <col min="14342" max="14342" width="3.5" style="3049" customWidth="1"/>
    <col min="14343" max="14343" width="19.375" style="3049" customWidth="1"/>
    <col min="14344" max="14344" width="19.5" style="3049" customWidth="1"/>
    <col min="14345" max="14345" width="8.625" style="3049" customWidth="1"/>
    <col min="14346" max="14346" width="10.5" style="3049" customWidth="1"/>
    <col min="14347" max="14347" width="4.875" style="3049" customWidth="1"/>
    <col min="14348" max="14348" width="16.375" style="3049" customWidth="1"/>
    <col min="14349" max="14352" width="8.125" style="3049" customWidth="1"/>
    <col min="14353" max="14592" width="9" style="3049"/>
    <col min="14593" max="14593" width="6.375" style="3049" customWidth="1"/>
    <col min="14594" max="14594" width="19.375" style="3049" customWidth="1"/>
    <col min="14595" max="14595" width="7" style="3049" customWidth="1"/>
    <col min="14596" max="14596" width="3.25" style="3049" customWidth="1"/>
    <col min="14597" max="14597" width="7.375" style="3049" customWidth="1"/>
    <col min="14598" max="14598" width="3.5" style="3049" customWidth="1"/>
    <col min="14599" max="14599" width="19.375" style="3049" customWidth="1"/>
    <col min="14600" max="14600" width="19.5" style="3049" customWidth="1"/>
    <col min="14601" max="14601" width="8.625" style="3049" customWidth="1"/>
    <col min="14602" max="14602" width="10.5" style="3049" customWidth="1"/>
    <col min="14603" max="14603" width="4.875" style="3049" customWidth="1"/>
    <col min="14604" max="14604" width="16.375" style="3049" customWidth="1"/>
    <col min="14605" max="14608" width="8.125" style="3049" customWidth="1"/>
    <col min="14609" max="14848" width="9" style="3049"/>
    <col min="14849" max="14849" width="6.375" style="3049" customWidth="1"/>
    <col min="14850" max="14850" width="19.375" style="3049" customWidth="1"/>
    <col min="14851" max="14851" width="7" style="3049" customWidth="1"/>
    <col min="14852" max="14852" width="3.25" style="3049" customWidth="1"/>
    <col min="14853" max="14853" width="7.375" style="3049" customWidth="1"/>
    <col min="14854" max="14854" width="3.5" style="3049" customWidth="1"/>
    <col min="14855" max="14855" width="19.375" style="3049" customWidth="1"/>
    <col min="14856" max="14856" width="19.5" style="3049" customWidth="1"/>
    <col min="14857" max="14857" width="8.625" style="3049" customWidth="1"/>
    <col min="14858" max="14858" width="10.5" style="3049" customWidth="1"/>
    <col min="14859" max="14859" width="4.875" style="3049" customWidth="1"/>
    <col min="14860" max="14860" width="16.375" style="3049" customWidth="1"/>
    <col min="14861" max="14864" width="8.125" style="3049" customWidth="1"/>
    <col min="14865" max="15104" width="9" style="3049"/>
    <col min="15105" max="15105" width="6.375" style="3049" customWidth="1"/>
    <col min="15106" max="15106" width="19.375" style="3049" customWidth="1"/>
    <col min="15107" max="15107" width="7" style="3049" customWidth="1"/>
    <col min="15108" max="15108" width="3.25" style="3049" customWidth="1"/>
    <col min="15109" max="15109" width="7.375" style="3049" customWidth="1"/>
    <col min="15110" max="15110" width="3.5" style="3049" customWidth="1"/>
    <col min="15111" max="15111" width="19.375" style="3049" customWidth="1"/>
    <col min="15112" max="15112" width="19.5" style="3049" customWidth="1"/>
    <col min="15113" max="15113" width="8.625" style="3049" customWidth="1"/>
    <col min="15114" max="15114" width="10.5" style="3049" customWidth="1"/>
    <col min="15115" max="15115" width="4.875" style="3049" customWidth="1"/>
    <col min="15116" max="15116" width="16.375" style="3049" customWidth="1"/>
    <col min="15117" max="15120" width="8.125" style="3049" customWidth="1"/>
    <col min="15121" max="15360" width="9" style="3049"/>
    <col min="15361" max="15361" width="6.375" style="3049" customWidth="1"/>
    <col min="15362" max="15362" width="19.375" style="3049" customWidth="1"/>
    <col min="15363" max="15363" width="7" style="3049" customWidth="1"/>
    <col min="15364" max="15364" width="3.25" style="3049" customWidth="1"/>
    <col min="15365" max="15365" width="7.375" style="3049" customWidth="1"/>
    <col min="15366" max="15366" width="3.5" style="3049" customWidth="1"/>
    <col min="15367" max="15367" width="19.375" style="3049" customWidth="1"/>
    <col min="15368" max="15368" width="19.5" style="3049" customWidth="1"/>
    <col min="15369" max="15369" width="8.625" style="3049" customWidth="1"/>
    <col min="15370" max="15370" width="10.5" style="3049" customWidth="1"/>
    <col min="15371" max="15371" width="4.875" style="3049" customWidth="1"/>
    <col min="15372" max="15372" width="16.375" style="3049" customWidth="1"/>
    <col min="15373" max="15376" width="8.125" style="3049" customWidth="1"/>
    <col min="15377" max="15616" width="9" style="3049"/>
    <col min="15617" max="15617" width="6.375" style="3049" customWidth="1"/>
    <col min="15618" max="15618" width="19.375" style="3049" customWidth="1"/>
    <col min="15619" max="15619" width="7" style="3049" customWidth="1"/>
    <col min="15620" max="15620" width="3.25" style="3049" customWidth="1"/>
    <col min="15621" max="15621" width="7.375" style="3049" customWidth="1"/>
    <col min="15622" max="15622" width="3.5" style="3049" customWidth="1"/>
    <col min="15623" max="15623" width="19.375" style="3049" customWidth="1"/>
    <col min="15624" max="15624" width="19.5" style="3049" customWidth="1"/>
    <col min="15625" max="15625" width="8.625" style="3049" customWidth="1"/>
    <col min="15626" max="15626" width="10.5" style="3049" customWidth="1"/>
    <col min="15627" max="15627" width="4.875" style="3049" customWidth="1"/>
    <col min="15628" max="15628" width="16.375" style="3049" customWidth="1"/>
    <col min="15629" max="15632" width="8.125" style="3049" customWidth="1"/>
    <col min="15633" max="15872" width="9" style="3049"/>
    <col min="15873" max="15873" width="6.375" style="3049" customWidth="1"/>
    <col min="15874" max="15874" width="19.375" style="3049" customWidth="1"/>
    <col min="15875" max="15875" width="7" style="3049" customWidth="1"/>
    <col min="15876" max="15876" width="3.25" style="3049" customWidth="1"/>
    <col min="15877" max="15877" width="7.375" style="3049" customWidth="1"/>
    <col min="15878" max="15878" width="3.5" style="3049" customWidth="1"/>
    <col min="15879" max="15879" width="19.375" style="3049" customWidth="1"/>
    <col min="15880" max="15880" width="19.5" style="3049" customWidth="1"/>
    <col min="15881" max="15881" width="8.625" style="3049" customWidth="1"/>
    <col min="15882" max="15882" width="10.5" style="3049" customWidth="1"/>
    <col min="15883" max="15883" width="4.875" style="3049" customWidth="1"/>
    <col min="15884" max="15884" width="16.375" style="3049" customWidth="1"/>
    <col min="15885" max="15888" width="8.125" style="3049" customWidth="1"/>
    <col min="15889" max="16128" width="9" style="3049"/>
    <col min="16129" max="16129" width="6.375" style="3049" customWidth="1"/>
    <col min="16130" max="16130" width="19.375" style="3049" customWidth="1"/>
    <col min="16131" max="16131" width="7" style="3049" customWidth="1"/>
    <col min="16132" max="16132" width="3.25" style="3049" customWidth="1"/>
    <col min="16133" max="16133" width="7.375" style="3049" customWidth="1"/>
    <col min="16134" max="16134" width="3.5" style="3049" customWidth="1"/>
    <col min="16135" max="16135" width="19.375" style="3049" customWidth="1"/>
    <col min="16136" max="16136" width="19.5" style="3049" customWidth="1"/>
    <col min="16137" max="16137" width="8.625" style="3049" customWidth="1"/>
    <col min="16138" max="16138" width="10.5" style="3049" customWidth="1"/>
    <col min="16139" max="16139" width="4.875" style="3049" customWidth="1"/>
    <col min="16140" max="16140" width="16.375" style="3049" customWidth="1"/>
    <col min="16141" max="16144" width="8.125" style="3049" customWidth="1"/>
    <col min="16145" max="16384" width="9" style="3049"/>
  </cols>
  <sheetData>
    <row r="1" spans="1:16">
      <c r="A1" s="3463" t="s">
        <v>3071</v>
      </c>
      <c r="B1" s="3463"/>
      <c r="C1" s="3463"/>
      <c r="D1" s="3463"/>
      <c r="E1" s="3463"/>
      <c r="F1" s="3463"/>
      <c r="G1" s="3463"/>
      <c r="H1" s="3463"/>
      <c r="I1" s="3463"/>
      <c r="K1" s="3464" t="s">
        <v>3072</v>
      </c>
      <c r="L1" s="3046" t="s">
        <v>3073</v>
      </c>
      <c r="M1" s="3047">
        <v>0</v>
      </c>
      <c r="N1" s="3048"/>
      <c r="O1" s="3048"/>
    </row>
    <row r="2" spans="1:16" ht="15.75" customHeight="1">
      <c r="A2" s="3050" t="s">
        <v>608</v>
      </c>
      <c r="B2" s="3051" t="s">
        <v>3074</v>
      </c>
      <c r="C2" s="3465" t="s">
        <v>3075</v>
      </c>
      <c r="D2" s="3466"/>
      <c r="E2" s="3466"/>
      <c r="F2" s="3467"/>
      <c r="G2" s="3052" t="s">
        <v>3076</v>
      </c>
      <c r="H2" s="3468" t="s">
        <v>1048</v>
      </c>
      <c r="I2" s="3468"/>
      <c r="K2" s="3464"/>
      <c r="L2" s="3046" t="s">
        <v>3077</v>
      </c>
      <c r="M2" s="3053" t="s">
        <v>3078</v>
      </c>
      <c r="N2" s="3054"/>
      <c r="O2" s="3054"/>
    </row>
    <row r="3" spans="1:16">
      <c r="A3" s="3055" t="s">
        <v>3079</v>
      </c>
      <c r="B3" s="3056" t="s">
        <v>3080</v>
      </c>
      <c r="C3" s="3465">
        <f ca="1">成本法!B2*10000</f>
        <v>95430000</v>
      </c>
      <c r="D3" s="3466"/>
      <c r="E3" s="3466"/>
      <c r="F3" s="3467"/>
      <c r="G3" s="3055" t="s">
        <v>3081</v>
      </c>
      <c r="H3" s="3057" t="s">
        <v>3082</v>
      </c>
      <c r="I3" s="3058">
        <f>'数据-基础表'!H13</f>
        <v>2476.1999999999998</v>
      </c>
      <c r="K3" s="3464"/>
      <c r="L3" s="3046" t="s">
        <v>3083</v>
      </c>
      <c r="M3" s="3053" t="s">
        <v>3084</v>
      </c>
      <c r="N3" s="3054"/>
      <c r="O3" s="3059"/>
    </row>
    <row r="4" spans="1:16">
      <c r="A4" s="3469" t="s">
        <v>3085</v>
      </c>
      <c r="B4" s="3470" t="s">
        <v>3086</v>
      </c>
      <c r="C4" s="3471">
        <f ca="1">ROUND(C3*(I4-I6)/(1-((1+I6)/(1+I4))^I5),0)</f>
        <v>3327468</v>
      </c>
      <c r="D4" s="3472"/>
      <c r="E4" s="3472"/>
      <c r="F4" s="3473"/>
      <c r="G4" s="3469" t="s">
        <v>3087</v>
      </c>
      <c r="H4" s="3060" t="s">
        <v>3088</v>
      </c>
      <c r="I4" s="3123">
        <f>'数据-取费表'!I6</f>
        <v>0.05</v>
      </c>
      <c r="K4" s="3464"/>
      <c r="L4" s="3046" t="s">
        <v>3089</v>
      </c>
      <c r="M4" s="3062">
        <f>ROUND(1-(1-M1)*M2/M3,2)</f>
        <v>0.55000000000000004</v>
      </c>
      <c r="N4" s="3054"/>
      <c r="O4" s="3054"/>
    </row>
    <row r="5" spans="1:16" s="3066" customFormat="1" ht="18" customHeight="1">
      <c r="A5" s="3469"/>
      <c r="B5" s="3470"/>
      <c r="C5" s="3474"/>
      <c r="D5" s="3475"/>
      <c r="E5" s="3475"/>
      <c r="F5" s="3476"/>
      <c r="G5" s="3469"/>
      <c r="H5" s="3056" t="s">
        <v>3090</v>
      </c>
      <c r="I5" s="3063">
        <f>'数据-取费表'!F6</f>
        <v>39.090000000000003</v>
      </c>
      <c r="J5" s="3064"/>
      <c r="K5" s="3464"/>
      <c r="L5" s="3046" t="s">
        <v>3091</v>
      </c>
      <c r="M5" s="3065">
        <v>0.5</v>
      </c>
      <c r="N5" s="3054"/>
      <c r="O5" s="3054"/>
    </row>
    <row r="6" spans="1:16" s="3066" customFormat="1" ht="18" customHeight="1">
      <c r="A6" s="3469"/>
      <c r="B6" s="3470"/>
      <c r="C6" s="3477"/>
      <c r="D6" s="3478"/>
      <c r="E6" s="3478"/>
      <c r="F6" s="3479"/>
      <c r="G6" s="3469"/>
      <c r="H6" s="3056" t="s">
        <v>3092</v>
      </c>
      <c r="I6" s="3061">
        <f>'数据-取费表'!V6</f>
        <v>3.5000000000000003E-2</v>
      </c>
      <c r="J6" s="3067"/>
      <c r="K6" s="3480" t="s">
        <v>3093</v>
      </c>
      <c r="L6" s="3068" t="s">
        <v>3094</v>
      </c>
      <c r="M6" s="3069" t="s">
        <v>3095</v>
      </c>
      <c r="N6" s="3069" t="s">
        <v>3096</v>
      </c>
      <c r="O6" s="3069" t="s">
        <v>3097</v>
      </c>
      <c r="P6" s="3069" t="s">
        <v>3098</v>
      </c>
    </row>
    <row r="7" spans="1:16" s="3066" customFormat="1" ht="18" customHeight="1">
      <c r="A7" s="3055" t="s">
        <v>3099</v>
      </c>
      <c r="B7" s="3056" t="s">
        <v>3100</v>
      </c>
      <c r="C7" s="3465">
        <f ca="1">成本法!C49*10000</f>
        <v>9590000</v>
      </c>
      <c r="D7" s="3466"/>
      <c r="E7" s="3466"/>
      <c r="F7" s="3467"/>
      <c r="G7" s="3052" t="s">
        <v>3101</v>
      </c>
      <c r="H7" s="3056" t="s">
        <v>3102</v>
      </c>
      <c r="I7" s="3070">
        <f>'数据-取费表'!N6</f>
        <v>0.65</v>
      </c>
      <c r="K7" s="3480"/>
      <c r="L7" s="3068" t="s">
        <v>3103</v>
      </c>
      <c r="M7" s="3069">
        <v>100</v>
      </c>
      <c r="N7" s="3069" t="s">
        <v>3104</v>
      </c>
      <c r="O7" s="3069">
        <v>80</v>
      </c>
      <c r="P7" s="3071">
        <v>0.3</v>
      </c>
    </row>
    <row r="8" spans="1:16" s="3066" customFormat="1" ht="18" hidden="1" customHeight="1">
      <c r="A8" s="3050" t="s">
        <v>3105</v>
      </c>
      <c r="B8" s="3056" t="s">
        <v>3106</v>
      </c>
      <c r="C8" s="3465">
        <f>ROUND(I8*I3,0)</f>
        <v>6240024</v>
      </c>
      <c r="D8" s="3466"/>
      <c r="E8" s="3466"/>
      <c r="F8" s="3467"/>
      <c r="G8" s="3052" t="s">
        <v>3107</v>
      </c>
      <c r="H8" s="3056" t="s">
        <v>3108</v>
      </c>
      <c r="I8" s="3052">
        <f>'数据-取费表'!L6</f>
        <v>2520</v>
      </c>
      <c r="J8" s="3072">
        <f>D35</f>
        <v>5.8</v>
      </c>
      <c r="K8" s="3480"/>
      <c r="L8" s="3068" t="s">
        <v>3109</v>
      </c>
      <c r="M8" s="3069">
        <v>100</v>
      </c>
      <c r="N8" s="3069" t="s">
        <v>3104</v>
      </c>
      <c r="O8" s="3069">
        <v>80</v>
      </c>
      <c r="P8" s="3071">
        <v>0.5</v>
      </c>
    </row>
    <row r="9" spans="1:16" s="3066" customFormat="1" ht="18" hidden="1" customHeight="1">
      <c r="A9" s="3050" t="s">
        <v>3110</v>
      </c>
      <c r="B9" s="3056" t="s">
        <v>3111</v>
      </c>
      <c r="C9" s="3465">
        <f>ROUND(C8*H9,0)</f>
        <v>187201</v>
      </c>
      <c r="D9" s="3466"/>
      <c r="E9" s="3466"/>
      <c r="F9" s="3467"/>
      <c r="G9" s="3052" t="s">
        <v>3112</v>
      </c>
      <c r="H9" s="3481">
        <f>'数据-取费表'!B33</f>
        <v>0.03</v>
      </c>
      <c r="I9" s="3481"/>
      <c r="J9" s="3072">
        <f ca="1">D36</f>
        <v>6.21</v>
      </c>
      <c r="K9" s="3480"/>
      <c r="L9" s="3068" t="s">
        <v>3113</v>
      </c>
      <c r="M9" s="3069">
        <v>100</v>
      </c>
      <c r="N9" s="3069" t="s">
        <v>3104</v>
      </c>
      <c r="O9" s="3069">
        <v>80</v>
      </c>
      <c r="P9" s="3071">
        <f>1-P7-P8</f>
        <v>0.19999999999999996</v>
      </c>
    </row>
    <row r="10" spans="1:16" s="3066" customFormat="1" ht="18" hidden="1" customHeight="1">
      <c r="A10" s="3050" t="s">
        <v>3114</v>
      </c>
      <c r="B10" s="3056" t="s">
        <v>3115</v>
      </c>
      <c r="C10" s="3465">
        <f>ROUND(C8*H10,0)</f>
        <v>0</v>
      </c>
      <c r="D10" s="3466"/>
      <c r="E10" s="3466"/>
      <c r="F10" s="3467"/>
      <c r="G10" s="3052" t="s">
        <v>3112</v>
      </c>
      <c r="H10" s="3481">
        <f>'数据-取费表'!B34</f>
        <v>0</v>
      </c>
      <c r="I10" s="3481"/>
      <c r="J10" s="3072">
        <f ca="1">D37</f>
        <v>6</v>
      </c>
      <c r="K10" s="3480"/>
      <c r="L10" s="3073" t="s">
        <v>3091</v>
      </c>
      <c r="M10" s="3074">
        <f>1-M5</f>
        <v>0.5</v>
      </c>
      <c r="N10" s="3069" t="s">
        <v>3089</v>
      </c>
      <c r="O10" s="3075">
        <f>ROUND((O7*P7+O8*P8+O9*P9)/100,2)</f>
        <v>0.8</v>
      </c>
      <c r="P10" s="3076"/>
    </row>
    <row r="11" spans="1:16" s="3066" customFormat="1" ht="29.25" hidden="1" customHeight="1">
      <c r="A11" s="3050" t="s">
        <v>3116</v>
      </c>
      <c r="B11" s="3056" t="s">
        <v>3117</v>
      </c>
      <c r="C11" s="3465">
        <f>ROUND(I11*I3,0)</f>
        <v>742860</v>
      </c>
      <c r="D11" s="3466"/>
      <c r="E11" s="3466"/>
      <c r="F11" s="3467"/>
      <c r="G11" s="3052" t="s">
        <v>3118</v>
      </c>
      <c r="H11" s="3056" t="s">
        <v>3119</v>
      </c>
      <c r="I11" s="3052">
        <f>'数据-取费表'!B30</f>
        <v>300</v>
      </c>
      <c r="J11" s="3064"/>
      <c r="K11" s="3077"/>
      <c r="L11" s="3077"/>
    </row>
    <row r="12" spans="1:16" s="3066" customFormat="1" ht="18" hidden="1" customHeight="1">
      <c r="A12" s="3050" t="s">
        <v>3120</v>
      </c>
      <c r="B12" s="3056" t="s">
        <v>3121</v>
      </c>
      <c r="C12" s="3465">
        <f>ROUND(C8*H12,0)</f>
        <v>93600</v>
      </c>
      <c r="D12" s="3466"/>
      <c r="E12" s="3466"/>
      <c r="F12" s="3467"/>
      <c r="G12" s="3052" t="s">
        <v>3112</v>
      </c>
      <c r="H12" s="3481">
        <f>'数据-取费表'!B36</f>
        <v>1.4999999999999999E-2</v>
      </c>
      <c r="I12" s="3481"/>
      <c r="J12" s="3078" t="s">
        <v>3122</v>
      </c>
      <c r="L12" s="3079"/>
    </row>
    <row r="13" spans="1:16" s="3066" customFormat="1" ht="18" hidden="1" customHeight="1">
      <c r="A13" s="3050" t="s">
        <v>3123</v>
      </c>
      <c r="B13" s="3056" t="s">
        <v>3124</v>
      </c>
      <c r="C13" s="3465">
        <f>SUM(C8:F12)</f>
        <v>7263685</v>
      </c>
      <c r="D13" s="3466"/>
      <c r="E13" s="3466"/>
      <c r="F13" s="3467"/>
      <c r="G13" s="3468" t="s">
        <v>3125</v>
      </c>
      <c r="H13" s="3468"/>
      <c r="I13" s="3468"/>
      <c r="J13" s="3078" t="s">
        <v>3126</v>
      </c>
      <c r="L13" s="3079"/>
    </row>
    <row r="14" spans="1:16" s="3066" customFormat="1" ht="18" hidden="1" customHeight="1">
      <c r="A14" s="3050" t="s">
        <v>3127</v>
      </c>
      <c r="B14" s="3056" t="s">
        <v>3128</v>
      </c>
      <c r="C14" s="3465">
        <f>ROUND(C13*H14,0)</f>
        <v>145274</v>
      </c>
      <c r="D14" s="3466"/>
      <c r="E14" s="3466"/>
      <c r="F14" s="3467"/>
      <c r="G14" s="3052" t="s">
        <v>3129</v>
      </c>
      <c r="H14" s="3481">
        <f>'数据-取费表'!B37</f>
        <v>0.02</v>
      </c>
      <c r="I14" s="3481"/>
      <c r="J14" s="3064"/>
      <c r="L14" s="3079"/>
    </row>
    <row r="15" spans="1:16" s="3066" customFormat="1" ht="18" hidden="1" customHeight="1">
      <c r="A15" s="3050" t="s">
        <v>3130</v>
      </c>
      <c r="B15" s="3056" t="s">
        <v>3131</v>
      </c>
      <c r="C15" s="3486">
        <f>H15</f>
        <v>0.02</v>
      </c>
      <c r="D15" s="3487"/>
      <c r="E15" s="3484" t="str">
        <f>E18</f>
        <v>V</v>
      </c>
      <c r="F15" s="3485"/>
      <c r="G15" s="3052" t="s">
        <v>3132</v>
      </c>
      <c r="H15" s="3481">
        <f>'数据-取费表'!B38</f>
        <v>0.02</v>
      </c>
      <c r="I15" s="3481"/>
      <c r="J15" s="3080"/>
      <c r="K15" s="3081"/>
    </row>
    <row r="16" spans="1:16" s="3066" customFormat="1" ht="18" hidden="1" customHeight="1">
      <c r="A16" s="3082" t="s">
        <v>3133</v>
      </c>
      <c r="B16" s="3083" t="s">
        <v>3134</v>
      </c>
      <c r="C16" s="3084">
        <f ca="1">C17</f>
        <v>263944</v>
      </c>
      <c r="D16" s="3085" t="s">
        <v>3135</v>
      </c>
      <c r="E16" s="3086">
        <f ca="1">C18</f>
        <v>7.1250000000000003E-4</v>
      </c>
      <c r="F16" s="3087" t="str">
        <f>E18</f>
        <v>V</v>
      </c>
      <c r="G16" s="3465" t="s">
        <v>3136</v>
      </c>
      <c r="H16" s="3466"/>
      <c r="I16" s="3467"/>
      <c r="J16" s="3064"/>
      <c r="K16" s="3077"/>
    </row>
    <row r="17" spans="1:12" s="3066" customFormat="1" ht="18" hidden="1" customHeight="1">
      <c r="A17" s="3050" t="s">
        <v>3137</v>
      </c>
      <c r="B17" s="3056" t="s">
        <v>3138</v>
      </c>
      <c r="C17" s="3465">
        <f ca="1">ROUND((C13+C14)*I18*(I17/2),0)</f>
        <v>263944</v>
      </c>
      <c r="D17" s="3466"/>
      <c r="E17" s="3466"/>
      <c r="F17" s="3467"/>
      <c r="G17" s="3084" t="s">
        <v>3139</v>
      </c>
      <c r="H17" s="3056" t="s">
        <v>3140</v>
      </c>
      <c r="I17" s="3088">
        <f>'数据-取费表'!B20</f>
        <v>1.5</v>
      </c>
      <c r="J17" s="3078" t="s">
        <v>3141</v>
      </c>
      <c r="K17" s="3077"/>
      <c r="L17" s="3077"/>
    </row>
    <row r="18" spans="1:12" s="3066" customFormat="1" ht="18" hidden="1" customHeight="1">
      <c r="A18" s="3050" t="s">
        <v>3142</v>
      </c>
      <c r="B18" s="3056" t="s">
        <v>3143</v>
      </c>
      <c r="C18" s="3482">
        <f ca="1">H15*I18*I17/2</f>
        <v>7.1250000000000003E-4</v>
      </c>
      <c r="D18" s="3483"/>
      <c r="E18" s="3484" t="s">
        <v>3144</v>
      </c>
      <c r="F18" s="3485"/>
      <c r="G18" s="3084" t="s">
        <v>3145</v>
      </c>
      <c r="H18" s="3056" t="s">
        <v>3146</v>
      </c>
      <c r="I18" s="3089">
        <f ca="1">'数据-取费表'!B40</f>
        <v>4.7500000000000001E-2</v>
      </c>
      <c r="J18" s="3078" t="s">
        <v>3147</v>
      </c>
      <c r="K18" s="3077"/>
      <c r="L18" s="3077"/>
    </row>
    <row r="19" spans="1:12" s="3066" customFormat="1" ht="27" hidden="1" customHeight="1">
      <c r="A19" s="3050" t="s">
        <v>3148</v>
      </c>
      <c r="B19" s="3056" t="s">
        <v>3149</v>
      </c>
      <c r="C19" s="3084">
        <f>C20</f>
        <v>1481792</v>
      </c>
      <c r="D19" s="3085" t="s">
        <v>3135</v>
      </c>
      <c r="E19" s="3085">
        <f>C21</f>
        <v>4.0000000000000001E-3</v>
      </c>
      <c r="F19" s="3087" t="str">
        <f>E21</f>
        <v>V</v>
      </c>
      <c r="G19" s="3465" t="s">
        <v>3150</v>
      </c>
      <c r="H19" s="3466"/>
      <c r="I19" s="3467"/>
      <c r="J19" s="3064"/>
      <c r="K19" s="3077"/>
      <c r="L19" s="3077"/>
    </row>
    <row r="20" spans="1:12" s="3066" customFormat="1" ht="26.25" hidden="1" customHeight="1">
      <c r="A20" s="3050" t="s">
        <v>3151</v>
      </c>
      <c r="B20" s="3056" t="s">
        <v>3152</v>
      </c>
      <c r="C20" s="3465">
        <f>ROUND((C13+C14)*I20,0)</f>
        <v>1481792</v>
      </c>
      <c r="D20" s="3466"/>
      <c r="E20" s="3466"/>
      <c r="F20" s="3467"/>
      <c r="G20" s="3052" t="s">
        <v>3153</v>
      </c>
      <c r="H20" s="3490" t="s">
        <v>3154</v>
      </c>
      <c r="I20" s="3492">
        <f>'数据-取费表'!Q6</f>
        <v>0.2</v>
      </c>
      <c r="J20" s="3078" t="s">
        <v>3155</v>
      </c>
      <c r="K20" s="3077"/>
      <c r="L20" s="3077"/>
    </row>
    <row r="21" spans="1:12" s="3066" customFormat="1" ht="27" hidden="1" customHeight="1">
      <c r="A21" s="3050" t="s">
        <v>3151</v>
      </c>
      <c r="B21" s="3056" t="s">
        <v>3156</v>
      </c>
      <c r="C21" s="3493">
        <f>H15*I20</f>
        <v>4.0000000000000001E-3</v>
      </c>
      <c r="D21" s="3494"/>
      <c r="E21" s="3484" t="s">
        <v>3144</v>
      </c>
      <c r="F21" s="3485"/>
      <c r="G21" s="3052" t="s">
        <v>3157</v>
      </c>
      <c r="H21" s="3491"/>
      <c r="I21" s="3492"/>
      <c r="J21" s="3064"/>
      <c r="K21" s="3077"/>
      <c r="L21" s="3077"/>
    </row>
    <row r="22" spans="1:12" s="3066" customFormat="1" ht="18" hidden="1" customHeight="1">
      <c r="A22" s="3050" t="s">
        <v>3158</v>
      </c>
      <c r="B22" s="3056" t="s">
        <v>3159</v>
      </c>
      <c r="C22" s="3493">
        <f>ROUND(H22/1.05,4)</f>
        <v>5.33E-2</v>
      </c>
      <c r="D22" s="3494"/>
      <c r="E22" s="3484" t="s">
        <v>3144</v>
      </c>
      <c r="F22" s="3485"/>
      <c r="G22" s="3052" t="s">
        <v>3160</v>
      </c>
      <c r="H22" s="3481">
        <f>'数据-取费表'!B41</f>
        <v>5.6000000000000001E-2</v>
      </c>
      <c r="I22" s="3481"/>
      <c r="J22" s="3090"/>
      <c r="K22" s="3077"/>
      <c r="L22" s="3077"/>
    </row>
    <row r="23" spans="1:12" s="3066" customFormat="1" ht="18" customHeight="1">
      <c r="A23" s="3050" t="s">
        <v>3161</v>
      </c>
      <c r="B23" s="3056" t="s">
        <v>3162</v>
      </c>
      <c r="C23" s="3465">
        <f ca="1">成本法!C51*10000</f>
        <v>6230000</v>
      </c>
      <c r="D23" s="3466"/>
      <c r="E23" s="3466"/>
      <c r="F23" s="3467"/>
      <c r="G23" s="3465" t="s">
        <v>3163</v>
      </c>
      <c r="H23" s="3466"/>
      <c r="I23" s="3467"/>
      <c r="J23" s="3090"/>
      <c r="K23" s="3077"/>
      <c r="L23" s="3077"/>
    </row>
    <row r="24" spans="1:12" s="3066" customFormat="1" ht="18" customHeight="1">
      <c r="A24" s="3050" t="s">
        <v>3164</v>
      </c>
      <c r="B24" s="3056" t="s">
        <v>3165</v>
      </c>
      <c r="C24" s="3091">
        <f ca="1">C26+C27</f>
        <v>107835</v>
      </c>
      <c r="D24" s="3092" t="s">
        <v>3166</v>
      </c>
      <c r="E24" s="3488">
        <f>H25+H28</f>
        <v>0.18330000000000002</v>
      </c>
      <c r="F24" s="3489"/>
      <c r="G24" s="3468" t="s">
        <v>3167</v>
      </c>
      <c r="H24" s="3468"/>
      <c r="I24" s="3468"/>
      <c r="J24" s="3090"/>
      <c r="K24" s="3077"/>
      <c r="L24" s="3077"/>
    </row>
    <row r="25" spans="1:12" s="3066" customFormat="1" ht="18" customHeight="1">
      <c r="A25" s="3050" t="s">
        <v>3123</v>
      </c>
      <c r="B25" s="3056" t="s">
        <v>3168</v>
      </c>
      <c r="C25" s="3486" t="s">
        <v>3169</v>
      </c>
      <c r="D25" s="3487"/>
      <c r="E25" s="3488">
        <f>H25</f>
        <v>0.17330000000000001</v>
      </c>
      <c r="F25" s="3489"/>
      <c r="G25" s="3052" t="s">
        <v>3170</v>
      </c>
      <c r="H25" s="3495">
        <f>ROUND(H22/1.05+12%,4)</f>
        <v>0.17330000000000001</v>
      </c>
      <c r="I25" s="3495"/>
      <c r="J25" s="3080"/>
      <c r="K25" s="3077"/>
      <c r="L25" s="3077"/>
    </row>
    <row r="26" spans="1:12" s="3066" customFormat="1" ht="18" customHeight="1">
      <c r="A26" s="3050" t="s">
        <v>3127</v>
      </c>
      <c r="B26" s="3056" t="s">
        <v>3171</v>
      </c>
      <c r="C26" s="3465">
        <f ca="1">ROUND(C23*H26,0)</f>
        <v>93450</v>
      </c>
      <c r="D26" s="3466"/>
      <c r="E26" s="3466"/>
      <c r="F26" s="3467"/>
      <c r="G26" s="3052" t="s">
        <v>3172</v>
      </c>
      <c r="H26" s="3495">
        <f>'数据-取费表'!AK6</f>
        <v>1.4999999999999999E-2</v>
      </c>
      <c r="I26" s="3495"/>
      <c r="J26" s="3080"/>
      <c r="K26" s="3077"/>
      <c r="L26" s="3077"/>
    </row>
    <row r="27" spans="1:12" s="3066" customFormat="1" ht="18" customHeight="1">
      <c r="A27" s="3050" t="s">
        <v>3130</v>
      </c>
      <c r="B27" s="3056" t="s">
        <v>3173</v>
      </c>
      <c r="C27" s="3465">
        <f ca="1">ROUND(C7*H27,0)</f>
        <v>14385</v>
      </c>
      <c r="D27" s="3466"/>
      <c r="E27" s="3466"/>
      <c r="F27" s="3467"/>
      <c r="G27" s="3052" t="s">
        <v>3174</v>
      </c>
      <c r="H27" s="3496">
        <f>'数据-取费表'!AL6</f>
        <v>1.5E-3</v>
      </c>
      <c r="I27" s="3496"/>
      <c r="J27" s="3064"/>
      <c r="K27" s="3077"/>
      <c r="L27" s="3077"/>
    </row>
    <row r="28" spans="1:12" s="3066" customFormat="1" ht="18" customHeight="1">
      <c r="A28" s="3050" t="s">
        <v>3133</v>
      </c>
      <c r="B28" s="3056" t="s">
        <v>3175</v>
      </c>
      <c r="C28" s="3486" t="s">
        <v>3169</v>
      </c>
      <c r="D28" s="3487"/>
      <c r="E28" s="3488">
        <f>H28</f>
        <v>0.01</v>
      </c>
      <c r="F28" s="3489"/>
      <c r="G28" s="3052" t="s">
        <v>3176</v>
      </c>
      <c r="H28" s="3495">
        <f>'数据-取费表'!AM6</f>
        <v>0.01</v>
      </c>
      <c r="I28" s="3495"/>
      <c r="J28" s="3093"/>
      <c r="K28" s="3077"/>
      <c r="L28" s="3077"/>
    </row>
    <row r="29" spans="1:12" s="3066" customFormat="1" ht="18" customHeight="1">
      <c r="A29" s="3055" t="s">
        <v>3177</v>
      </c>
      <c r="B29" s="3056" t="s">
        <v>3178</v>
      </c>
      <c r="C29" s="3465">
        <f ca="1">ROUND((C4+C24)/(1-E24),0)</f>
        <v>4206322</v>
      </c>
      <c r="D29" s="3466"/>
      <c r="E29" s="3466"/>
      <c r="F29" s="3467"/>
      <c r="G29" s="3469" t="s">
        <v>3179</v>
      </c>
      <c r="H29" s="3469"/>
      <c r="I29" s="3469"/>
      <c r="J29" s="3094" t="s">
        <v>3180</v>
      </c>
      <c r="K29" s="3077"/>
      <c r="L29" s="3077"/>
    </row>
    <row r="30" spans="1:12" s="3066" customFormat="1" ht="18" customHeight="1">
      <c r="A30" s="3469" t="s">
        <v>3181</v>
      </c>
      <c r="B30" s="3470" t="s">
        <v>3182</v>
      </c>
      <c r="C30" s="3497">
        <f ca="1">ROUND(C29/I30/I31/I3,2)</f>
        <v>6.21</v>
      </c>
      <c r="D30" s="3498"/>
      <c r="E30" s="3498"/>
      <c r="F30" s="3499"/>
      <c r="G30" s="3468" t="s">
        <v>3183</v>
      </c>
      <c r="H30" s="3056" t="s">
        <v>3184</v>
      </c>
      <c r="I30" s="3052">
        <v>365</v>
      </c>
      <c r="J30" s="3095"/>
      <c r="K30" s="3077"/>
      <c r="L30" s="3077"/>
    </row>
    <row r="31" spans="1:12" s="3066" customFormat="1" ht="18" customHeight="1">
      <c r="A31" s="3469"/>
      <c r="B31" s="3470"/>
      <c r="C31" s="3500"/>
      <c r="D31" s="3501"/>
      <c r="E31" s="3501"/>
      <c r="F31" s="3502"/>
      <c r="G31" s="3468"/>
      <c r="H31" s="3056" t="s">
        <v>3185</v>
      </c>
      <c r="I31" s="3096">
        <v>0.75</v>
      </c>
      <c r="J31" s="3097"/>
      <c r="K31" s="3077"/>
      <c r="L31" s="3077"/>
    </row>
    <row r="32" spans="1:12" s="3066" customFormat="1" ht="18" customHeight="1">
      <c r="A32" s="3049"/>
      <c r="B32" s="3098"/>
      <c r="C32" s="3099"/>
      <c r="D32" s="3099"/>
      <c r="E32" s="3099"/>
      <c r="F32" s="3099"/>
      <c r="G32" s="3100"/>
      <c r="H32" s="3101"/>
      <c r="I32" s="3049"/>
      <c r="J32" s="3102"/>
      <c r="K32" s="3077"/>
      <c r="L32" s="3077"/>
    </row>
    <row r="33" spans="1:13" s="3066" customFormat="1" ht="18" customHeight="1">
      <c r="A33" s="3049"/>
      <c r="B33" s="3504" t="s">
        <v>3186</v>
      </c>
      <c r="C33" s="3504"/>
      <c r="D33" s="3504"/>
      <c r="E33" s="3504"/>
      <c r="F33" s="3504"/>
      <c r="G33" s="3103"/>
      <c r="H33" s="3104"/>
      <c r="I33" s="3049"/>
      <c r="J33" s="3064"/>
      <c r="K33" s="3077"/>
      <c r="L33" s="3077"/>
      <c r="M33" s="3049"/>
    </row>
    <row r="34" spans="1:13" s="3066" customFormat="1" ht="18" customHeight="1">
      <c r="A34" s="3049"/>
      <c r="B34" s="3105" t="s">
        <v>3187</v>
      </c>
      <c r="C34" s="3106" t="s">
        <v>3098</v>
      </c>
      <c r="D34" s="3505" t="s">
        <v>3188</v>
      </c>
      <c r="E34" s="3505"/>
      <c r="F34" s="3505"/>
      <c r="G34" s="3103"/>
      <c r="H34" s="3104"/>
      <c r="I34" s="3049"/>
      <c r="J34" s="3090"/>
      <c r="K34" s="3049"/>
      <c r="L34" s="3049"/>
      <c r="M34" s="3049"/>
    </row>
    <row r="35" spans="1:13">
      <c r="B35" s="3105" t="s">
        <v>3189</v>
      </c>
      <c r="C35" s="3107">
        <v>0.5</v>
      </c>
      <c r="D35" s="3506">
        <f>'比较法-办公'!C50</f>
        <v>5.8</v>
      </c>
      <c r="E35" s="3506"/>
      <c r="F35" s="3506"/>
      <c r="G35" s="3103">
        <f ca="1">(D35-D36)/D36</f>
        <v>-6.6022544283413878E-2</v>
      </c>
      <c r="H35" s="3104"/>
      <c r="K35" s="3049"/>
      <c r="L35" s="3049"/>
    </row>
    <row r="36" spans="1:13" ht="20.100000000000001" customHeight="1">
      <c r="B36" s="3105" t="s">
        <v>3190</v>
      </c>
      <c r="C36" s="3107">
        <f>1-C35</f>
        <v>0.5</v>
      </c>
      <c r="D36" s="3506">
        <f ca="1">C30</f>
        <v>6.21</v>
      </c>
      <c r="E36" s="3506"/>
      <c r="F36" s="3506"/>
      <c r="G36" s="3103"/>
      <c r="H36" s="3104"/>
      <c r="J36" s="3049"/>
      <c r="K36" s="3049"/>
      <c r="L36" s="3049"/>
    </row>
    <row r="37" spans="1:13" ht="22.5" customHeight="1">
      <c r="B37" s="3507" t="s">
        <v>3191</v>
      </c>
      <c r="C37" s="3507"/>
      <c r="D37" s="3503">
        <f ca="1">ROUND(C35*D35+C36*D36,1)</f>
        <v>6</v>
      </c>
      <c r="E37" s="3503"/>
      <c r="F37" s="3503"/>
      <c r="G37" s="3138">
        <f ca="1">D37</f>
        <v>6</v>
      </c>
      <c r="H37" s="3104"/>
      <c r="J37" s="3049"/>
      <c r="K37" s="3049"/>
      <c r="L37" s="3049"/>
    </row>
    <row r="38" spans="1:13" ht="22.5" customHeight="1">
      <c r="B38" s="3105" t="s">
        <v>3192</v>
      </c>
      <c r="C38" s="3105">
        <f ca="1">ROUND(D37*0.9,1)</f>
        <v>5.4</v>
      </c>
      <c r="D38" s="3108" t="s">
        <v>3193</v>
      </c>
      <c r="E38" s="3503">
        <f ca="1">ROUND(D37*1.1,1)</f>
        <v>6.6</v>
      </c>
      <c r="F38" s="3503"/>
      <c r="G38" s="3103" t="s">
        <v>3194</v>
      </c>
      <c r="H38" s="3109">
        <v>12</v>
      </c>
      <c r="J38" s="3049"/>
      <c r="K38" s="3049"/>
      <c r="L38" s="3049"/>
    </row>
    <row r="39" spans="1:13" ht="18" customHeight="1">
      <c r="B39" s="3105" t="s">
        <v>3195</v>
      </c>
      <c r="C39" s="3105">
        <f ca="1">ROUND(C38+H39,1)</f>
        <v>5.4</v>
      </c>
      <c r="D39" s="3108" t="s">
        <v>3193</v>
      </c>
      <c r="E39" s="3503">
        <f ca="1">ROUND(E38+H39,1)</f>
        <v>6.6</v>
      </c>
      <c r="F39" s="3503"/>
      <c r="G39" s="3110" t="s">
        <v>3196</v>
      </c>
      <c r="H39" s="3110">
        <v>0</v>
      </c>
      <c r="J39" s="3049"/>
      <c r="K39" s="3049"/>
      <c r="L39" s="3049"/>
    </row>
    <row r="40" spans="1:13" ht="18" customHeight="1">
      <c r="B40" s="3111"/>
      <c r="C40" s="3112"/>
      <c r="D40" s="3113"/>
      <c r="E40" s="3113"/>
      <c r="F40" s="3113"/>
      <c r="G40" s="3103"/>
      <c r="H40" s="3104"/>
      <c r="J40" s="3049"/>
    </row>
    <row r="41" spans="1:13" ht="18" customHeight="1">
      <c r="B41" s="3103" t="s">
        <v>3197</v>
      </c>
      <c r="C41" s="3113"/>
      <c r="D41" s="3113"/>
      <c r="E41" s="3103" t="s">
        <v>3198</v>
      </c>
      <c r="F41" s="3113"/>
      <c r="G41" s="3103"/>
      <c r="H41" s="3103" t="s">
        <v>3199</v>
      </c>
      <c r="J41" s="3049"/>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1" type="noConversion"/>
  <pageMargins left="0.7" right="0.7" top="0.75" bottom="0.75" header="0.3" footer="0.3"/>
  <pageSetup paperSize="9" scale="86"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C2" sqref="C2"/>
    </sheetView>
  </sheetViews>
  <sheetFormatPr defaultRowHeight="13.5"/>
  <cols>
    <col min="1" max="1" width="12.5" style="3117" customWidth="1"/>
    <col min="2" max="2" width="9" style="3117"/>
    <col min="3" max="3" width="16.125" style="3117" customWidth="1"/>
    <col min="4" max="4" width="9" style="3117"/>
    <col min="5" max="5" width="16.75" style="3117" customWidth="1"/>
    <col min="6" max="7" width="11.25" style="3117" customWidth="1"/>
    <col min="8" max="256" width="9" style="3117"/>
    <col min="257" max="257" width="12.5" style="3117" customWidth="1"/>
    <col min="258" max="258" width="9" style="3117"/>
    <col min="259" max="259" width="13.5" style="3117" customWidth="1"/>
    <col min="260" max="260" width="9" style="3117"/>
    <col min="261" max="261" width="16.75" style="3117" customWidth="1"/>
    <col min="262" max="263" width="11.25" style="3117" customWidth="1"/>
    <col min="264" max="512" width="9" style="3117"/>
    <col min="513" max="513" width="12.5" style="3117" customWidth="1"/>
    <col min="514" max="514" width="9" style="3117"/>
    <col min="515" max="515" width="13.5" style="3117" customWidth="1"/>
    <col min="516" max="516" width="9" style="3117"/>
    <col min="517" max="517" width="16.75" style="3117" customWidth="1"/>
    <col min="518" max="519" width="11.25" style="3117" customWidth="1"/>
    <col min="520" max="768" width="9" style="3117"/>
    <col min="769" max="769" width="12.5" style="3117" customWidth="1"/>
    <col min="770" max="770" width="9" style="3117"/>
    <col min="771" max="771" width="13.5" style="3117" customWidth="1"/>
    <col min="772" max="772" width="9" style="3117"/>
    <col min="773" max="773" width="16.75" style="3117" customWidth="1"/>
    <col min="774" max="775" width="11.25" style="3117" customWidth="1"/>
    <col min="776" max="1024" width="9" style="3117"/>
    <col min="1025" max="1025" width="12.5" style="3117" customWidth="1"/>
    <col min="1026" max="1026" width="9" style="3117"/>
    <col min="1027" max="1027" width="13.5" style="3117" customWidth="1"/>
    <col min="1028" max="1028" width="9" style="3117"/>
    <col min="1029" max="1029" width="16.75" style="3117" customWidth="1"/>
    <col min="1030" max="1031" width="11.25" style="3117" customWidth="1"/>
    <col min="1032" max="1280" width="9" style="3117"/>
    <col min="1281" max="1281" width="12.5" style="3117" customWidth="1"/>
    <col min="1282" max="1282" width="9" style="3117"/>
    <col min="1283" max="1283" width="13.5" style="3117" customWidth="1"/>
    <col min="1284" max="1284" width="9" style="3117"/>
    <col min="1285" max="1285" width="16.75" style="3117" customWidth="1"/>
    <col min="1286" max="1287" width="11.25" style="3117" customWidth="1"/>
    <col min="1288" max="1536" width="9" style="3117"/>
    <col min="1537" max="1537" width="12.5" style="3117" customWidth="1"/>
    <col min="1538" max="1538" width="9" style="3117"/>
    <col min="1539" max="1539" width="13.5" style="3117" customWidth="1"/>
    <col min="1540" max="1540" width="9" style="3117"/>
    <col min="1541" max="1541" width="16.75" style="3117" customWidth="1"/>
    <col min="1542" max="1543" width="11.25" style="3117" customWidth="1"/>
    <col min="1544" max="1792" width="9" style="3117"/>
    <col min="1793" max="1793" width="12.5" style="3117" customWidth="1"/>
    <col min="1794" max="1794" width="9" style="3117"/>
    <col min="1795" max="1795" width="13.5" style="3117" customWidth="1"/>
    <col min="1796" max="1796" width="9" style="3117"/>
    <col min="1797" max="1797" width="16.75" style="3117" customWidth="1"/>
    <col min="1798" max="1799" width="11.25" style="3117" customWidth="1"/>
    <col min="1800" max="2048" width="9" style="3117"/>
    <col min="2049" max="2049" width="12.5" style="3117" customWidth="1"/>
    <col min="2050" max="2050" width="9" style="3117"/>
    <col min="2051" max="2051" width="13.5" style="3117" customWidth="1"/>
    <col min="2052" max="2052" width="9" style="3117"/>
    <col min="2053" max="2053" width="16.75" style="3117" customWidth="1"/>
    <col min="2054" max="2055" width="11.25" style="3117" customWidth="1"/>
    <col min="2056" max="2304" width="9" style="3117"/>
    <col min="2305" max="2305" width="12.5" style="3117" customWidth="1"/>
    <col min="2306" max="2306" width="9" style="3117"/>
    <col min="2307" max="2307" width="13.5" style="3117" customWidth="1"/>
    <col min="2308" max="2308" width="9" style="3117"/>
    <col min="2309" max="2309" width="16.75" style="3117" customWidth="1"/>
    <col min="2310" max="2311" width="11.25" style="3117" customWidth="1"/>
    <col min="2312" max="2560" width="9" style="3117"/>
    <col min="2561" max="2561" width="12.5" style="3117" customWidth="1"/>
    <col min="2562" max="2562" width="9" style="3117"/>
    <col min="2563" max="2563" width="13.5" style="3117" customWidth="1"/>
    <col min="2564" max="2564" width="9" style="3117"/>
    <col min="2565" max="2565" width="16.75" style="3117" customWidth="1"/>
    <col min="2566" max="2567" width="11.25" style="3117" customWidth="1"/>
    <col min="2568" max="2816" width="9" style="3117"/>
    <col min="2817" max="2817" width="12.5" style="3117" customWidth="1"/>
    <col min="2818" max="2818" width="9" style="3117"/>
    <col min="2819" max="2819" width="13.5" style="3117" customWidth="1"/>
    <col min="2820" max="2820" width="9" style="3117"/>
    <col min="2821" max="2821" width="16.75" style="3117" customWidth="1"/>
    <col min="2822" max="2823" width="11.25" style="3117" customWidth="1"/>
    <col min="2824" max="3072" width="9" style="3117"/>
    <col min="3073" max="3073" width="12.5" style="3117" customWidth="1"/>
    <col min="3074" max="3074" width="9" style="3117"/>
    <col min="3075" max="3075" width="13.5" style="3117" customWidth="1"/>
    <col min="3076" max="3076" width="9" style="3117"/>
    <col min="3077" max="3077" width="16.75" style="3117" customWidth="1"/>
    <col min="3078" max="3079" width="11.25" style="3117" customWidth="1"/>
    <col min="3080" max="3328" width="9" style="3117"/>
    <col min="3329" max="3329" width="12.5" style="3117" customWidth="1"/>
    <col min="3330" max="3330" width="9" style="3117"/>
    <col min="3331" max="3331" width="13.5" style="3117" customWidth="1"/>
    <col min="3332" max="3332" width="9" style="3117"/>
    <col min="3333" max="3333" width="16.75" style="3117" customWidth="1"/>
    <col min="3334" max="3335" width="11.25" style="3117" customWidth="1"/>
    <col min="3336" max="3584" width="9" style="3117"/>
    <col min="3585" max="3585" width="12.5" style="3117" customWidth="1"/>
    <col min="3586" max="3586" width="9" style="3117"/>
    <col min="3587" max="3587" width="13.5" style="3117" customWidth="1"/>
    <col min="3588" max="3588" width="9" style="3117"/>
    <col min="3589" max="3589" width="16.75" style="3117" customWidth="1"/>
    <col min="3590" max="3591" width="11.25" style="3117" customWidth="1"/>
    <col min="3592" max="3840" width="9" style="3117"/>
    <col min="3841" max="3841" width="12.5" style="3117" customWidth="1"/>
    <col min="3842" max="3842" width="9" style="3117"/>
    <col min="3843" max="3843" width="13.5" style="3117" customWidth="1"/>
    <col min="3844" max="3844" width="9" style="3117"/>
    <col min="3845" max="3845" width="16.75" style="3117" customWidth="1"/>
    <col min="3846" max="3847" width="11.25" style="3117" customWidth="1"/>
    <col min="3848" max="4096" width="9" style="3117"/>
    <col min="4097" max="4097" width="12.5" style="3117" customWidth="1"/>
    <col min="4098" max="4098" width="9" style="3117"/>
    <col min="4099" max="4099" width="13.5" style="3117" customWidth="1"/>
    <col min="4100" max="4100" width="9" style="3117"/>
    <col min="4101" max="4101" width="16.75" style="3117" customWidth="1"/>
    <col min="4102" max="4103" width="11.25" style="3117" customWidth="1"/>
    <col min="4104" max="4352" width="9" style="3117"/>
    <col min="4353" max="4353" width="12.5" style="3117" customWidth="1"/>
    <col min="4354" max="4354" width="9" style="3117"/>
    <col min="4355" max="4355" width="13.5" style="3117" customWidth="1"/>
    <col min="4356" max="4356" width="9" style="3117"/>
    <col min="4357" max="4357" width="16.75" style="3117" customWidth="1"/>
    <col min="4358" max="4359" width="11.25" style="3117" customWidth="1"/>
    <col min="4360" max="4608" width="9" style="3117"/>
    <col min="4609" max="4609" width="12.5" style="3117" customWidth="1"/>
    <col min="4610" max="4610" width="9" style="3117"/>
    <col min="4611" max="4611" width="13.5" style="3117" customWidth="1"/>
    <col min="4612" max="4612" width="9" style="3117"/>
    <col min="4613" max="4613" width="16.75" style="3117" customWidth="1"/>
    <col min="4614" max="4615" width="11.25" style="3117" customWidth="1"/>
    <col min="4616" max="4864" width="9" style="3117"/>
    <col min="4865" max="4865" width="12.5" style="3117" customWidth="1"/>
    <col min="4866" max="4866" width="9" style="3117"/>
    <col min="4867" max="4867" width="13.5" style="3117" customWidth="1"/>
    <col min="4868" max="4868" width="9" style="3117"/>
    <col min="4869" max="4869" width="16.75" style="3117" customWidth="1"/>
    <col min="4870" max="4871" width="11.25" style="3117" customWidth="1"/>
    <col min="4872" max="5120" width="9" style="3117"/>
    <col min="5121" max="5121" width="12.5" style="3117" customWidth="1"/>
    <col min="5122" max="5122" width="9" style="3117"/>
    <col min="5123" max="5123" width="13.5" style="3117" customWidth="1"/>
    <col min="5124" max="5124" width="9" style="3117"/>
    <col min="5125" max="5125" width="16.75" style="3117" customWidth="1"/>
    <col min="5126" max="5127" width="11.25" style="3117" customWidth="1"/>
    <col min="5128" max="5376" width="9" style="3117"/>
    <col min="5377" max="5377" width="12.5" style="3117" customWidth="1"/>
    <col min="5378" max="5378" width="9" style="3117"/>
    <col min="5379" max="5379" width="13.5" style="3117" customWidth="1"/>
    <col min="5380" max="5380" width="9" style="3117"/>
    <col min="5381" max="5381" width="16.75" style="3117" customWidth="1"/>
    <col min="5382" max="5383" width="11.25" style="3117" customWidth="1"/>
    <col min="5384" max="5632" width="9" style="3117"/>
    <col min="5633" max="5633" width="12.5" style="3117" customWidth="1"/>
    <col min="5634" max="5634" width="9" style="3117"/>
    <col min="5635" max="5635" width="13.5" style="3117" customWidth="1"/>
    <col min="5636" max="5636" width="9" style="3117"/>
    <col min="5637" max="5637" width="16.75" style="3117" customWidth="1"/>
    <col min="5638" max="5639" width="11.25" style="3117" customWidth="1"/>
    <col min="5640" max="5888" width="9" style="3117"/>
    <col min="5889" max="5889" width="12.5" style="3117" customWidth="1"/>
    <col min="5890" max="5890" width="9" style="3117"/>
    <col min="5891" max="5891" width="13.5" style="3117" customWidth="1"/>
    <col min="5892" max="5892" width="9" style="3117"/>
    <col min="5893" max="5893" width="16.75" style="3117" customWidth="1"/>
    <col min="5894" max="5895" width="11.25" style="3117" customWidth="1"/>
    <col min="5896" max="6144" width="9" style="3117"/>
    <col min="6145" max="6145" width="12.5" style="3117" customWidth="1"/>
    <col min="6146" max="6146" width="9" style="3117"/>
    <col min="6147" max="6147" width="13.5" style="3117" customWidth="1"/>
    <col min="6148" max="6148" width="9" style="3117"/>
    <col min="6149" max="6149" width="16.75" style="3117" customWidth="1"/>
    <col min="6150" max="6151" width="11.25" style="3117" customWidth="1"/>
    <col min="6152" max="6400" width="9" style="3117"/>
    <col min="6401" max="6401" width="12.5" style="3117" customWidth="1"/>
    <col min="6402" max="6402" width="9" style="3117"/>
    <col min="6403" max="6403" width="13.5" style="3117" customWidth="1"/>
    <col min="6404" max="6404" width="9" style="3117"/>
    <col min="6405" max="6405" width="16.75" style="3117" customWidth="1"/>
    <col min="6406" max="6407" width="11.25" style="3117" customWidth="1"/>
    <col min="6408" max="6656" width="9" style="3117"/>
    <col min="6657" max="6657" width="12.5" style="3117" customWidth="1"/>
    <col min="6658" max="6658" width="9" style="3117"/>
    <col min="6659" max="6659" width="13.5" style="3117" customWidth="1"/>
    <col min="6660" max="6660" width="9" style="3117"/>
    <col min="6661" max="6661" width="16.75" style="3117" customWidth="1"/>
    <col min="6662" max="6663" width="11.25" style="3117" customWidth="1"/>
    <col min="6664" max="6912" width="9" style="3117"/>
    <col min="6913" max="6913" width="12.5" style="3117" customWidth="1"/>
    <col min="6914" max="6914" width="9" style="3117"/>
    <col min="6915" max="6915" width="13.5" style="3117" customWidth="1"/>
    <col min="6916" max="6916" width="9" style="3117"/>
    <col min="6917" max="6917" width="16.75" style="3117" customWidth="1"/>
    <col min="6918" max="6919" width="11.25" style="3117" customWidth="1"/>
    <col min="6920" max="7168" width="9" style="3117"/>
    <col min="7169" max="7169" width="12.5" style="3117" customWidth="1"/>
    <col min="7170" max="7170" width="9" style="3117"/>
    <col min="7171" max="7171" width="13.5" style="3117" customWidth="1"/>
    <col min="7172" max="7172" width="9" style="3117"/>
    <col min="7173" max="7173" width="16.75" style="3117" customWidth="1"/>
    <col min="7174" max="7175" width="11.25" style="3117" customWidth="1"/>
    <col min="7176" max="7424" width="9" style="3117"/>
    <col min="7425" max="7425" width="12.5" style="3117" customWidth="1"/>
    <col min="7426" max="7426" width="9" style="3117"/>
    <col min="7427" max="7427" width="13.5" style="3117" customWidth="1"/>
    <col min="7428" max="7428" width="9" style="3117"/>
    <col min="7429" max="7429" width="16.75" style="3117" customWidth="1"/>
    <col min="7430" max="7431" width="11.25" style="3117" customWidth="1"/>
    <col min="7432" max="7680" width="9" style="3117"/>
    <col min="7681" max="7681" width="12.5" style="3117" customWidth="1"/>
    <col min="7682" max="7682" width="9" style="3117"/>
    <col min="7683" max="7683" width="13.5" style="3117" customWidth="1"/>
    <col min="7684" max="7684" width="9" style="3117"/>
    <col min="7685" max="7685" width="16.75" style="3117" customWidth="1"/>
    <col min="7686" max="7687" width="11.25" style="3117" customWidth="1"/>
    <col min="7688" max="7936" width="9" style="3117"/>
    <col min="7937" max="7937" width="12.5" style="3117" customWidth="1"/>
    <col min="7938" max="7938" width="9" style="3117"/>
    <col min="7939" max="7939" width="13.5" style="3117" customWidth="1"/>
    <col min="7940" max="7940" width="9" style="3117"/>
    <col min="7941" max="7941" width="16.75" style="3117" customWidth="1"/>
    <col min="7942" max="7943" width="11.25" style="3117" customWidth="1"/>
    <col min="7944" max="8192" width="9" style="3117"/>
    <col min="8193" max="8193" width="12.5" style="3117" customWidth="1"/>
    <col min="8194" max="8194" width="9" style="3117"/>
    <col min="8195" max="8195" width="13.5" style="3117" customWidth="1"/>
    <col min="8196" max="8196" width="9" style="3117"/>
    <col min="8197" max="8197" width="16.75" style="3117" customWidth="1"/>
    <col min="8198" max="8199" width="11.25" style="3117" customWidth="1"/>
    <col min="8200" max="8448" width="9" style="3117"/>
    <col min="8449" max="8449" width="12.5" style="3117" customWidth="1"/>
    <col min="8450" max="8450" width="9" style="3117"/>
    <col min="8451" max="8451" width="13.5" style="3117" customWidth="1"/>
    <col min="8452" max="8452" width="9" style="3117"/>
    <col min="8453" max="8453" width="16.75" style="3117" customWidth="1"/>
    <col min="8454" max="8455" width="11.25" style="3117" customWidth="1"/>
    <col min="8456" max="8704" width="9" style="3117"/>
    <col min="8705" max="8705" width="12.5" style="3117" customWidth="1"/>
    <col min="8706" max="8706" width="9" style="3117"/>
    <col min="8707" max="8707" width="13.5" style="3117" customWidth="1"/>
    <col min="8708" max="8708" width="9" style="3117"/>
    <col min="8709" max="8709" width="16.75" style="3117" customWidth="1"/>
    <col min="8710" max="8711" width="11.25" style="3117" customWidth="1"/>
    <col min="8712" max="8960" width="9" style="3117"/>
    <col min="8961" max="8961" width="12.5" style="3117" customWidth="1"/>
    <col min="8962" max="8962" width="9" style="3117"/>
    <col min="8963" max="8963" width="13.5" style="3117" customWidth="1"/>
    <col min="8964" max="8964" width="9" style="3117"/>
    <col min="8965" max="8965" width="16.75" style="3117" customWidth="1"/>
    <col min="8966" max="8967" width="11.25" style="3117" customWidth="1"/>
    <col min="8968" max="9216" width="9" style="3117"/>
    <col min="9217" max="9217" width="12.5" style="3117" customWidth="1"/>
    <col min="9218" max="9218" width="9" style="3117"/>
    <col min="9219" max="9219" width="13.5" style="3117" customWidth="1"/>
    <col min="9220" max="9220" width="9" style="3117"/>
    <col min="9221" max="9221" width="16.75" style="3117" customWidth="1"/>
    <col min="9222" max="9223" width="11.25" style="3117" customWidth="1"/>
    <col min="9224" max="9472" width="9" style="3117"/>
    <col min="9473" max="9473" width="12.5" style="3117" customWidth="1"/>
    <col min="9474" max="9474" width="9" style="3117"/>
    <col min="9475" max="9475" width="13.5" style="3117" customWidth="1"/>
    <col min="9476" max="9476" width="9" style="3117"/>
    <col min="9477" max="9477" width="16.75" style="3117" customWidth="1"/>
    <col min="9478" max="9479" width="11.25" style="3117" customWidth="1"/>
    <col min="9480" max="9728" width="9" style="3117"/>
    <col min="9729" max="9729" width="12.5" style="3117" customWidth="1"/>
    <col min="9730" max="9730" width="9" style="3117"/>
    <col min="9731" max="9731" width="13.5" style="3117" customWidth="1"/>
    <col min="9732" max="9732" width="9" style="3117"/>
    <col min="9733" max="9733" width="16.75" style="3117" customWidth="1"/>
    <col min="9734" max="9735" width="11.25" style="3117" customWidth="1"/>
    <col min="9736" max="9984" width="9" style="3117"/>
    <col min="9985" max="9985" width="12.5" style="3117" customWidth="1"/>
    <col min="9986" max="9986" width="9" style="3117"/>
    <col min="9987" max="9987" width="13.5" style="3117" customWidth="1"/>
    <col min="9988" max="9988" width="9" style="3117"/>
    <col min="9989" max="9989" width="16.75" style="3117" customWidth="1"/>
    <col min="9990" max="9991" width="11.25" style="3117" customWidth="1"/>
    <col min="9992" max="10240" width="9" style="3117"/>
    <col min="10241" max="10241" width="12.5" style="3117" customWidth="1"/>
    <col min="10242" max="10242" width="9" style="3117"/>
    <col min="10243" max="10243" width="13.5" style="3117" customWidth="1"/>
    <col min="10244" max="10244" width="9" style="3117"/>
    <col min="10245" max="10245" width="16.75" style="3117" customWidth="1"/>
    <col min="10246" max="10247" width="11.25" style="3117" customWidth="1"/>
    <col min="10248" max="10496" width="9" style="3117"/>
    <col min="10497" max="10497" width="12.5" style="3117" customWidth="1"/>
    <col min="10498" max="10498" width="9" style="3117"/>
    <col min="10499" max="10499" width="13.5" style="3117" customWidth="1"/>
    <col min="10500" max="10500" width="9" style="3117"/>
    <col min="10501" max="10501" width="16.75" style="3117" customWidth="1"/>
    <col min="10502" max="10503" width="11.25" style="3117" customWidth="1"/>
    <col min="10504" max="10752" width="9" style="3117"/>
    <col min="10753" max="10753" width="12.5" style="3117" customWidth="1"/>
    <col min="10754" max="10754" width="9" style="3117"/>
    <col min="10755" max="10755" width="13.5" style="3117" customWidth="1"/>
    <col min="10756" max="10756" width="9" style="3117"/>
    <col min="10757" max="10757" width="16.75" style="3117" customWidth="1"/>
    <col min="10758" max="10759" width="11.25" style="3117" customWidth="1"/>
    <col min="10760" max="11008" width="9" style="3117"/>
    <col min="11009" max="11009" width="12.5" style="3117" customWidth="1"/>
    <col min="11010" max="11010" width="9" style="3117"/>
    <col min="11011" max="11011" width="13.5" style="3117" customWidth="1"/>
    <col min="11012" max="11012" width="9" style="3117"/>
    <col min="11013" max="11013" width="16.75" style="3117" customWidth="1"/>
    <col min="11014" max="11015" width="11.25" style="3117" customWidth="1"/>
    <col min="11016" max="11264" width="9" style="3117"/>
    <col min="11265" max="11265" width="12.5" style="3117" customWidth="1"/>
    <col min="11266" max="11266" width="9" style="3117"/>
    <col min="11267" max="11267" width="13.5" style="3117" customWidth="1"/>
    <col min="11268" max="11268" width="9" style="3117"/>
    <col min="11269" max="11269" width="16.75" style="3117" customWidth="1"/>
    <col min="11270" max="11271" width="11.25" style="3117" customWidth="1"/>
    <col min="11272" max="11520" width="9" style="3117"/>
    <col min="11521" max="11521" width="12.5" style="3117" customWidth="1"/>
    <col min="11522" max="11522" width="9" style="3117"/>
    <col min="11523" max="11523" width="13.5" style="3117" customWidth="1"/>
    <col min="11524" max="11524" width="9" style="3117"/>
    <col min="11525" max="11525" width="16.75" style="3117" customWidth="1"/>
    <col min="11526" max="11527" width="11.25" style="3117" customWidth="1"/>
    <col min="11528" max="11776" width="9" style="3117"/>
    <col min="11777" max="11777" width="12.5" style="3117" customWidth="1"/>
    <col min="11778" max="11778" width="9" style="3117"/>
    <col min="11779" max="11779" width="13.5" style="3117" customWidth="1"/>
    <col min="11780" max="11780" width="9" style="3117"/>
    <col min="11781" max="11781" width="16.75" style="3117" customWidth="1"/>
    <col min="11782" max="11783" width="11.25" style="3117" customWidth="1"/>
    <col min="11784" max="12032" width="9" style="3117"/>
    <col min="12033" max="12033" width="12.5" style="3117" customWidth="1"/>
    <col min="12034" max="12034" width="9" style="3117"/>
    <col min="12035" max="12035" width="13.5" style="3117" customWidth="1"/>
    <col min="12036" max="12036" width="9" style="3117"/>
    <col min="12037" max="12037" width="16.75" style="3117" customWidth="1"/>
    <col min="12038" max="12039" width="11.25" style="3117" customWidth="1"/>
    <col min="12040" max="12288" width="9" style="3117"/>
    <col min="12289" max="12289" width="12.5" style="3117" customWidth="1"/>
    <col min="12290" max="12290" width="9" style="3117"/>
    <col min="12291" max="12291" width="13.5" style="3117" customWidth="1"/>
    <col min="12292" max="12292" width="9" style="3117"/>
    <col min="12293" max="12293" width="16.75" style="3117" customWidth="1"/>
    <col min="12294" max="12295" width="11.25" style="3117" customWidth="1"/>
    <col min="12296" max="12544" width="9" style="3117"/>
    <col min="12545" max="12545" width="12.5" style="3117" customWidth="1"/>
    <col min="12546" max="12546" width="9" style="3117"/>
    <col min="12547" max="12547" width="13.5" style="3117" customWidth="1"/>
    <col min="12548" max="12548" width="9" style="3117"/>
    <col min="12549" max="12549" width="16.75" style="3117" customWidth="1"/>
    <col min="12550" max="12551" width="11.25" style="3117" customWidth="1"/>
    <col min="12552" max="12800" width="9" style="3117"/>
    <col min="12801" max="12801" width="12.5" style="3117" customWidth="1"/>
    <col min="12802" max="12802" width="9" style="3117"/>
    <col min="12803" max="12803" width="13.5" style="3117" customWidth="1"/>
    <col min="12804" max="12804" width="9" style="3117"/>
    <col min="12805" max="12805" width="16.75" style="3117" customWidth="1"/>
    <col min="12806" max="12807" width="11.25" style="3117" customWidth="1"/>
    <col min="12808" max="13056" width="9" style="3117"/>
    <col min="13057" max="13057" width="12.5" style="3117" customWidth="1"/>
    <col min="13058" max="13058" width="9" style="3117"/>
    <col min="13059" max="13059" width="13.5" style="3117" customWidth="1"/>
    <col min="13060" max="13060" width="9" style="3117"/>
    <col min="13061" max="13061" width="16.75" style="3117" customWidth="1"/>
    <col min="13062" max="13063" width="11.25" style="3117" customWidth="1"/>
    <col min="13064" max="13312" width="9" style="3117"/>
    <col min="13313" max="13313" width="12.5" style="3117" customWidth="1"/>
    <col min="13314" max="13314" width="9" style="3117"/>
    <col min="13315" max="13315" width="13.5" style="3117" customWidth="1"/>
    <col min="13316" max="13316" width="9" style="3117"/>
    <col min="13317" max="13317" width="16.75" style="3117" customWidth="1"/>
    <col min="13318" max="13319" width="11.25" style="3117" customWidth="1"/>
    <col min="13320" max="13568" width="9" style="3117"/>
    <col min="13569" max="13569" width="12.5" style="3117" customWidth="1"/>
    <col min="13570" max="13570" width="9" style="3117"/>
    <col min="13571" max="13571" width="13.5" style="3117" customWidth="1"/>
    <col min="13572" max="13572" width="9" style="3117"/>
    <col min="13573" max="13573" width="16.75" style="3117" customWidth="1"/>
    <col min="13574" max="13575" width="11.25" style="3117" customWidth="1"/>
    <col min="13576" max="13824" width="9" style="3117"/>
    <col min="13825" max="13825" width="12.5" style="3117" customWidth="1"/>
    <col min="13826" max="13826" width="9" style="3117"/>
    <col min="13827" max="13827" width="13.5" style="3117" customWidth="1"/>
    <col min="13828" max="13828" width="9" style="3117"/>
    <col min="13829" max="13829" width="16.75" style="3117" customWidth="1"/>
    <col min="13830" max="13831" width="11.25" style="3117" customWidth="1"/>
    <col min="13832" max="14080" width="9" style="3117"/>
    <col min="14081" max="14081" width="12.5" style="3117" customWidth="1"/>
    <col min="14082" max="14082" width="9" style="3117"/>
    <col min="14083" max="14083" width="13.5" style="3117" customWidth="1"/>
    <col min="14084" max="14084" width="9" style="3117"/>
    <col min="14085" max="14085" width="16.75" style="3117" customWidth="1"/>
    <col min="14086" max="14087" width="11.25" style="3117" customWidth="1"/>
    <col min="14088" max="14336" width="9" style="3117"/>
    <col min="14337" max="14337" width="12.5" style="3117" customWidth="1"/>
    <col min="14338" max="14338" width="9" style="3117"/>
    <col min="14339" max="14339" width="13.5" style="3117" customWidth="1"/>
    <col min="14340" max="14340" width="9" style="3117"/>
    <col min="14341" max="14341" width="16.75" style="3117" customWidth="1"/>
    <col min="14342" max="14343" width="11.25" style="3117" customWidth="1"/>
    <col min="14344" max="14592" width="9" style="3117"/>
    <col min="14593" max="14593" width="12.5" style="3117" customWidth="1"/>
    <col min="14594" max="14594" width="9" style="3117"/>
    <col min="14595" max="14595" width="13.5" style="3117" customWidth="1"/>
    <col min="14596" max="14596" width="9" style="3117"/>
    <col min="14597" max="14597" width="16.75" style="3117" customWidth="1"/>
    <col min="14598" max="14599" width="11.25" style="3117" customWidth="1"/>
    <col min="14600" max="14848" width="9" style="3117"/>
    <col min="14849" max="14849" width="12.5" style="3117" customWidth="1"/>
    <col min="14850" max="14850" width="9" style="3117"/>
    <col min="14851" max="14851" width="13.5" style="3117" customWidth="1"/>
    <col min="14852" max="14852" width="9" style="3117"/>
    <col min="14853" max="14853" width="16.75" style="3117" customWidth="1"/>
    <col min="14854" max="14855" width="11.25" style="3117" customWidth="1"/>
    <col min="14856" max="15104" width="9" style="3117"/>
    <col min="15105" max="15105" width="12.5" style="3117" customWidth="1"/>
    <col min="15106" max="15106" width="9" style="3117"/>
    <col min="15107" max="15107" width="13.5" style="3117" customWidth="1"/>
    <col min="15108" max="15108" width="9" style="3117"/>
    <col min="15109" max="15109" width="16.75" style="3117" customWidth="1"/>
    <col min="15110" max="15111" width="11.25" style="3117" customWidth="1"/>
    <col min="15112" max="15360" width="9" style="3117"/>
    <col min="15361" max="15361" width="12.5" style="3117" customWidth="1"/>
    <col min="15362" max="15362" width="9" style="3117"/>
    <col min="15363" max="15363" width="13.5" style="3117" customWidth="1"/>
    <col min="15364" max="15364" width="9" style="3117"/>
    <col min="15365" max="15365" width="16.75" style="3117" customWidth="1"/>
    <col min="15366" max="15367" width="11.25" style="3117" customWidth="1"/>
    <col min="15368" max="15616" width="9" style="3117"/>
    <col min="15617" max="15617" width="12.5" style="3117" customWidth="1"/>
    <col min="15618" max="15618" width="9" style="3117"/>
    <col min="15619" max="15619" width="13.5" style="3117" customWidth="1"/>
    <col min="15620" max="15620" width="9" style="3117"/>
    <col min="15621" max="15621" width="16.75" style="3117" customWidth="1"/>
    <col min="15622" max="15623" width="11.25" style="3117" customWidth="1"/>
    <col min="15624" max="15872" width="9" style="3117"/>
    <col min="15873" max="15873" width="12.5" style="3117" customWidth="1"/>
    <col min="15874" max="15874" width="9" style="3117"/>
    <col min="15875" max="15875" width="13.5" style="3117" customWidth="1"/>
    <col min="15876" max="15876" width="9" style="3117"/>
    <col min="15877" max="15877" width="16.75" style="3117" customWidth="1"/>
    <col min="15878" max="15879" width="11.25" style="3117" customWidth="1"/>
    <col min="15880" max="16128" width="9" style="3117"/>
    <col min="16129" max="16129" width="12.5" style="3117" customWidth="1"/>
    <col min="16130" max="16130" width="9" style="3117"/>
    <col min="16131" max="16131" width="13.5" style="3117" customWidth="1"/>
    <col min="16132" max="16132" width="9" style="3117"/>
    <col min="16133" max="16133" width="16.75" style="3117" customWidth="1"/>
    <col min="16134" max="16135" width="11.25" style="3117" customWidth="1"/>
    <col min="16136" max="16384" width="9" style="3117"/>
  </cols>
  <sheetData>
    <row r="1" spans="1:7">
      <c r="A1" s="3508" t="s">
        <v>3200</v>
      </c>
      <c r="B1" s="3509"/>
      <c r="C1" s="3509"/>
      <c r="D1" s="3509"/>
      <c r="E1" s="3509"/>
      <c r="F1" s="3509"/>
      <c r="G1" s="3509"/>
    </row>
    <row r="2" spans="1:7">
      <c r="A2" s="3118" t="s">
        <v>3201</v>
      </c>
      <c r="B2" s="3118" t="s">
        <v>3324</v>
      </c>
      <c r="C2" s="3118" t="s">
        <v>3325</v>
      </c>
      <c r="D2" s="3118" t="s">
        <v>3204</v>
      </c>
      <c r="E2" s="3118" t="s">
        <v>3205</v>
      </c>
      <c r="F2" s="3118" t="s">
        <v>3206</v>
      </c>
      <c r="G2" s="3118" t="s">
        <v>3207</v>
      </c>
    </row>
    <row r="3" spans="1:7">
      <c r="A3" s="3119" t="str">
        <f>'数据-汇总表'!C19</f>
        <v>办公-楼房</v>
      </c>
      <c r="B3" s="3119" t="s">
        <v>3326</v>
      </c>
      <c r="C3" s="3119">
        <v>1</v>
      </c>
      <c r="D3" s="3119">
        <f>'数据-基础表'!H13</f>
        <v>2476.1999999999998</v>
      </c>
      <c r="E3" s="3119">
        <v>1</v>
      </c>
      <c r="F3" s="3118">
        <f ca="1">'收益法 (倒)'!G37</f>
        <v>6</v>
      </c>
      <c r="G3" s="3118">
        <f ca="1">ROUND(F3*C3*E3,1)</f>
        <v>6</v>
      </c>
    </row>
    <row r="4" spans="1:7">
      <c r="A4" s="3119" t="str">
        <f>'数据-汇总表'!C20</f>
        <v>办公-平房</v>
      </c>
      <c r="B4" s="3119" t="s">
        <v>3327</v>
      </c>
      <c r="C4" s="3119">
        <v>1.02</v>
      </c>
      <c r="D4" s="3119">
        <f>'数据-基础表'!H14</f>
        <v>350.7</v>
      </c>
      <c r="E4" s="3119">
        <v>1.02</v>
      </c>
      <c r="F4" s="3139">
        <f ca="1">F3</f>
        <v>6</v>
      </c>
      <c r="G4" s="3139">
        <f ca="1">ROUND(F4*C4*E4,1)</f>
        <v>6.2</v>
      </c>
    </row>
    <row r="5" spans="1:7">
      <c r="A5" s="3119"/>
      <c r="B5" s="3119"/>
      <c r="C5" s="3119"/>
      <c r="D5" s="3119"/>
      <c r="E5" s="3119"/>
      <c r="F5" s="3118"/>
      <c r="G5" s="3118"/>
    </row>
    <row r="6" spans="1:7">
      <c r="A6" s="3119"/>
      <c r="B6" s="3119"/>
      <c r="C6" s="3119"/>
      <c r="D6" s="3119"/>
      <c r="E6" s="3119"/>
      <c r="F6" s="3118"/>
      <c r="G6" s="3118"/>
    </row>
    <row r="7" spans="1:7">
      <c r="A7" s="3119"/>
      <c r="B7" s="3119"/>
      <c r="C7" s="3119"/>
      <c r="D7" s="3119"/>
      <c r="E7" s="3119"/>
      <c r="F7" s="3118"/>
      <c r="G7" s="3118"/>
    </row>
    <row r="8" spans="1:7">
      <c r="A8" s="3119"/>
      <c r="B8" s="3119"/>
      <c r="C8" s="3119"/>
      <c r="D8" s="3119"/>
      <c r="E8" s="3119"/>
      <c r="F8" s="3118"/>
      <c r="G8" s="3118"/>
    </row>
    <row r="9" spans="1:7">
      <c r="A9" s="3119"/>
      <c r="B9" s="3119"/>
      <c r="C9" s="3119"/>
      <c r="D9" s="3119"/>
      <c r="E9" s="3119"/>
      <c r="F9" s="3118"/>
      <c r="G9" s="3118"/>
    </row>
    <row r="10" spans="1:7">
      <c r="A10" s="3119"/>
      <c r="B10" s="3119"/>
      <c r="C10" s="3119"/>
      <c r="D10" s="3119"/>
      <c r="E10" s="3119"/>
      <c r="F10" s="3118"/>
      <c r="G10" s="3118"/>
    </row>
    <row r="13" spans="1:7">
      <c r="A13" s="3508" t="s">
        <v>3200</v>
      </c>
      <c r="B13" s="3509"/>
      <c r="C13" s="3509"/>
      <c r="D13" s="3509"/>
      <c r="E13" s="3509"/>
      <c r="F13" s="3509"/>
      <c r="G13" s="3509"/>
    </row>
    <row r="14" spans="1:7" hidden="1">
      <c r="A14" s="3118" t="s">
        <v>3201</v>
      </c>
      <c r="B14" s="3118" t="s">
        <v>3202</v>
      </c>
      <c r="C14" s="3118" t="s">
        <v>3203</v>
      </c>
      <c r="D14" s="3118" t="s">
        <v>3208</v>
      </c>
      <c r="E14" s="3118" t="s">
        <v>3205</v>
      </c>
      <c r="F14" s="3118" t="s">
        <v>3206</v>
      </c>
      <c r="G14" s="3118" t="s">
        <v>3207</v>
      </c>
    </row>
    <row r="15" spans="1:7" hidden="1">
      <c r="A15" s="3118" t="str">
        <f>A3</f>
        <v>办公-楼房</v>
      </c>
      <c r="B15" s="3119" t="s">
        <v>3328</v>
      </c>
      <c r="C15" s="3119">
        <v>1</v>
      </c>
      <c r="D15" s="3120">
        <f>[1]比较法—租金!C36</f>
        <v>0</v>
      </c>
      <c r="E15" s="3119">
        <v>1</v>
      </c>
      <c r="F15" s="3118">
        <f>[1]收益法!D49</f>
        <v>0</v>
      </c>
      <c r="G15" s="3118" t="s">
        <v>3209</v>
      </c>
    </row>
    <row r="16" spans="1:7" hidden="1">
      <c r="A16" s="3118" t="str">
        <f>A4</f>
        <v>办公-平房</v>
      </c>
      <c r="B16" s="3119">
        <v>1</v>
      </c>
      <c r="C16" s="3119">
        <v>0.8</v>
      </c>
      <c r="D16" s="3119">
        <v>531.41999999999996</v>
      </c>
      <c r="E16" s="3119">
        <v>0.96</v>
      </c>
      <c r="F16" s="3118" t="s">
        <v>3209</v>
      </c>
      <c r="G16" s="3118">
        <f>ROUND(F15*C16*E16,1)</f>
        <v>0</v>
      </c>
    </row>
    <row r="17" spans="1:7">
      <c r="A17" s="3510" t="s">
        <v>3210</v>
      </c>
      <c r="B17" s="3511"/>
      <c r="C17" s="3512"/>
      <c r="D17" s="3140">
        <f>D3+D4</f>
        <v>2826.8999999999996</v>
      </c>
      <c r="E17" s="3513" t="s">
        <v>3209</v>
      </c>
      <c r="F17" s="3514"/>
      <c r="G17" s="3118">
        <f ca="1">ROUND((G3*D3+G4*D4)/D17,1)</f>
        <v>6</v>
      </c>
    </row>
    <row r="18" spans="1:7">
      <c r="A18" s="3510" t="s">
        <v>3192</v>
      </c>
      <c r="B18" s="3515"/>
      <c r="C18" s="3516"/>
      <c r="D18" s="3517">
        <f>D17</f>
        <v>2826.8999999999996</v>
      </c>
      <c r="E18" s="3118">
        <f ca="1">ROUND(G17*0.9,1)</f>
        <v>5.4</v>
      </c>
      <c r="F18" s="3137" t="s">
        <v>3193</v>
      </c>
      <c r="G18" s="3118">
        <f ca="1">ROUND(G17*1.1,1)</f>
        <v>6.6</v>
      </c>
    </row>
    <row r="19" spans="1:7" hidden="1">
      <c r="A19" s="3513" t="s">
        <v>3211</v>
      </c>
      <c r="B19" s="3520"/>
      <c r="C19" s="3521"/>
      <c r="D19" s="3518"/>
      <c r="E19" s="3513">
        <v>2.1</v>
      </c>
      <c r="F19" s="3522"/>
      <c r="G19" s="3514"/>
    </row>
    <row r="20" spans="1:7" hidden="1">
      <c r="A20" s="3513" t="s">
        <v>3212</v>
      </c>
      <c r="B20" s="3520"/>
      <c r="C20" s="3521"/>
      <c r="D20" s="3519"/>
      <c r="E20" s="3119">
        <f ca="1">E18+E19</f>
        <v>7.5</v>
      </c>
      <c r="F20" s="3137" t="s">
        <v>3193</v>
      </c>
      <c r="G20" s="3118">
        <f ca="1">G18+E19</f>
        <v>8.6999999999999993</v>
      </c>
    </row>
    <row r="22" spans="1:7">
      <c r="A22" s="3121"/>
    </row>
  </sheetData>
  <mergeCells count="9">
    <mergeCell ref="A1:G1"/>
    <mergeCell ref="A13:G13"/>
    <mergeCell ref="A17:C17"/>
    <mergeCell ref="E17:F17"/>
    <mergeCell ref="A18:C18"/>
    <mergeCell ref="D18:D20"/>
    <mergeCell ref="A19:C19"/>
    <mergeCell ref="E19:G19"/>
    <mergeCell ref="A20:C20"/>
  </mergeCells>
  <phoneticPr fontId="14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topLeftCell="A116" workbookViewId="0">
      <selection activeCell="I209" sqref="I209"/>
    </sheetView>
  </sheetViews>
  <sheetFormatPr defaultColWidth="9" defaultRowHeight="13.5"/>
  <cols>
    <col min="1" max="2" width="9" style="3124"/>
    <col min="3" max="3" width="9" style="3124" customWidth="1"/>
    <col min="4" max="4" width="9" style="3124"/>
    <col min="5" max="5" width="9" style="3125"/>
    <col min="6" max="16384" width="9" style="3124"/>
  </cols>
  <sheetData>
    <row r="1" spans="1:5">
      <c r="A1" s="3124" t="s">
        <v>3221</v>
      </c>
      <c r="B1" s="3124" t="s">
        <v>3222</v>
      </c>
      <c r="C1" s="3523" t="s">
        <v>3223</v>
      </c>
      <c r="D1" s="3523"/>
      <c r="E1" s="3125" t="s">
        <v>3224</v>
      </c>
    </row>
    <row r="2" spans="1:5">
      <c r="A2" s="3124">
        <v>1</v>
      </c>
      <c r="B2" s="3124">
        <v>101</v>
      </c>
      <c r="C2" s="3124" t="s">
        <v>3225</v>
      </c>
      <c r="E2" s="3125">
        <v>14.5</v>
      </c>
    </row>
    <row r="3" spans="1:5">
      <c r="A3" s="3124">
        <v>1</v>
      </c>
      <c r="B3" s="3124">
        <v>102</v>
      </c>
      <c r="C3" s="3124" t="s">
        <v>3226</v>
      </c>
      <c r="E3" s="3125">
        <v>29</v>
      </c>
    </row>
    <row r="4" spans="1:5">
      <c r="A4" s="3124">
        <v>1</v>
      </c>
      <c r="B4" s="3124">
        <v>103</v>
      </c>
      <c r="C4" s="3124" t="s">
        <v>3227</v>
      </c>
      <c r="E4" s="3125">
        <v>14.5</v>
      </c>
    </row>
    <row r="5" spans="1:5">
      <c r="A5" s="3124">
        <v>1</v>
      </c>
      <c r="B5" s="3124">
        <v>104</v>
      </c>
      <c r="C5" s="3124" t="s">
        <v>3228</v>
      </c>
      <c r="E5" s="3125">
        <v>14.5</v>
      </c>
    </row>
    <row r="6" spans="1:5">
      <c r="A6" s="3124">
        <v>1</v>
      </c>
      <c r="B6" s="3124">
        <v>105</v>
      </c>
      <c r="C6" s="3124" t="s">
        <v>3229</v>
      </c>
      <c r="E6" s="3125">
        <v>14.5</v>
      </c>
    </row>
    <row r="7" spans="1:5">
      <c r="A7" s="3124">
        <v>1</v>
      </c>
      <c r="B7" s="3124">
        <v>106</v>
      </c>
      <c r="C7" s="3124" t="s">
        <v>3230</v>
      </c>
      <c r="E7" s="3125">
        <v>30</v>
      </c>
    </row>
    <row r="8" spans="1:5">
      <c r="A8" s="3124">
        <v>1</v>
      </c>
      <c r="B8" s="3124">
        <v>107</v>
      </c>
      <c r="C8" s="3124" t="s">
        <v>3231</v>
      </c>
      <c r="E8" s="3125">
        <v>14.5</v>
      </c>
    </row>
    <row r="9" spans="1:5">
      <c r="A9" s="3124">
        <v>1</v>
      </c>
      <c r="B9" s="3124">
        <v>108</v>
      </c>
      <c r="C9" s="3124" t="s">
        <v>3231</v>
      </c>
      <c r="E9" s="3125">
        <v>14.5</v>
      </c>
    </row>
    <row r="10" spans="1:5">
      <c r="A10" s="3124">
        <v>1</v>
      </c>
      <c r="B10" s="3124">
        <v>109</v>
      </c>
      <c r="C10" s="3124" t="s">
        <v>3231</v>
      </c>
      <c r="E10" s="3125">
        <v>13.6</v>
      </c>
    </row>
    <row r="11" spans="1:5">
      <c r="A11" s="3124">
        <v>1</v>
      </c>
      <c r="B11" s="3124">
        <v>110</v>
      </c>
      <c r="C11" s="3124" t="s">
        <v>3232</v>
      </c>
      <c r="E11" s="3125">
        <v>28</v>
      </c>
    </row>
    <row r="12" spans="1:5">
      <c r="A12" s="3124">
        <v>1</v>
      </c>
      <c r="B12" s="3124">
        <v>111</v>
      </c>
      <c r="C12" s="3124" t="s">
        <v>3233</v>
      </c>
      <c r="E12" s="3125">
        <v>13.6</v>
      </c>
    </row>
    <row r="13" spans="1:5">
      <c r="A13" s="3124">
        <v>1</v>
      </c>
      <c r="B13" s="3124">
        <v>112</v>
      </c>
      <c r="C13" s="3124" t="s">
        <v>3234</v>
      </c>
      <c r="E13" s="3125">
        <v>13.6</v>
      </c>
    </row>
    <row r="14" spans="1:5">
      <c r="A14" s="3124">
        <v>1</v>
      </c>
      <c r="C14" s="3124" t="s">
        <v>3235</v>
      </c>
      <c r="E14" s="3125">
        <v>15</v>
      </c>
    </row>
    <row r="15" spans="1:5">
      <c r="A15" s="3124">
        <v>1</v>
      </c>
      <c r="C15" s="3124" t="s">
        <v>3236</v>
      </c>
      <c r="E15" s="3125">
        <v>60</v>
      </c>
    </row>
    <row r="16" spans="1:5">
      <c r="A16" s="3124">
        <v>1</v>
      </c>
      <c r="C16" s="3124" t="s">
        <v>3237</v>
      </c>
      <c r="E16" s="3125">
        <v>13.6</v>
      </c>
    </row>
    <row r="17" spans="1:5">
      <c r="A17" s="3124">
        <v>1</v>
      </c>
      <c r="C17" s="3124" t="s">
        <v>3238</v>
      </c>
      <c r="E17" s="3125">
        <v>8.3000000000000007</v>
      </c>
    </row>
    <row r="18" spans="1:5">
      <c r="A18" s="3124">
        <v>1</v>
      </c>
      <c r="C18" s="3124" t="s">
        <v>3239</v>
      </c>
      <c r="E18" s="3125">
        <v>8.3000000000000007</v>
      </c>
    </row>
    <row r="19" spans="1:5">
      <c r="A19" s="3124">
        <v>2</v>
      </c>
      <c r="B19" s="3124">
        <v>201</v>
      </c>
      <c r="C19" s="3124" t="s">
        <v>3240</v>
      </c>
      <c r="E19" s="3125">
        <v>14.5</v>
      </c>
    </row>
    <row r="20" spans="1:5">
      <c r="A20" s="3124">
        <v>2</v>
      </c>
      <c r="B20" s="3124">
        <v>202</v>
      </c>
      <c r="C20" s="3124" t="s">
        <v>3240</v>
      </c>
      <c r="E20" s="3125">
        <v>14.5</v>
      </c>
    </row>
    <row r="21" spans="1:5">
      <c r="A21" s="3124">
        <v>2</v>
      </c>
      <c r="B21" s="3124">
        <v>203</v>
      </c>
      <c r="C21" s="3124" t="s">
        <v>3241</v>
      </c>
      <c r="E21" s="3125">
        <v>14.5</v>
      </c>
    </row>
    <row r="22" spans="1:5">
      <c r="A22" s="3124">
        <v>2</v>
      </c>
      <c r="B22" s="3124">
        <v>204</v>
      </c>
      <c r="C22" s="3124" t="s">
        <v>3242</v>
      </c>
      <c r="E22" s="3125">
        <v>14.5</v>
      </c>
    </row>
    <row r="23" spans="1:5">
      <c r="A23" s="3124">
        <v>2</v>
      </c>
      <c r="B23" s="3124">
        <v>205</v>
      </c>
      <c r="C23" s="3124" t="s">
        <v>3243</v>
      </c>
      <c r="E23" s="3125">
        <v>30</v>
      </c>
    </row>
    <row r="24" spans="1:5">
      <c r="A24" s="3124">
        <v>2</v>
      </c>
      <c r="B24" s="3124">
        <v>206</v>
      </c>
      <c r="C24" s="3124" t="s">
        <v>3243</v>
      </c>
      <c r="E24" s="3125">
        <v>30</v>
      </c>
    </row>
    <row r="25" spans="1:5">
      <c r="A25" s="3124">
        <v>2</v>
      </c>
      <c r="B25" s="3124">
        <v>207</v>
      </c>
      <c r="C25" s="3124" t="s">
        <v>3244</v>
      </c>
      <c r="E25" s="3125">
        <v>14.5</v>
      </c>
    </row>
    <row r="26" spans="1:5">
      <c r="A26" s="3124">
        <v>2</v>
      </c>
      <c r="B26" s="3124">
        <v>208</v>
      </c>
      <c r="C26" s="3124" t="s">
        <v>3244</v>
      </c>
      <c r="E26" s="3125">
        <v>14.5</v>
      </c>
    </row>
    <row r="27" spans="1:5">
      <c r="A27" s="3124">
        <v>2</v>
      </c>
      <c r="B27" s="3124">
        <v>209</v>
      </c>
      <c r="C27" s="3124" t="s">
        <v>3245</v>
      </c>
      <c r="E27" s="3125">
        <v>14.5</v>
      </c>
    </row>
    <row r="28" spans="1:5">
      <c r="A28" s="3124">
        <v>2</v>
      </c>
      <c r="B28" s="3124">
        <v>210</v>
      </c>
      <c r="C28" s="3124" t="s">
        <v>3245</v>
      </c>
      <c r="E28" s="3125">
        <v>14.5</v>
      </c>
    </row>
    <row r="29" spans="1:5">
      <c r="A29" s="3124">
        <v>2</v>
      </c>
      <c r="B29" s="3124">
        <v>211</v>
      </c>
      <c r="C29" s="3124" t="s">
        <v>3246</v>
      </c>
      <c r="E29" s="3125">
        <v>13.6</v>
      </c>
    </row>
    <row r="30" spans="1:5">
      <c r="A30" s="3124">
        <v>2</v>
      </c>
      <c r="B30" s="3124">
        <v>212</v>
      </c>
      <c r="C30" s="3124" t="s">
        <v>3247</v>
      </c>
      <c r="E30" s="3125">
        <v>28</v>
      </c>
    </row>
    <row r="31" spans="1:5">
      <c r="A31" s="3124">
        <v>2</v>
      </c>
      <c r="B31" s="3124">
        <v>213</v>
      </c>
      <c r="C31" s="3124" t="s">
        <v>3247</v>
      </c>
      <c r="E31" s="3125">
        <v>28</v>
      </c>
    </row>
    <row r="32" spans="1:5">
      <c r="A32" s="3124">
        <v>2</v>
      </c>
      <c r="B32" s="3124">
        <v>214</v>
      </c>
      <c r="C32" s="3124" t="s">
        <v>3246</v>
      </c>
      <c r="E32" s="3125">
        <v>13.6</v>
      </c>
    </row>
    <row r="33" spans="1:5">
      <c r="A33" s="3124">
        <v>2</v>
      </c>
      <c r="B33" s="3124">
        <v>215</v>
      </c>
      <c r="C33" s="3124" t="s">
        <v>3246</v>
      </c>
      <c r="E33" s="3125">
        <v>13.6</v>
      </c>
    </row>
    <row r="34" spans="1:5">
      <c r="A34" s="3124">
        <v>2</v>
      </c>
      <c r="B34" s="3124">
        <v>216</v>
      </c>
      <c r="C34" s="3124" t="s">
        <v>3246</v>
      </c>
      <c r="E34" s="3125">
        <v>13.6</v>
      </c>
    </row>
    <row r="35" spans="1:5">
      <c r="A35" s="3124">
        <v>2</v>
      </c>
      <c r="C35" s="3124" t="s">
        <v>3248</v>
      </c>
      <c r="E35" s="3125">
        <v>15</v>
      </c>
    </row>
    <row r="36" spans="1:5">
      <c r="A36" s="3124">
        <v>2</v>
      </c>
      <c r="C36" s="3124" t="s">
        <v>3249</v>
      </c>
      <c r="E36" s="3125">
        <v>60</v>
      </c>
    </row>
    <row r="37" spans="1:5">
      <c r="A37" s="3124">
        <v>2</v>
      </c>
      <c r="C37" s="3124" t="s">
        <v>3250</v>
      </c>
      <c r="E37" s="3125">
        <v>8.3000000000000007</v>
      </c>
    </row>
    <row r="38" spans="1:5">
      <c r="A38" s="3124">
        <v>2</v>
      </c>
      <c r="C38" s="3124" t="s">
        <v>3251</v>
      </c>
      <c r="E38" s="3125">
        <v>8.3000000000000007</v>
      </c>
    </row>
    <row r="39" spans="1:5">
      <c r="A39" s="3124">
        <v>3</v>
      </c>
      <c r="B39" s="3124">
        <v>301</v>
      </c>
      <c r="C39" s="3124" t="s">
        <v>3252</v>
      </c>
      <c r="E39" s="3125">
        <v>14.5</v>
      </c>
    </row>
    <row r="40" spans="1:5">
      <c r="A40" s="3124">
        <v>3</v>
      </c>
      <c r="B40" s="3124">
        <v>302</v>
      </c>
      <c r="C40" s="3124" t="s">
        <v>3252</v>
      </c>
      <c r="E40" s="3125">
        <v>14.5</v>
      </c>
    </row>
    <row r="41" spans="1:5">
      <c r="A41" s="3124">
        <v>3</v>
      </c>
      <c r="B41" s="3124">
        <v>303</v>
      </c>
      <c r="C41" s="3124" t="s">
        <v>3252</v>
      </c>
      <c r="E41" s="3125">
        <v>14.5</v>
      </c>
    </row>
    <row r="42" spans="1:5">
      <c r="A42" s="3124">
        <v>3</v>
      </c>
      <c r="B42" s="3124">
        <v>304</v>
      </c>
      <c r="C42" s="3124" t="s">
        <v>3252</v>
      </c>
      <c r="E42" s="3125">
        <v>14.5</v>
      </c>
    </row>
    <row r="43" spans="1:5">
      <c r="A43" s="3124">
        <v>3</v>
      </c>
      <c r="B43" s="3124">
        <v>305</v>
      </c>
      <c r="C43" s="3124" t="s">
        <v>3252</v>
      </c>
      <c r="E43" s="3125">
        <v>14.5</v>
      </c>
    </row>
    <row r="44" spans="1:5">
      <c r="A44" s="3124">
        <v>3</v>
      </c>
      <c r="B44" s="3124">
        <v>306</v>
      </c>
      <c r="C44" s="3124" t="s">
        <v>3252</v>
      </c>
      <c r="E44" s="3125">
        <v>14.5</v>
      </c>
    </row>
    <row r="45" spans="1:5">
      <c r="A45" s="3124">
        <v>3</v>
      </c>
      <c r="B45" s="3124">
        <v>307</v>
      </c>
      <c r="C45" s="3124" t="s">
        <v>3252</v>
      </c>
      <c r="E45" s="3125">
        <v>14.5</v>
      </c>
    </row>
    <row r="46" spans="1:5">
      <c r="A46" s="3124">
        <v>3</v>
      </c>
      <c r="B46" s="3124">
        <v>308</v>
      </c>
      <c r="C46" s="3124" t="s">
        <v>3252</v>
      </c>
      <c r="E46" s="3125">
        <v>14.5</v>
      </c>
    </row>
    <row r="47" spans="1:5">
      <c r="A47" s="3124">
        <v>3</v>
      </c>
      <c r="B47" s="3124">
        <v>309</v>
      </c>
      <c r="C47" s="3124" t="s">
        <v>3252</v>
      </c>
      <c r="E47" s="3125">
        <v>14.5</v>
      </c>
    </row>
    <row r="48" spans="1:5">
      <c r="A48" s="3124">
        <v>3</v>
      </c>
      <c r="B48" s="3124">
        <v>310</v>
      </c>
      <c r="C48" s="3124" t="s">
        <v>3252</v>
      </c>
      <c r="E48" s="3125">
        <v>14.5</v>
      </c>
    </row>
    <row r="49" spans="1:5">
      <c r="A49" s="3124">
        <v>3</v>
      </c>
      <c r="B49" s="3124">
        <v>311</v>
      </c>
      <c r="C49" s="3124" t="s">
        <v>3252</v>
      </c>
      <c r="E49" s="3125">
        <v>13.6</v>
      </c>
    </row>
    <row r="50" spans="1:5">
      <c r="A50" s="3124">
        <v>3</v>
      </c>
      <c r="B50" s="3124">
        <v>312</v>
      </c>
      <c r="C50" s="3124" t="s">
        <v>3252</v>
      </c>
      <c r="E50" s="3125">
        <v>13.6</v>
      </c>
    </row>
    <row r="51" spans="1:5">
      <c r="A51" s="3124">
        <v>3</v>
      </c>
      <c r="B51" s="3124">
        <v>313</v>
      </c>
      <c r="C51" s="3124" t="s">
        <v>3253</v>
      </c>
      <c r="E51" s="3125">
        <v>13.6</v>
      </c>
    </row>
    <row r="52" spans="1:5">
      <c r="A52" s="3124">
        <v>3</v>
      </c>
      <c r="B52" s="3124">
        <v>314</v>
      </c>
      <c r="C52" s="3124" t="s">
        <v>3252</v>
      </c>
      <c r="E52" s="3125">
        <v>13.6</v>
      </c>
    </row>
    <row r="53" spans="1:5">
      <c r="A53" s="3124">
        <v>3</v>
      </c>
      <c r="B53" s="3124">
        <v>315</v>
      </c>
      <c r="C53" s="3124" t="s">
        <v>3254</v>
      </c>
      <c r="E53" s="3125">
        <v>13.6</v>
      </c>
    </row>
    <row r="54" spans="1:5">
      <c r="A54" s="3124">
        <v>3</v>
      </c>
      <c r="B54" s="3124">
        <v>316</v>
      </c>
      <c r="C54" s="3124" t="s">
        <v>3246</v>
      </c>
      <c r="E54" s="3125">
        <v>13.6</v>
      </c>
    </row>
    <row r="55" spans="1:5">
      <c r="A55" s="3124">
        <v>3</v>
      </c>
      <c r="C55" s="3124" t="s">
        <v>3248</v>
      </c>
      <c r="E55" s="3125">
        <v>15</v>
      </c>
    </row>
    <row r="56" spans="1:5">
      <c r="A56" s="3124">
        <v>3</v>
      </c>
      <c r="C56" s="3124" t="s">
        <v>3249</v>
      </c>
      <c r="E56" s="3125">
        <v>60</v>
      </c>
    </row>
    <row r="57" spans="1:5">
      <c r="A57" s="3124">
        <v>3</v>
      </c>
      <c r="C57" s="3124" t="s">
        <v>3250</v>
      </c>
      <c r="E57" s="3125">
        <v>8.3000000000000007</v>
      </c>
    </row>
    <row r="58" spans="1:5">
      <c r="A58" s="3124">
        <v>3</v>
      </c>
      <c r="C58" s="3124" t="s">
        <v>3251</v>
      </c>
      <c r="E58" s="3125">
        <v>8.3000000000000007</v>
      </c>
    </row>
    <row r="59" spans="1:5">
      <c r="A59" s="3124">
        <v>4</v>
      </c>
      <c r="B59" s="3126">
        <v>401</v>
      </c>
      <c r="C59" s="3124" t="s">
        <v>3255</v>
      </c>
      <c r="E59" s="3125">
        <v>29</v>
      </c>
    </row>
    <row r="60" spans="1:5">
      <c r="A60" s="3124">
        <v>4</v>
      </c>
      <c r="B60" s="3124">
        <v>402</v>
      </c>
      <c r="C60" s="3124" t="s">
        <v>3256</v>
      </c>
      <c r="E60" s="3125">
        <v>14.5</v>
      </c>
    </row>
    <row r="61" spans="1:5">
      <c r="A61" s="3124">
        <v>4</v>
      </c>
      <c r="B61" s="3124">
        <v>403</v>
      </c>
      <c r="C61" s="3124" t="s">
        <v>3256</v>
      </c>
      <c r="E61" s="3125">
        <v>14.5</v>
      </c>
    </row>
    <row r="62" spans="1:5">
      <c r="A62" s="3124">
        <v>4</v>
      </c>
      <c r="B62" s="3124">
        <v>404</v>
      </c>
      <c r="C62" s="3124" t="s">
        <v>3256</v>
      </c>
      <c r="E62" s="3125">
        <v>14.5</v>
      </c>
    </row>
    <row r="63" spans="1:5">
      <c r="A63" s="3124">
        <v>4</v>
      </c>
      <c r="B63" s="3124">
        <v>405</v>
      </c>
      <c r="C63" s="3124" t="s">
        <v>3256</v>
      </c>
      <c r="E63" s="3125">
        <v>14.5</v>
      </c>
    </row>
    <row r="64" spans="1:5">
      <c r="A64" s="3124">
        <v>4</v>
      </c>
      <c r="B64" s="3124">
        <v>406</v>
      </c>
      <c r="C64" s="3124" t="s">
        <v>3256</v>
      </c>
      <c r="E64" s="3125">
        <v>14.5</v>
      </c>
    </row>
    <row r="65" spans="1:5">
      <c r="A65" s="3124">
        <v>4</v>
      </c>
      <c r="B65" s="3124">
        <v>407</v>
      </c>
      <c r="C65" s="3124" t="s">
        <v>3256</v>
      </c>
      <c r="E65" s="3125">
        <v>14.5</v>
      </c>
    </row>
    <row r="66" spans="1:5">
      <c r="A66" s="3124">
        <v>4</v>
      </c>
      <c r="B66" s="3124">
        <v>408</v>
      </c>
      <c r="C66" s="3124" t="s">
        <v>3256</v>
      </c>
      <c r="E66" s="3125">
        <v>14.5</v>
      </c>
    </row>
    <row r="67" spans="1:5">
      <c r="A67" s="3124">
        <v>4</v>
      </c>
      <c r="B67" s="3124">
        <v>409</v>
      </c>
      <c r="C67" s="3124" t="s">
        <v>3256</v>
      </c>
      <c r="E67" s="3125">
        <v>14.5</v>
      </c>
    </row>
    <row r="68" spans="1:5">
      <c r="A68" s="3124">
        <v>4</v>
      </c>
      <c r="B68" s="3124">
        <v>410</v>
      </c>
      <c r="C68" s="3124" t="s">
        <v>3256</v>
      </c>
      <c r="E68" s="3125">
        <v>13.6</v>
      </c>
    </row>
    <row r="69" spans="1:5">
      <c r="A69" s="3124">
        <v>4</v>
      </c>
      <c r="B69" s="3124">
        <v>411</v>
      </c>
      <c r="C69" s="3124" t="s">
        <v>3256</v>
      </c>
      <c r="E69" s="3125">
        <v>13.6</v>
      </c>
    </row>
    <row r="70" spans="1:5">
      <c r="A70" s="3124">
        <v>4</v>
      </c>
      <c r="B70" s="3124">
        <v>412</v>
      </c>
      <c r="C70" s="3124" t="s">
        <v>3256</v>
      </c>
      <c r="E70" s="3125">
        <v>13.6</v>
      </c>
    </row>
    <row r="71" spans="1:5">
      <c r="A71" s="3124">
        <v>4</v>
      </c>
      <c r="B71" s="3124">
        <v>413</v>
      </c>
      <c r="C71" s="3124" t="s">
        <v>3256</v>
      </c>
      <c r="E71" s="3125">
        <v>13.6</v>
      </c>
    </row>
    <row r="72" spans="1:5">
      <c r="A72" s="3124">
        <v>4</v>
      </c>
      <c r="B72" s="3124">
        <v>414</v>
      </c>
      <c r="C72" s="3124" t="s">
        <v>3256</v>
      </c>
      <c r="E72" s="3125">
        <v>13.6</v>
      </c>
    </row>
    <row r="73" spans="1:5">
      <c r="A73" s="3124">
        <v>4</v>
      </c>
      <c r="B73" s="3124">
        <v>415</v>
      </c>
      <c r="C73" s="3124" t="s">
        <v>3256</v>
      </c>
      <c r="E73" s="3125">
        <v>13.6</v>
      </c>
    </row>
    <row r="74" spans="1:5">
      <c r="A74" s="3124">
        <v>4</v>
      </c>
      <c r="C74" s="3124" t="s">
        <v>3248</v>
      </c>
      <c r="E74" s="3125">
        <v>15</v>
      </c>
    </row>
    <row r="75" spans="1:5">
      <c r="A75" s="3124">
        <v>4</v>
      </c>
      <c r="C75" s="3124" t="s">
        <v>3249</v>
      </c>
      <c r="E75" s="3125">
        <v>60</v>
      </c>
    </row>
    <row r="76" spans="1:5">
      <c r="A76" s="3124">
        <v>4</v>
      </c>
      <c r="C76" s="3124" t="s">
        <v>3250</v>
      </c>
      <c r="E76" s="3125">
        <v>8.3000000000000007</v>
      </c>
    </row>
    <row r="77" spans="1:5">
      <c r="A77" s="3124">
        <v>4</v>
      </c>
      <c r="C77" s="3124" t="s">
        <v>3251</v>
      </c>
      <c r="E77" s="3125">
        <v>8.3000000000000007</v>
      </c>
    </row>
    <row r="78" spans="1:5">
      <c r="A78" s="3124">
        <v>5</v>
      </c>
      <c r="B78" s="3124">
        <v>501</v>
      </c>
      <c r="C78" s="3124" t="s">
        <v>3257</v>
      </c>
      <c r="E78" s="3125">
        <v>58</v>
      </c>
    </row>
    <row r="79" spans="1:5">
      <c r="A79" s="3124">
        <v>5</v>
      </c>
      <c r="B79" s="3124">
        <v>502</v>
      </c>
      <c r="C79" s="3124" t="s">
        <v>3256</v>
      </c>
      <c r="E79" s="3125">
        <v>14.5</v>
      </c>
    </row>
    <row r="80" spans="1:5">
      <c r="A80" s="3124">
        <v>5</v>
      </c>
      <c r="B80" s="3124">
        <v>503</v>
      </c>
      <c r="C80" s="3124" t="s">
        <v>3256</v>
      </c>
      <c r="E80" s="3125">
        <v>14.5</v>
      </c>
    </row>
    <row r="81" spans="1:5">
      <c r="A81" s="3124">
        <v>5</v>
      </c>
      <c r="B81" s="3126">
        <v>504</v>
      </c>
      <c r="C81" s="3524" t="s">
        <v>3258</v>
      </c>
      <c r="D81" s="3524"/>
      <c r="E81" s="3125">
        <v>29.8</v>
      </c>
    </row>
    <row r="82" spans="1:5">
      <c r="A82" s="3124">
        <v>5</v>
      </c>
      <c r="B82" s="3126">
        <v>505</v>
      </c>
      <c r="C82" s="3524" t="s">
        <v>3258</v>
      </c>
      <c r="D82" s="3524"/>
      <c r="E82" s="3125">
        <v>29.8</v>
      </c>
    </row>
    <row r="83" spans="1:5">
      <c r="A83" s="3124">
        <v>5</v>
      </c>
      <c r="B83" s="3124">
        <v>506</v>
      </c>
      <c r="C83" s="3124" t="s">
        <v>3256</v>
      </c>
      <c r="E83" s="3125">
        <v>14.5</v>
      </c>
    </row>
    <row r="84" spans="1:5">
      <c r="A84" s="3124">
        <v>5</v>
      </c>
      <c r="B84" s="3124">
        <v>507</v>
      </c>
      <c r="C84" s="3124" t="s">
        <v>3256</v>
      </c>
      <c r="E84" s="3125">
        <v>14.5</v>
      </c>
    </row>
    <row r="85" spans="1:5">
      <c r="A85" s="3124">
        <v>5</v>
      </c>
      <c r="B85" s="3124">
        <v>508</v>
      </c>
      <c r="C85" s="3124" t="s">
        <v>3256</v>
      </c>
      <c r="E85" s="3125">
        <v>13.6</v>
      </c>
    </row>
    <row r="86" spans="1:5">
      <c r="A86" s="3124">
        <v>5</v>
      </c>
      <c r="B86" s="3126">
        <v>509</v>
      </c>
      <c r="C86" s="3524" t="s">
        <v>3258</v>
      </c>
      <c r="D86" s="3524"/>
      <c r="E86" s="3125">
        <v>28</v>
      </c>
    </row>
    <row r="87" spans="1:5">
      <c r="A87" s="3124">
        <v>5</v>
      </c>
      <c r="B87" s="3124">
        <v>510</v>
      </c>
      <c r="C87" s="3124" t="s">
        <v>3256</v>
      </c>
      <c r="E87" s="3125">
        <v>13.6</v>
      </c>
    </row>
    <row r="88" spans="1:5">
      <c r="A88" s="3124">
        <v>5</v>
      </c>
      <c r="C88" s="3124" t="s">
        <v>3248</v>
      </c>
      <c r="E88" s="3125">
        <v>15</v>
      </c>
    </row>
    <row r="89" spans="1:5">
      <c r="A89" s="3124">
        <v>5</v>
      </c>
      <c r="C89" s="3124" t="s">
        <v>3249</v>
      </c>
      <c r="E89" s="3125">
        <v>48</v>
      </c>
    </row>
    <row r="90" spans="1:5">
      <c r="A90" s="3124">
        <v>5</v>
      </c>
      <c r="C90" s="3124" t="s">
        <v>3259</v>
      </c>
      <c r="E90" s="3125">
        <v>10</v>
      </c>
    </row>
    <row r="91" spans="1:5">
      <c r="A91" s="3124">
        <v>5</v>
      </c>
      <c r="C91" s="3124" t="s">
        <v>3250</v>
      </c>
      <c r="E91" s="3125">
        <v>8.5</v>
      </c>
    </row>
    <row r="92" spans="1:5">
      <c r="A92" s="3124">
        <v>5</v>
      </c>
      <c r="C92" s="3124" t="s">
        <v>3251</v>
      </c>
      <c r="E92" s="3125">
        <v>8.5</v>
      </c>
    </row>
    <row r="93" spans="1:5">
      <c r="E93" s="3125">
        <f>SUM(E2:E92)</f>
        <v>1655.1999999999991</v>
      </c>
    </row>
  </sheetData>
  <mergeCells count="4">
    <mergeCell ref="C1:D1"/>
    <mergeCell ref="C81:D81"/>
    <mergeCell ref="C82:D82"/>
    <mergeCell ref="C86:D86"/>
  </mergeCells>
  <phoneticPr fontId="141"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估价结果一览表（市场价值不需“结果表-1”）</v>
      </c>
      <c r="B3" s="3149"/>
      <c r="C3" s="3149"/>
      <c r="D3" s="3149"/>
      <c r="E3" s="3149"/>
    </row>
    <row r="4" spans="1:5" ht="19.5" thickBot="1">
      <c r="A4" s="1680"/>
      <c r="B4" s="3147" t="s">
        <v>1595</v>
      </c>
      <c r="C4" s="3147"/>
      <c r="D4" s="3147"/>
      <c r="E4" s="1680"/>
    </row>
    <row r="5" spans="1:5" ht="16.5" thickTop="1">
      <c r="A5" s="1678"/>
      <c r="B5" s="3145" t="s">
        <v>1587</v>
      </c>
      <c r="C5" s="1681" t="s">
        <v>1588</v>
      </c>
      <c r="D5" s="959" t="e">
        <f ca="1">结果表!H101</f>
        <v>#REF!</v>
      </c>
      <c r="E5" s="1678"/>
    </row>
    <row r="6" spans="1:5" ht="15.75">
      <c r="A6" s="1678"/>
      <c r="B6" s="3145"/>
      <c r="C6" s="1681" t="s">
        <v>1589</v>
      </c>
      <c r="D6" s="959" t="e">
        <f ca="1">NUMBERSTRING(INT(D5*10000),2)&amp;"元整"</f>
        <v>#REF!</v>
      </c>
      <c r="E6" s="1678"/>
    </row>
    <row r="7" spans="1:5" ht="15.75">
      <c r="A7" s="1678"/>
      <c r="B7" s="3150"/>
      <c r="C7" s="1682" t="s">
        <v>1590</v>
      </c>
      <c r="D7" s="960" t="e">
        <f ca="1">结果表!H102</f>
        <v>#REF!</v>
      </c>
      <c r="E7" s="1678"/>
    </row>
    <row r="8" spans="1:5" ht="15.75">
      <c r="A8" s="1678"/>
      <c r="B8" s="3151" t="str">
        <f>结果表!E103</f>
        <v>2.估价师知悉的法定优先受偿款</v>
      </c>
      <c r="C8" s="1683" t="s">
        <v>1591</v>
      </c>
      <c r="D8" s="960">
        <f>结果表!H103</f>
        <v>0</v>
      </c>
      <c r="E8" s="1678"/>
    </row>
    <row r="9" spans="1:5" ht="15.75">
      <c r="A9" s="1678"/>
      <c r="B9" s="3153"/>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44" t="str">
        <f>结果表!E107</f>
        <v>3.房地产抵押价值</v>
      </c>
      <c r="C13" s="1686" t="s">
        <v>1588</v>
      </c>
      <c r="D13" s="962" t="e">
        <f ca="1">结果表!H107</f>
        <v>#REF!</v>
      </c>
      <c r="E13" s="1678"/>
    </row>
    <row r="14" spans="1:5" ht="15.75">
      <c r="A14" s="1678"/>
      <c r="B14" s="3145"/>
      <c r="C14" s="1681" t="s">
        <v>1589</v>
      </c>
      <c r="D14" s="959" t="e">
        <f ca="1">NUMBERSTRING(INT(D13*10000),2)&amp;"元整"</f>
        <v>#REF!</v>
      </c>
      <c r="E14" s="1678"/>
    </row>
    <row r="15" spans="1:5" ht="15">
      <c r="A15" s="1678"/>
      <c r="B15" s="3150"/>
      <c r="C15" s="1682" t="s">
        <v>1599</v>
      </c>
      <c r="D15" s="968" t="e">
        <f ca="1">结果表!H108</f>
        <v>#REF!</v>
      </c>
      <c r="E15" s="1678"/>
    </row>
    <row r="16" spans="1:5" ht="15">
      <c r="A16" s="1678"/>
      <c r="B16" s="3151" t="str">
        <f>结果表!E109</f>
        <v>——</v>
      </c>
      <c r="C16" s="1686" t="s">
        <v>1600</v>
      </c>
      <c r="D16" s="1687" t="str">
        <f>结果表!H109</f>
        <v>——</v>
      </c>
      <c r="E16" s="1678"/>
    </row>
    <row r="17" spans="1:5" ht="15.75">
      <c r="A17" s="1678"/>
      <c r="B17" s="3152"/>
      <c r="C17" s="1681" t="s">
        <v>1601</v>
      </c>
      <c r="D17" s="959" t="e">
        <f>NUMBERSTRING(INT(D16*10000),2)&amp;"元整"</f>
        <v>#VALUE!</v>
      </c>
      <c r="E17" s="1678"/>
    </row>
    <row r="18" spans="1:5" ht="15">
      <c r="A18" s="1678"/>
      <c r="B18" s="3153"/>
      <c r="C18" s="1682" t="s">
        <v>1590</v>
      </c>
      <c r="D18" s="968" t="str">
        <f>结果表!H110</f>
        <v>——</v>
      </c>
      <c r="E18" s="1678"/>
    </row>
    <row r="19" spans="1:5" ht="15.75">
      <c r="A19" s="1678"/>
      <c r="B19" s="3144" t="str">
        <f>结果表!E111</f>
        <v>——</v>
      </c>
      <c r="C19" s="1686" t="s">
        <v>1588</v>
      </c>
      <c r="D19" s="960" t="str">
        <f>结果表!H111</f>
        <v>——</v>
      </c>
      <c r="E19" s="1678"/>
    </row>
    <row r="20" spans="1:5" ht="15.75">
      <c r="A20" s="1678"/>
      <c r="B20" s="3145"/>
      <c r="C20" s="1681" t="s">
        <v>1601</v>
      </c>
      <c r="D20" s="959" t="e">
        <f>NUMBERSTRING(INT(D19*10000),2)&amp;"元整"</f>
        <v>#VALUE!</v>
      </c>
      <c r="E20" s="1678"/>
    </row>
    <row r="21" spans="1:5" ht="15.75" thickBot="1">
      <c r="A21" s="1678"/>
      <c r="B21" s="3146"/>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5"/>
      <c r="G1" s="3025"/>
      <c r="H1" s="3025"/>
      <c r="I1" s="3025"/>
      <c r="J1" s="3025"/>
      <c r="K1" s="3025"/>
      <c r="L1" s="3025"/>
      <c r="M1" s="3025"/>
      <c r="N1" s="3025"/>
      <c r="O1" s="3025"/>
      <c r="P1" s="3025"/>
    </row>
    <row r="2" spans="1:16" ht="15.75">
      <c r="A2" s="2363" t="s">
        <v>2813</v>
      </c>
      <c r="B2" s="2829">
        <f ca="1">SUMIF(B6:B13,"&lt;&gt;#ref!",B6:B13)</f>
        <v>6106</v>
      </c>
      <c r="C2" s="2363" t="s">
        <v>2814</v>
      </c>
      <c r="D2" s="2363" t="s">
        <v>2815</v>
      </c>
      <c r="E2" s="2839">
        <f ca="1">SUMIF(E6:E13,"&lt;&gt;#ref!",E6:E13)</f>
        <v>2476.1999999999998</v>
      </c>
      <c r="F2" s="3025"/>
      <c r="G2" s="3025"/>
      <c r="H2" s="3025"/>
      <c r="I2" s="3025"/>
      <c r="J2" s="3025"/>
      <c r="K2" s="3025"/>
      <c r="L2" s="3025"/>
      <c r="M2" s="3025"/>
      <c r="N2" s="3025"/>
      <c r="O2" s="3025"/>
      <c r="P2" s="3025"/>
    </row>
    <row r="3" spans="1:16" ht="15.75">
      <c r="A3" s="2363" t="s">
        <v>2816</v>
      </c>
      <c r="B3" s="2829">
        <f ca="1">ROUND(B2*10000/E2,0)</f>
        <v>24659</v>
      </c>
      <c r="C3" s="2363"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4"/>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6106</v>
      </c>
      <c r="C6" s="2363" t="s">
        <v>2814</v>
      </c>
      <c r="D6" s="3025"/>
      <c r="E6" s="2839">
        <f ca="1">SUMIF(INDIRECT("'"&amp;A6&amp;"'"&amp;"!C:C"),"建筑面积",INDIRECT("'"&amp;A6&amp;"'"&amp;"!D:D"))</f>
        <v>2476.1999999999998</v>
      </c>
      <c r="F6" s="3025"/>
      <c r="G6" s="3025"/>
      <c r="H6" s="3025"/>
      <c r="I6" s="3025"/>
      <c r="J6" s="3025"/>
      <c r="K6" s="3025"/>
      <c r="L6" s="3025"/>
      <c r="M6" s="3025"/>
      <c r="N6" s="3025"/>
      <c r="O6" s="3025"/>
      <c r="P6" s="3025"/>
    </row>
    <row r="7" spans="1:16" ht="15.75">
      <c r="A7" s="2836"/>
      <c r="B7" s="2829" t="e">
        <f ca="1">SUMIF(INDIRECT("'"&amp;A7&amp;"'"&amp;"!A:A"),"总价",INDIRECT("'"&amp;A7&amp;"'"&amp;"!B:B"))</f>
        <v>#REF!</v>
      </c>
      <c r="C7" s="2363"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3"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3"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3"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3"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3"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3"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531" t="s">
        <v>1117</v>
      </c>
      <c r="C1" s="3531"/>
      <c r="D1" s="3531"/>
      <c r="E1" s="3531"/>
      <c r="F1" s="3531"/>
      <c r="G1" s="3527" t="s">
        <v>1118</v>
      </c>
      <c r="H1" s="3527"/>
      <c r="I1" s="3527"/>
      <c r="J1" s="3527"/>
      <c r="K1" s="3527"/>
      <c r="L1" s="3527"/>
      <c r="N1" s="3527" t="s">
        <v>1119</v>
      </c>
      <c r="O1" s="3527"/>
      <c r="P1" s="3527"/>
      <c r="Q1" s="3527"/>
      <c r="S1" s="3527" t="s">
        <v>1120</v>
      </c>
      <c r="T1" s="3527"/>
      <c r="U1" s="3527"/>
      <c r="V1" s="3527"/>
      <c r="X1" s="3526" t="s">
        <v>1121</v>
      </c>
      <c r="Y1" s="3527"/>
      <c r="Z1" s="3527"/>
      <c r="AA1" s="3527"/>
      <c r="AB1" s="3527"/>
      <c r="AD1" s="3526" t="s">
        <v>1122</v>
      </c>
      <c r="AE1" s="3527"/>
      <c r="AF1" s="3527"/>
      <c r="AG1" s="3527"/>
      <c r="AH1" s="352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3058</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4">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3059</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4">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3057</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1">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2871</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2869</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2868</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2867</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2865</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2863</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2866</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529">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2861</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529"/>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2860</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529"/>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2853</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536"/>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2851</v>
      </c>
      <c r="B18" s="2440">
        <v>439</v>
      </c>
      <c r="C18" s="2440">
        <v>327</v>
      </c>
      <c r="D18" s="2440">
        <f>C18</f>
        <v>327</v>
      </c>
      <c r="E18" s="2440">
        <v>627</v>
      </c>
      <c r="F18" s="2441">
        <v>283</v>
      </c>
      <c r="G18" s="3532">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2852</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529"/>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529"/>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536"/>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532">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529"/>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529"/>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530"/>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528">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529"/>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529"/>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530"/>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528">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529"/>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529"/>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530"/>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533">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534"/>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534"/>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535"/>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528">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529"/>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529"/>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530"/>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528">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529">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529">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530">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528">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529">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529">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530">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528">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529">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529">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530">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528">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529">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529">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530">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528">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529">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529">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530">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528">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529">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529">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530">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528">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529">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529">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530">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528">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529">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529">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530">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528">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529">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529">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530">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528">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529">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529">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530">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540" t="s">
        <v>2824</v>
      </c>
      <c r="D1" s="3541"/>
      <c r="E1" s="3541"/>
      <c r="F1" s="3541"/>
      <c r="G1" s="3541"/>
      <c r="H1" s="3541"/>
      <c r="I1" s="3541"/>
      <c r="J1" s="3541"/>
      <c r="K1" s="3541"/>
      <c r="L1" s="3541"/>
      <c r="M1" s="3541"/>
      <c r="N1" s="3541"/>
      <c r="O1" s="3541"/>
      <c r="P1" s="3541"/>
      <c r="Q1" s="3541"/>
      <c r="R1" s="3541"/>
      <c r="S1" s="3542"/>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29799</v>
      </c>
      <c r="C2" s="2" t="s">
        <v>133</v>
      </c>
      <c r="D2" s="205"/>
      <c r="E2" s="205"/>
      <c r="F2" s="205"/>
      <c r="G2" s="205"/>
    </row>
    <row r="3" spans="1:7" s="206" customFormat="1" ht="18" customHeight="1" thickBot="1">
      <c r="A3" s="209" t="s">
        <v>85</v>
      </c>
      <c r="B3" s="210">
        <f ca="1">ROUND(B2*10000/'数据-汇总表'!E3,0)</f>
        <v>105412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57</v>
      </c>
      <c r="D10" s="954">
        <f>'数据-汇总表'!E6</f>
        <v>2826.8999999999996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85</v>
      </c>
      <c r="D19" s="958">
        <f>'数据-汇总表'!E3</f>
        <v>2826.8999999999996</v>
      </c>
      <c r="E19" s="217">
        <f>'数据-取费表'!B31</f>
        <v>300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1507</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4222</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4222</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29110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687</v>
      </c>
      <c r="D34" s="223"/>
      <c r="E34" s="226"/>
      <c r="F34" s="263">
        <f>IF('数据-取费表'!B24=0,1,'数据-取费表'!N16)</f>
        <v>1</v>
      </c>
      <c r="G34" s="225" t="s">
        <v>116</v>
      </c>
    </row>
    <row r="35" spans="1:7" ht="13.5" customHeight="1">
      <c r="A35" s="888" t="s">
        <v>796</v>
      </c>
      <c r="B35" s="221" t="s">
        <v>60</v>
      </c>
      <c r="C35" s="226">
        <f>ROUND(C34*F35,0)</f>
        <v>21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57</v>
      </c>
      <c r="D37" s="223">
        <f>'数据-汇总表'!E3</f>
        <v>2826.8999999999996</v>
      </c>
      <c r="E37" s="255">
        <f>'数据-取费表'!B35</f>
        <v>200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28</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27</v>
      </c>
      <c r="D42" s="244"/>
      <c r="E42" s="244"/>
      <c r="F42" s="245"/>
      <c r="G42" s="3332" t="s">
        <v>121</v>
      </c>
    </row>
    <row r="43" spans="1:7" ht="13.5" customHeight="1">
      <c r="A43" s="888" t="s">
        <v>792</v>
      </c>
      <c r="B43" s="221" t="s">
        <v>1032</v>
      </c>
      <c r="C43" s="244">
        <f ca="1">ROUND(IF('数据-取费表'!B22&lt;=1,C39*F22*'数据-取费表'!B21/2,C39*(POWER((1+F22),'数据-取费表'!B21/2)-1)),0)</f>
        <v>1</v>
      </c>
      <c r="D43" s="244"/>
      <c r="E43" s="244"/>
      <c r="F43" s="245"/>
      <c r="G43" s="3333"/>
    </row>
    <row r="44" spans="1:7" ht="13.5" customHeight="1">
      <c r="A44" s="888" t="s">
        <v>793</v>
      </c>
      <c r="B44" s="221" t="s">
        <v>1034</v>
      </c>
      <c r="C44" s="244">
        <f ca="1">ROUND(IF('数据-取费表'!B22&lt;=1,C40*F22*'数据-取费表'!B21/2,C40*(POWER((1+F22),'数据-取费表'!B21/2)-1)),4)</f>
        <v>6.9999999999999999E-4</v>
      </c>
      <c r="D44" s="244"/>
      <c r="E44" s="244"/>
      <c r="F44" s="245"/>
      <c r="G44" s="3334"/>
    </row>
    <row r="45" spans="1:7" s="220" customFormat="1" ht="13.5" customHeight="1">
      <c r="A45" s="885" t="s">
        <v>786</v>
      </c>
      <c r="B45" s="250" t="s">
        <v>112</v>
      </c>
      <c r="C45" s="251">
        <f>C46</f>
        <v>158</v>
      </c>
      <c r="D45" s="241">
        <f>C47</f>
        <v>4.0000000000000001E-3</v>
      </c>
      <c r="E45" s="242" t="s">
        <v>129</v>
      </c>
      <c r="F45" s="252"/>
      <c r="G45" s="253" t="s">
        <v>1040</v>
      </c>
    </row>
    <row r="46" spans="1:7" s="220" customFormat="1" ht="13.5" customHeight="1">
      <c r="A46" s="888" t="s">
        <v>794</v>
      </c>
      <c r="B46" s="254" t="s">
        <v>1033</v>
      </c>
      <c r="C46" s="255">
        <f>ROUND((C33+C39)*F27,0)</f>
        <v>158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1060</v>
      </c>
      <c r="D49" s="238"/>
      <c r="E49" s="238"/>
      <c r="F49" s="270"/>
      <c r="G49" s="240" t="s">
        <v>1041</v>
      </c>
    </row>
    <row r="50" spans="1:7" s="264" customFormat="1" ht="24">
      <c r="A50" s="885" t="s">
        <v>789</v>
      </c>
      <c r="B50" s="216" t="s">
        <v>124</v>
      </c>
      <c r="C50" s="238"/>
      <c r="D50" s="238"/>
      <c r="E50" s="238"/>
      <c r="F50" s="270">
        <f>IF('数据-取费表'!B24=0,'数据-取费表'!N16,1)</f>
        <v>0.65</v>
      </c>
      <c r="G50" s="253" t="s">
        <v>125</v>
      </c>
    </row>
    <row r="51" spans="1:7" ht="16.5" customHeight="1">
      <c r="A51" s="885" t="s">
        <v>790</v>
      </c>
      <c r="B51" s="216" t="s">
        <v>132</v>
      </c>
      <c r="C51" s="238">
        <f ca="1">ROUND(C49*F50,0)</f>
        <v>689</v>
      </c>
      <c r="D51" s="238"/>
      <c r="E51" s="238"/>
      <c r="F51" s="270"/>
      <c r="G51" s="240" t="s">
        <v>64</v>
      </c>
    </row>
    <row r="52" spans="1:7" s="214" customFormat="1" ht="16.5" thickBot="1">
      <c r="A52" s="271" t="s">
        <v>65</v>
      </c>
      <c r="B52" s="272"/>
      <c r="C52" s="273">
        <f ca="1">C31+C51</f>
        <v>29799</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44201</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54" t="str">
        <f>IF(项目基本情况!B9="房地产市场价值","估价结果一览表","结果表-2")</f>
        <v>估价结果一览表</v>
      </c>
      <c r="B1" s="3154"/>
      <c r="C1" s="3154"/>
      <c r="D1" s="3154"/>
      <c r="E1" s="3154"/>
      <c r="F1" s="3154"/>
      <c r="G1" s="3154"/>
      <c r="H1" s="3154"/>
      <c r="I1" s="3154"/>
    </row>
    <row r="2" spans="1:9" ht="30" customHeight="1" thickTop="1">
      <c r="A2" s="3155" t="s">
        <v>1606</v>
      </c>
      <c r="B2" s="3155" t="s">
        <v>1607</v>
      </c>
      <c r="C2" s="3155" t="s">
        <v>1608</v>
      </c>
      <c r="D2" s="3155" t="str">
        <f>结果表!D116</f>
        <v>出让国有建设用地使用权价值</v>
      </c>
      <c r="E2" s="3155"/>
      <c r="F2" s="3155" t="str">
        <f>结果表!F116</f>
        <v>在建建筑物价值</v>
      </c>
      <c r="G2" s="3155"/>
      <c r="H2" s="3155" t="str">
        <f>IF(项目基本情况!B9="房地产市场价值","房地产市场价值","房地产价值")</f>
        <v>房地产市场价值</v>
      </c>
      <c r="I2" s="3155"/>
    </row>
    <row r="3" spans="1:9" ht="15">
      <c r="A3" s="3156"/>
      <c r="B3" s="3156"/>
      <c r="C3" s="3156"/>
      <c r="D3" s="963" t="s">
        <v>1603</v>
      </c>
      <c r="E3" s="963" t="s">
        <v>1609</v>
      </c>
      <c r="F3" s="963" t="s">
        <v>1603</v>
      </c>
      <c r="G3" s="963" t="s">
        <v>1604</v>
      </c>
      <c r="H3" s="963" t="s">
        <v>1603</v>
      </c>
      <c r="I3" s="963" t="s">
        <v>1604</v>
      </c>
    </row>
    <row r="4" spans="1:9" ht="15">
      <c r="A4" s="1692" t="str">
        <f>项目基本情况!S2</f>
        <v>北京市房地产</v>
      </c>
      <c r="B4" s="963">
        <f>项目基本情况!C17</f>
        <v>2826.8999999999996</v>
      </c>
      <c r="C4" s="963">
        <f>项目基本情况!C18</f>
        <v>4742.46</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56" t="s">
        <v>1605</v>
      </c>
      <c r="B5" s="3156"/>
      <c r="C5" s="3156"/>
      <c r="D5" s="3157" t="e">
        <f ca="1">结果表!D119</f>
        <v>#REF!</v>
      </c>
      <c r="E5" s="3157"/>
      <c r="F5" s="3157" t="e">
        <f ca="1">结果表!F119</f>
        <v>#REF!</v>
      </c>
      <c r="G5" s="3157"/>
      <c r="H5" s="3157" t="e">
        <f ca="1">结果表!H119</f>
        <v>#REF!</v>
      </c>
      <c r="I5" s="3157"/>
    </row>
    <row r="6" spans="1:9" ht="15.75">
      <c r="A6" s="3158" t="str">
        <f>结果表!A120</f>
        <v/>
      </c>
      <c r="B6" s="3158"/>
      <c r="C6" s="3158"/>
      <c r="D6" s="3158">
        <f>结果表!D120</f>
        <v>0</v>
      </c>
      <c r="E6" s="3158"/>
      <c r="F6" s="3158"/>
      <c r="G6" s="3158"/>
      <c r="H6" s="3158"/>
      <c r="I6" s="3158"/>
    </row>
    <row r="7" spans="1:9" ht="15">
      <c r="A7" s="3156" t="s">
        <v>1605</v>
      </c>
      <c r="B7" s="3156"/>
      <c r="C7" s="3156"/>
      <c r="D7" s="3159" t="str">
        <f>结果表!D121</f>
        <v>零元整</v>
      </c>
      <c r="E7" s="3160"/>
      <c r="F7" s="3160"/>
      <c r="G7" s="3160"/>
      <c r="H7" s="3160"/>
      <c r="I7" s="3161"/>
    </row>
    <row r="8" spans="1:9" ht="15.75">
      <c r="A8" s="3158" t="str">
        <f>结果表!A122</f>
        <v/>
      </c>
      <c r="B8" s="3158"/>
      <c r="C8" s="3158"/>
      <c r="D8" s="3158" t="e">
        <f ca="1">结果表!D122</f>
        <v>#REF!</v>
      </c>
      <c r="E8" s="3158"/>
      <c r="F8" s="3158"/>
      <c r="G8" s="3158"/>
      <c r="H8" s="3158"/>
      <c r="I8" s="3158"/>
    </row>
    <row r="9" spans="1:9" ht="15">
      <c r="A9" s="3156" t="s">
        <v>1605</v>
      </c>
      <c r="B9" s="3156"/>
      <c r="C9" s="3156"/>
      <c r="D9" s="3157" t="e">
        <f ca="1">结果表!D123</f>
        <v>#REF!</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6" t="s">
        <v>1605</v>
      </c>
      <c r="B11" s="3156"/>
      <c r="C11" s="3156"/>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1605</v>
      </c>
      <c r="B13" s="3162"/>
      <c r="C13" s="3162"/>
      <c r="D13" s="3163" t="e">
        <f>结果表!D127</f>
        <v>#VALUE!</v>
      </c>
      <c r="E13" s="3163"/>
      <c r="F13" s="3163"/>
      <c r="G13" s="3163"/>
      <c r="H13" s="3163"/>
      <c r="I13" s="3163"/>
    </row>
    <row r="14" spans="1:9" ht="15" thickTop="1">
      <c r="A14" s="3164" t="s">
        <v>1610</v>
      </c>
      <c r="B14" s="3164"/>
      <c r="C14" s="3164"/>
      <c r="D14" s="3164"/>
      <c r="E14" s="3164"/>
      <c r="F14" s="3164"/>
      <c r="G14" s="3164"/>
      <c r="H14" s="3164"/>
      <c r="I14" s="316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65" t="s">
        <v>1627</v>
      </c>
      <c r="B1" s="3165"/>
      <c r="C1" s="3165"/>
      <c r="D1" s="3165"/>
    </row>
    <row r="2" spans="1:4" ht="18">
      <c r="A2" s="3166" t="s">
        <v>1611</v>
      </c>
      <c r="B2" s="3166"/>
      <c r="C2" s="3166"/>
      <c r="D2" s="3166"/>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66" t="s">
        <v>1617</v>
      </c>
      <c r="B6" s="3166"/>
      <c r="C6" s="3166"/>
      <c r="D6" s="316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67" t="s">
        <v>1620</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9"/>
      <c r="C12" s="3169"/>
      <c r="D12" s="3169"/>
    </row>
    <row r="13" spans="1:4" ht="30" customHeight="1">
      <c r="A13" s="3168" t="str">
        <f>IF(项目基本情况!B8="抵押","3.抵押双方在办理抵押登记手续时，应使用本公司出具的正式《房地产评估报告》，特提醒报告使用者注意。","——")</f>
        <v>——</v>
      </c>
      <c r="B13" s="3169"/>
      <c r="C13" s="3169"/>
      <c r="D13" s="3169"/>
    </row>
    <row r="14" spans="1:4" ht="15.75" customHeight="1">
      <c r="A14" s="3168" t="str">
        <f>IF(项目基本情况!B8="抵押","4.本次评估估价师所知悉的法定优先受偿款情况说明如下：","——")</f>
        <v>——</v>
      </c>
      <c r="B14" s="3169"/>
      <c r="C14" s="3169"/>
      <c r="D14" s="3169"/>
    </row>
    <row r="15" spans="1:4" ht="42" customHeight="1">
      <c r="A15" s="3168" t="str">
        <f>IF(项目基本情况!B8="抵押","（1）"&amp;CONCATENATE(项目基本情况!L20,项目基本情况!L21,项目基本情况!L22),"——")</f>
        <v>——</v>
      </c>
      <c r="B15" s="3168"/>
      <c r="C15" s="3168"/>
      <c r="D15" s="3168"/>
    </row>
    <row r="16" spans="1:4" ht="30" customHeight="1">
      <c r="A16" s="3171" t="s">
        <v>1621</v>
      </c>
      <c r="B16" s="3171"/>
      <c r="C16" s="3171"/>
      <c r="D16" s="3171"/>
    </row>
    <row r="17" spans="1:4" ht="144" customHeight="1">
      <c r="A17" s="3171" t="s">
        <v>1622</v>
      </c>
      <c r="B17" s="3171"/>
      <c r="C17" s="3171"/>
      <c r="D17" s="3171"/>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1623</v>
      </c>
      <c r="B22" s="3173"/>
      <c r="C22" s="3173"/>
      <c r="D22" s="317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79" t="s">
        <v>1634</v>
      </c>
      <c r="B15" s="3174" t="s">
        <v>136</v>
      </c>
      <c r="C15" s="3175"/>
    </row>
    <row r="16" spans="1:7" ht="13.5">
      <c r="A16" s="3180"/>
      <c r="B16" s="3174" t="s">
        <v>69</v>
      </c>
      <c r="C16" s="3175"/>
    </row>
    <row r="17" spans="1:3" ht="13.5">
      <c r="A17" s="3180"/>
      <c r="B17" s="3177" t="s">
        <v>1635</v>
      </c>
      <c r="C17" s="1719" t="s">
        <v>1634</v>
      </c>
    </row>
    <row r="18" spans="1:3" ht="13.5">
      <c r="A18" s="3180"/>
      <c r="B18" s="3177"/>
      <c r="C18" s="1719" t="s">
        <v>1636</v>
      </c>
    </row>
    <row r="19" spans="1:3" ht="13.5">
      <c r="A19" s="3180"/>
      <c r="B19" s="3177"/>
      <c r="C19" s="1719" t="s">
        <v>1637</v>
      </c>
    </row>
    <row r="20" spans="1:3" ht="13.5">
      <c r="A20" s="3181"/>
      <c r="B20" s="3176" t="s">
        <v>1638</v>
      </c>
      <c r="C20" s="3175"/>
    </row>
    <row r="21" spans="1:3" ht="13.5">
      <c r="A21" s="1720" t="s">
        <v>1639</v>
      </c>
      <c r="B21" s="1721"/>
      <c r="C21" s="1722"/>
    </row>
    <row r="22" spans="1:3" ht="13.5">
      <c r="A22" s="3178" t="s">
        <v>1640</v>
      </c>
      <c r="B22" s="3176" t="s">
        <v>1641</v>
      </c>
      <c r="C22" s="3175"/>
    </row>
    <row r="23" spans="1:3" ht="13.5">
      <c r="A23" s="3178"/>
      <c r="B23" s="3176" t="s">
        <v>1642</v>
      </c>
      <c r="C23" s="3175"/>
    </row>
    <row r="24" spans="1:3" ht="13.5">
      <c r="A24" s="3178"/>
      <c r="B24" s="3176" t="s">
        <v>1643</v>
      </c>
      <c r="C24" s="3175"/>
    </row>
    <row r="25" spans="1:3" ht="13.5">
      <c r="A25" s="3178"/>
      <c r="B25" s="3177" t="s">
        <v>1644</v>
      </c>
      <c r="C25" s="1719" t="s">
        <v>1645</v>
      </c>
    </row>
    <row r="26" spans="1:3" ht="13.5">
      <c r="A26" s="3178"/>
      <c r="B26" s="3177"/>
      <c r="C26" s="1719" t="s">
        <v>1646</v>
      </c>
    </row>
    <row r="27" spans="1:3" ht="13.5">
      <c r="A27" s="3178"/>
      <c r="B27" s="3177"/>
      <c r="C27" s="1719" t="s">
        <v>1647</v>
      </c>
    </row>
    <row r="28" spans="1:3" ht="13.5">
      <c r="A28" s="3178"/>
      <c r="B28" s="3177"/>
      <c r="C28" s="1719" t="s">
        <v>1648</v>
      </c>
    </row>
    <row r="29" spans="1:3" ht="13.5">
      <c r="A29" s="3178"/>
      <c r="B29" s="3177"/>
      <c r="C29" s="1719" t="s">
        <v>1649</v>
      </c>
    </row>
    <row r="30" spans="1:3" ht="13.5">
      <c r="A30" s="3178"/>
      <c r="B30" s="3177"/>
      <c r="C30" s="1719" t="s">
        <v>1650</v>
      </c>
    </row>
    <row r="31" spans="1:3" ht="13.5">
      <c r="A31" s="3178"/>
      <c r="B31" s="3177"/>
      <c r="C31" s="1719" t="s">
        <v>1651</v>
      </c>
    </row>
    <row r="32" spans="1:3" ht="13.5">
      <c r="A32" s="3178"/>
      <c r="B32" s="3177"/>
      <c r="C32" s="1719" t="s">
        <v>1652</v>
      </c>
    </row>
    <row r="33" spans="1:3" ht="13.5">
      <c r="A33" s="3178"/>
      <c r="B33" s="3177"/>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44214</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82" t="s">
        <v>2901</v>
      </c>
      <c r="B17" s="3182"/>
      <c r="C17" s="3182"/>
      <c r="D17" s="3182"/>
      <c r="E17" s="3182"/>
      <c r="F17" s="3182"/>
      <c r="G17" s="3182"/>
      <c r="H17" s="3182"/>
    </row>
    <row r="18" spans="1:8" ht="24" customHeight="1">
      <c r="A18" s="3183" t="s">
        <v>2902</v>
      </c>
      <c r="B18" s="3183"/>
      <c r="C18" s="3183"/>
      <c r="D18" s="2568"/>
      <c r="E18" s="3184" t="s">
        <v>2903</v>
      </c>
      <c r="F18" s="3183"/>
      <c r="G18" s="3183"/>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 (倒)</vt:lpstr>
      <vt:lpstr>估算结果一览表</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2021-01-18T05:49:23Z</dcterms:modified>
</cp:coreProperties>
</file>