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办公" sheetId="34" r:id="rId26"/>
    <sheet name="大宗案例" sheetId="82" r:id="rId27"/>
    <sheet name="2022年大宗" sheetId="83" r:id="rId28"/>
    <sheet name="收益法" sheetId="15" r:id="rId29"/>
    <sheet name="成本法" sheetId="68" r:id="rId30"/>
    <sheet name="基准地价修正" sheetId="43" r:id="rId31"/>
    <sheet name="比较法-商业" sheetId="33" r:id="rId32"/>
    <sheet name="收益法-车库" sheetId="8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7" hidden="1">'2022年大宗'!$A$2:$N$143</definedName>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26" hidden="1">大宗案例!$A$7:$P$318</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2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0">基准地价修正!$A$1:$J$44,基准地价修正!$A$47:$H$101,基准地价修正!$R$1:$V$16</definedName>
    <definedName name="_xlnm.Print_Area" localSheetId="20">假设开发法!$A$1:$K$32</definedName>
    <definedName name="_xlnm.Print_Area" localSheetId="18">结果表!$A$1:$I$127</definedName>
    <definedName name="_xlnm.Print_Area" localSheetId="2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2">'收益法-车库'!$A$1:$F$43,'收益法-车库'!$H$3:$M$29,'收益法-车库'!$A$46:$F$71,'收益法-车库'!$I$46:$N$65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区片价!$J$1:$J$21</definedName>
    <definedName name="二级分类" localSheetId="27">[2]修正!$C$19:$C$51</definedName>
    <definedName name="二级分类">修正!$C$19:$C$51</definedName>
    <definedName name="法定最高年限" localSheetId="27">[2]定义!$G$1:$G$6</definedName>
    <definedName name="法定最高年限">定义!$G$1:$G$6</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配套设施" localSheetId="27">[2]定义!$Q$1:$Q$6</definedName>
    <definedName name="公共配套设施">定义!$Q$1:$Q$6</definedName>
    <definedName name="估价范围判定" localSheetId="27">[2]定义!$D$1:$D$4</definedName>
    <definedName name="估价范围判定">定义!$D$1:$D$4</definedName>
    <definedName name="估价方法" localSheetId="27">[2]定义!$B$1:$B$50</definedName>
    <definedName name="估价方法">定义!$B$1:$B$50</definedName>
    <definedName name="环境" localSheetId="27">[2]定义!$S$1:$S$6</definedName>
    <definedName name="环境">定义!$S$1:$S$6</definedName>
    <definedName name="基础设施水平" localSheetId="27">[2]定义!$R$1:$R$6</definedName>
    <definedName name="基础设施水平">定义!$R$1:$R$6</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区片价!$Q$1:$Q$51</definedName>
    <definedName name="居住社区成熟度" localSheetId="27">[2]定义!$K$1:$K$6</definedName>
    <definedName name="居住社区成熟度">定义!$K$1:$K$6</definedName>
    <definedName name="类别" localSheetId="27">[2]定义!$J$1:$J$3</definedName>
    <definedName name="类别">定义!$J$1:$J$3</definedName>
    <definedName name="临街状况" localSheetId="27">[2]定义!$T$1:$T$5</definedName>
    <definedName name="临街状况">定义!$T$1:$T$5</definedName>
    <definedName name="六级">区片价!$N$1:$N$64</definedName>
    <definedName name="内部装修维护情况" localSheetId="27">[2]定义!$U$1:$U$6</definedName>
    <definedName name="内部装修维护情况">定义!$U$1:$U$6</definedName>
    <definedName name="七级">区片价!$O$1:$O$45</definedName>
    <definedName name="七通一平" localSheetId="27">[2]修正!$A$8:$A$16</definedName>
    <definedName name="七通一平">修正!$A$8:$A$16</definedName>
    <definedName name="区域土地利用方向" localSheetId="27">[2]定义!$P$1:$P$6</definedName>
    <definedName name="区域土地利用方向">定义!$P$1:$P$6</definedName>
    <definedName name="三级">区片价!$K$1:$K$26</definedName>
    <definedName name="商业层高" localSheetId="27">'[2]比较法-商业'!$B$116:$M$116</definedName>
    <definedName name="商业层高">'比较法-商业'!$B$116:$M$116</definedName>
    <definedName name="商业成新度">'比较法-商业'!$B$109:$M$109</definedName>
    <definedName name="商业繁华度" localSheetId="27">[2]定义!$L$1:$L$6</definedName>
    <definedName name="商业繁华度">定义!$L$1:$L$6</definedName>
    <definedName name="商业公共部分装修" localSheetId="27">'[2]比较法-商业'!$B$107:$M$107</definedName>
    <definedName name="商业公共部分装修">'比较法-商业'!$B$107:$M$107</definedName>
    <definedName name="商业基础设施水平" localSheetId="27">'[2]比较法-商业'!$B$112:$M$112</definedName>
    <definedName name="商业基础设施水平">'比较法-商业'!$B$112:$M$112</definedName>
    <definedName name="商业建筑结构" localSheetId="27">'[2]比较法-商业'!$B$105:$M$105</definedName>
    <definedName name="商业建筑结构">'比较法-商业'!$B$105:$M$105</definedName>
    <definedName name="商业交易情况" localSheetId="27">'[2]比较法-商业'!$A$61:$M$61</definedName>
    <definedName name="商业交易情况">'比较法-商业'!$A$61:$M$61</definedName>
    <definedName name="商业街名称" localSheetId="27">[2]修正!$C$71:$C$138</definedName>
    <definedName name="商业街名称">修正!$C$71:$C$138</definedName>
    <definedName name="商业进深比" localSheetId="27">'[2]比较法-商业'!$B$120:$M$120</definedName>
    <definedName name="商业进深比">'比较法-商业'!$B$120:$M$120</definedName>
    <definedName name="商业类型" localSheetId="27">'[2]比较法-商业'!$B$100:$M$100</definedName>
    <definedName name="商业类型">'比较法-商业'!$B$100:$M$100</definedName>
    <definedName name="商业临街状况" localSheetId="27">'[2]比较法-商业'!$B$86:$M$86</definedName>
    <definedName name="商业临街状况">'比较法-商业'!$B$86:$M$86</definedName>
    <definedName name="商业楼层" localSheetId="27">'[2]比较法-商业'!$B$92:$M$92</definedName>
    <definedName name="商业楼层">'比较法-商业'!$B$92:$M$92</definedName>
    <definedName name="商业内部装修" localSheetId="27">'[2]比较法-商业'!$B$122:$M$122</definedName>
    <definedName name="商业内部装修">'比较法-商业'!$B$122:$M$122</definedName>
    <definedName name="商业人流量" localSheetId="27">'[2]比较法-商业'!$B$90:$M$90</definedName>
    <definedName name="商业人流量">'比较法-商业'!$B$90:$M$90</definedName>
    <definedName name="商业业态" localSheetId="27">'[2]比较法-商业'!$B$114:$M$114</definedName>
    <definedName name="商业业态">'比较法-商业'!$B$114:$M$114</definedName>
    <definedName name="商业用途" localSheetId="2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区片价!$L$1:$L$33</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'[2]土地比较法-住宅、综合'!$A$72:$M$72</definedName>
    <definedName name="套工交易情况">'土地比较法-住宅、综合'!$A$72:$M$72</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'[2]土地比较法-住宅、综合'!$B$105:$M$105</definedName>
    <definedName name="套综道路等级">'土地比较法-住宅、综合'!$B$105:$M$105</definedName>
    <definedName name="套综工程地质条件" localSheetId="27">'[2]土地比较法-住宅、综合'!$B$124:$M$124</definedName>
    <definedName name="套综工程地质条件">'土地比较法-住宅、综合'!$B$124:$M$124</definedName>
    <definedName name="套综交易情况" localSheetId="27">'[2]土地比较法-住宅、综合'!$A$72:$M$72</definedName>
    <definedName name="套综交易情况">'土地比较法-住宅、综合'!$A$72:$M$72</definedName>
    <definedName name="套综临街宽度及深度" localSheetId="27">'[2]土地比较法-住宅、综合'!$B$120:$M$120</definedName>
    <definedName name="套综临街宽度及深度">'土地比较法-住宅、综合'!$B$120:$M$120</definedName>
    <definedName name="套综土地级别" localSheetId="27">'[2]土地比较法-住宅、综合'!$B$107:$M$107</definedName>
    <definedName name="套综土地级别">'土地比较法-住宅、综合'!$B$107:$M$107</definedName>
    <definedName name="套综用途" localSheetId="27">'[2]土地比较法-住宅、综合'!$B$74:$M$74</definedName>
    <definedName name="套综用途">'土地比较法-住宅、综合'!$B$74:$M$74</definedName>
    <definedName name="套综宗地内开发程度" localSheetId="27">'[2]土地比较法-住宅、综合'!$B$122:$M$122</definedName>
    <definedName name="套综宗地内开发程度">'土地比较法-住宅、综合'!$B$122:$M$122</definedName>
    <definedName name="套综宗地形状" localSheetId="27">'[2]土地比较法-住宅、综合'!$B$118:$M$118</definedName>
    <definedName name="套综宗地形状">'土地比较法-住宅、综合'!$B$118:$M$118</definedName>
    <definedName name="土地估价师">估价师及机构信息!$D$3:$D$24</definedName>
    <definedName name="土地级别" localSheetId="27">[2]定义!$C$1:$C$14</definedName>
    <definedName name="土地级别">定义!$C$1:$C$14</definedName>
    <definedName name="土地利用方向">定义!$P$1:$P$6</definedName>
    <definedName name="土地年限区间">定义!$I$1:$I$16</definedName>
    <definedName name="位置" localSheetId="27">[2]定义!$E$2:$E$4</definedName>
    <definedName name="位置">定义!$E$2:$E$4</definedName>
    <definedName name="五等判定" localSheetId="27">[2]定义!$W$1:$W$6</definedName>
    <definedName name="五等判定">定义!$W$1:$W$6</definedName>
    <definedName name="五级">区片价!$M$1:$M$41</definedName>
    <definedName name="项目类型" localSheetId="27">'[2]数据-汇总表'!$C$17:$C$26</definedName>
    <definedName name="项目类型" localSheetId="22">'[1]数据-汇总表'!$C$17:$C$26</definedName>
    <definedName name="项目类型">'数据-汇总表'!$C$17:$C$26</definedName>
    <definedName name="写字楼等级" localSheetId="27">'[2]比较法-办公'!$B$113:$M$113</definedName>
    <definedName name="写字楼等级">'比较法-办公'!$B$113:$M$113</definedName>
    <definedName name="一级">区片价!$I$1:$I$6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主用途" localSheetId="27">[2]定义!$F$1:$F$12</definedName>
    <definedName name="主用途">定义!$F$1:$F$12</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'比较法-住宅'!$B$120:$M$120</definedName>
    <definedName name="注册房地产估价师" localSheetId="27">[2]估价师及机构信息!$A$3:$A$16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3" i="15" l="1"/>
  <c r="H128" i="34" l="1"/>
  <c r="G128" i="34"/>
  <c r="F128" i="34"/>
  <c r="E128" i="34"/>
  <c r="D128" i="34"/>
  <c r="K39" i="6" l="1"/>
  <c r="K38" i="6"/>
  <c r="K37" i="6"/>
  <c r="K36" i="6"/>
  <c r="H39" i="6"/>
  <c r="H38" i="6"/>
  <c r="H37" i="6"/>
  <c r="H36" i="6"/>
  <c r="G38" i="6"/>
  <c r="G37" i="6"/>
  <c r="F39" i="6"/>
  <c r="F38" i="6"/>
  <c r="F37" i="6"/>
  <c r="F36" i="6"/>
  <c r="E48" i="34"/>
  <c r="E34" i="34"/>
  <c r="I5" i="34"/>
  <c r="E10" i="34"/>
  <c r="E5" i="34"/>
  <c r="B155" i="83"/>
  <c r="B156" i="83" s="1"/>
  <c r="P93" i="83"/>
  <c r="P90" i="83"/>
  <c r="P82" i="83"/>
  <c r="P78" i="83"/>
  <c r="B29" i="34" l="1"/>
  <c r="V20" i="1" l="1"/>
  <c r="C45" i="34"/>
  <c r="I48" i="34"/>
  <c r="G48" i="34"/>
  <c r="I34" i="34"/>
  <c r="G34" i="34"/>
  <c r="C34" i="34"/>
  <c r="F123" i="34"/>
  <c r="E123" i="34"/>
  <c r="D123" i="34"/>
  <c r="C123" i="34"/>
  <c r="G117" i="34"/>
  <c r="F117" i="34"/>
  <c r="E117" i="34"/>
  <c r="D117" i="34"/>
  <c r="C117" i="34"/>
  <c r="G105" i="34"/>
  <c r="F105" i="34"/>
  <c r="E105" i="34"/>
  <c r="D105" i="34"/>
  <c r="C10" i="34" l="1"/>
  <c r="D67" i="34"/>
  <c r="E67" i="34" s="1"/>
  <c r="AA59" i="34"/>
  <c r="AB59" i="34" s="1"/>
  <c r="AC59" i="34" s="1"/>
  <c r="P59" i="34"/>
  <c r="Q59" i="34" s="1"/>
  <c r="R59" i="34" s="1"/>
  <c r="S59" i="34" s="1"/>
  <c r="T59" i="34" s="1"/>
  <c r="U59" i="34" s="1"/>
  <c r="V59" i="34" s="1"/>
  <c r="W59" i="34" s="1"/>
  <c r="X59" i="34" s="1"/>
  <c r="Y59" i="34" s="1"/>
  <c r="Z59" i="34" s="1"/>
  <c r="I7" i="34"/>
  <c r="G7" i="34"/>
  <c r="G5" i="34"/>
  <c r="E127" i="33" l="1"/>
  <c r="F127" i="33"/>
  <c r="G127" i="33" s="1"/>
  <c r="H127" i="33" s="1"/>
  <c r="D127" i="33"/>
  <c r="E47" i="33"/>
  <c r="D14" i="9" l="1"/>
  <c r="E66" i="33" l="1"/>
  <c r="D66" i="33"/>
  <c r="G44" i="33"/>
  <c r="D41" i="43"/>
  <c r="D40" i="43"/>
  <c r="U20" i="1"/>
  <c r="N18" i="1"/>
  <c r="B14" i="74" l="1"/>
  <c r="Y24" i="1"/>
  <c r="Y23" i="1"/>
  <c r="G19" i="6"/>
  <c r="O19" i="1"/>
  <c r="N20" i="1" s="1"/>
  <c r="N6" i="1" s="1"/>
  <c r="C37" i="34" s="1"/>
  <c r="I44" i="33"/>
  <c r="C44" i="33"/>
  <c r="I47" i="33"/>
  <c r="G47" i="33"/>
  <c r="G112" i="33"/>
  <c r="F112" i="33"/>
  <c r="E112" i="33"/>
  <c r="D112" i="33"/>
  <c r="C112" i="33"/>
  <c r="E104" i="33"/>
  <c r="D104" i="33"/>
  <c r="I33" i="33"/>
  <c r="G33" i="33"/>
  <c r="E33" i="33"/>
  <c r="C33" i="33"/>
  <c r="I10" i="33"/>
  <c r="G10" i="33"/>
  <c r="E10" i="33"/>
  <c r="C10" i="33"/>
  <c r="L59" i="33"/>
  <c r="M59" i="33" s="1"/>
  <c r="N59" i="33" s="1"/>
  <c r="O59" i="33" s="1"/>
  <c r="P59" i="33" s="1"/>
  <c r="Q59" i="33" s="1"/>
  <c r="R59" i="33" s="1"/>
  <c r="S59" i="33" s="1"/>
  <c r="T59" i="33" s="1"/>
  <c r="U59" i="33" s="1"/>
  <c r="V59" i="33" s="1"/>
  <c r="X59" i="33" s="1"/>
  <c r="Y59" i="33" s="1"/>
  <c r="Z59" i="33" s="1"/>
  <c r="AA59" i="33" s="1"/>
  <c r="AB59" i="33" s="1"/>
  <c r="AC59" i="33" s="1"/>
  <c r="G7" i="33"/>
  <c r="E7" i="33"/>
  <c r="G5" i="33"/>
  <c r="E5" i="33"/>
  <c r="I7" i="33"/>
  <c r="I5" i="33"/>
  <c r="D42" i="43"/>
  <c r="S9" i="43"/>
  <c r="S10" i="43"/>
  <c r="S11" i="43"/>
  <c r="S8" i="43"/>
  <c r="S7" i="43"/>
  <c r="U3" i="43"/>
  <c r="U4" i="43"/>
  <c r="U5" i="43"/>
  <c r="U6" i="43"/>
  <c r="U7" i="43"/>
  <c r="U8" i="43"/>
  <c r="U9" i="43"/>
  <c r="U10" i="43"/>
  <c r="U11" i="43"/>
  <c r="U2" i="43"/>
  <c r="B54" i="1"/>
  <c r="B35" i="1"/>
  <c r="B21" i="1"/>
  <c r="Q72" i="81"/>
  <c r="Q59" i="81"/>
  <c r="K59" i="81"/>
  <c r="P74" i="81" s="1"/>
  <c r="F59" i="81"/>
  <c r="Q58" i="81"/>
  <c r="J52" i="81"/>
  <c r="Q51" i="81"/>
  <c r="J50" i="81"/>
  <c r="J49" i="81"/>
  <c r="M47" i="81"/>
  <c r="D46" i="81"/>
  <c r="F33" i="81"/>
  <c r="F61" i="81" s="1"/>
  <c r="F31" i="81"/>
  <c r="F23" i="81"/>
  <c r="D23" i="81" s="1"/>
  <c r="F21" i="81"/>
  <c r="F20" i="81"/>
  <c r="M19" i="81"/>
  <c r="F18" i="81"/>
  <c r="M17" i="81"/>
  <c r="F17" i="81"/>
  <c r="F15" i="81"/>
  <c r="J52" i="15"/>
  <c r="J49" i="15"/>
  <c r="U22" i="1"/>
  <c r="V22" i="1" s="1"/>
  <c r="U6" i="1" s="1"/>
  <c r="U21" i="1"/>
  <c r="U19" i="1"/>
  <c r="J51" i="81" l="1"/>
  <c r="Y6" i="1"/>
  <c r="C36" i="33"/>
  <c r="D24" i="81"/>
  <c r="P61" i="81"/>
  <c r="D22" i="81"/>
  <c r="F19" i="6" l="1"/>
  <c r="M13" i="3"/>
  <c r="K13" i="3"/>
  <c r="I13" i="3"/>
  <c r="F13" i="4"/>
  <c r="E13" i="4"/>
  <c r="B6" i="4"/>
  <c r="D3" i="4" l="1"/>
  <c r="D23" i="80"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AA21" i="33" s="1"/>
  <c r="E83" i="21"/>
  <c r="F83" i="21" s="1"/>
  <c r="H1" i="69"/>
  <c r="AC25" i="40"/>
  <c r="W25" i="40"/>
  <c r="U25" i="40"/>
  <c r="U29" i="39"/>
  <c r="W29" i="39"/>
  <c r="W18" i="36"/>
  <c r="AB21" i="37"/>
  <c r="U21" i="37"/>
  <c r="S21" i="37"/>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G44" i="43"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F46" i="34" s="1"/>
  <c r="B127" i="34"/>
  <c r="B99" i="34"/>
  <c r="B97" i="34"/>
  <c r="B95" i="34"/>
  <c r="B93" i="34"/>
  <c r="B75" i="34"/>
  <c r="B73" i="34"/>
  <c r="B71" i="34"/>
  <c r="J12" i="34" s="1"/>
  <c r="W12" i="34" s="1"/>
  <c r="B130" i="33"/>
  <c r="B128" i="33"/>
  <c r="B126" i="33"/>
  <c r="B98" i="33"/>
  <c r="B96" i="33"/>
  <c r="B94" i="33"/>
  <c r="B74" i="33"/>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S19" i="34" s="1"/>
  <c r="H17" i="34"/>
  <c r="U17" i="34" s="1"/>
  <c r="J15" i="34"/>
  <c r="AC15" i="34" s="1"/>
  <c r="H15" i="34"/>
  <c r="AB15" i="34" s="1"/>
  <c r="J28" i="34"/>
  <c r="W28" i="34" s="1"/>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F17" i="34"/>
  <c r="AA17" i="34" s="1"/>
  <c r="J17" i="34"/>
  <c r="W17" i="34" s="1"/>
  <c r="S41" i="33"/>
  <c r="H37" i="33"/>
  <c r="U37" i="33" s="1"/>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s="1"/>
  <c r="J29" i="33"/>
  <c r="H29" i="33"/>
  <c r="U29" i="33"/>
  <c r="F29" i="33"/>
  <c r="S29" i="33" s="1"/>
  <c r="J31" i="33"/>
  <c r="W31" i="33" s="1"/>
  <c r="H31" i="33"/>
  <c r="F31" i="33"/>
  <c r="H45" i="33"/>
  <c r="U45" i="33"/>
  <c r="J45" i="33"/>
  <c r="W45" i="33" s="1"/>
  <c r="F45" i="33"/>
  <c r="AA45" i="33"/>
  <c r="J14" i="34"/>
  <c r="W14" i="34" s="1"/>
  <c r="F14" i="34"/>
  <c r="S14" i="34" s="1"/>
  <c r="H14" i="34"/>
  <c r="H30" i="34"/>
  <c r="F30" i="34"/>
  <c r="S30" i="34" s="1"/>
  <c r="J30" i="34"/>
  <c r="H32" i="34"/>
  <c r="F32" i="34"/>
  <c r="J32" i="34"/>
  <c r="W32" i="34" s="1"/>
  <c r="H46" i="34"/>
  <c r="U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U44" i="33" s="1"/>
  <c r="J44" i="33"/>
  <c r="AC44" i="33" s="1"/>
  <c r="F44" i="33"/>
  <c r="S44" i="33" s="1"/>
  <c r="J46" i="33"/>
  <c r="AC46" i="33"/>
  <c r="F46" i="33"/>
  <c r="AA46" i="33" s="1"/>
  <c r="H46" i="33"/>
  <c r="AB46" i="33"/>
  <c r="H13" i="34"/>
  <c r="U13" i="34" s="1"/>
  <c r="J13" i="34"/>
  <c r="W13" i="34" s="1"/>
  <c r="F13" i="34"/>
  <c r="AA13" i="34" s="1"/>
  <c r="J29" i="34"/>
  <c r="AC29" i="34" s="1"/>
  <c r="F29" i="34"/>
  <c r="S29" i="34" s="1"/>
  <c r="H29" i="34"/>
  <c r="AB29" i="34" s="1"/>
  <c r="J31" i="34"/>
  <c r="W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c r="J10" i="36"/>
  <c r="AC10" i="36" s="1"/>
  <c r="AB26" i="33"/>
  <c r="AB30" i="21"/>
  <c r="AA14" i="37"/>
  <c r="S11" i="36"/>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U11" i="33"/>
  <c r="U19" i="21"/>
  <c r="W44" i="21"/>
  <c r="AB38" i="21"/>
  <c r="F43" i="33"/>
  <c r="AA43" i="33" s="1"/>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W28" i="37"/>
  <c r="S19" i="39"/>
  <c r="F12" i="33"/>
  <c r="AA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B41" i="1"/>
  <c r="F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25" i="34"/>
  <c r="U28"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F87" i="33"/>
  <c r="G87" i="33" s="1"/>
  <c r="H87" i="33" s="1"/>
  <c r="I87" i="33" s="1"/>
  <c r="J87" i="33" s="1"/>
  <c r="K87" i="33" s="1"/>
  <c r="L87" i="33" s="1"/>
  <c r="M87" i="33" s="1"/>
  <c r="H25" i="33"/>
  <c r="F25" i="33"/>
  <c r="S25" i="33" s="1"/>
  <c r="H23" i="33"/>
  <c r="AB23" i="33" s="1"/>
  <c r="F81" i="33"/>
  <c r="G81" i="33" s="1"/>
  <c r="F19" i="33"/>
  <c r="S19" i="33" s="1"/>
  <c r="J17" i="33"/>
  <c r="W17"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21"/>
  <c r="C7" i="40"/>
  <c r="C63" i="40" s="1"/>
  <c r="A4" i="51"/>
  <c r="B6" i="72" s="1"/>
  <c r="L20" i="6"/>
  <c r="K11" i="1"/>
  <c r="M11" i="1" s="1"/>
  <c r="O11" i="1" s="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S32" i="34"/>
  <c r="AA32" i="34"/>
  <c r="U30" i="34"/>
  <c r="AB30" i="34"/>
  <c r="U38" i="34"/>
  <c r="AA8" i="34"/>
  <c r="S8" i="34"/>
  <c r="U32" i="34"/>
  <c r="AB32" i="34"/>
  <c r="U14" i="34"/>
  <c r="AB14" i="34"/>
  <c r="U12" i="34"/>
  <c r="AB12" i="34"/>
  <c r="AB28" i="33"/>
  <c r="W46" i="33"/>
  <c r="U39" i="33"/>
  <c r="U38" i="33"/>
  <c r="S30" i="33"/>
  <c r="AA30" i="33"/>
  <c r="AC14" i="33"/>
  <c r="W14" i="33"/>
  <c r="AC30" i="33"/>
  <c r="W30" i="33"/>
  <c r="S31" i="33"/>
  <c r="AA31" i="33"/>
  <c r="W13" i="33"/>
  <c r="AC13"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2" i="43"/>
  <c r="B65" i="43"/>
  <c r="D23" i="15"/>
  <c r="D22" i="15"/>
  <c r="E4" i="4"/>
  <c r="B5" i="62" s="1"/>
  <c r="B73" i="72" s="1"/>
  <c r="C4" i="4"/>
  <c r="F30" i="68"/>
  <c r="F48" i="68" s="1"/>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AC32" i="33"/>
  <c r="W32" i="33"/>
  <c r="U27" i="33"/>
  <c r="AB27" i="33"/>
  <c r="G91" i="33"/>
  <c r="H91" i="33" s="1"/>
  <c r="I91" i="33" s="1"/>
  <c r="J91" i="33" s="1"/>
  <c r="K91" i="33" s="1"/>
  <c r="L91" i="33" s="1"/>
  <c r="M91" i="33" s="1"/>
  <c r="J27" i="33"/>
  <c r="AC27" i="33" s="1"/>
  <c r="U25" i="33"/>
  <c r="AB25" i="33"/>
  <c r="AA25" i="33"/>
  <c r="J25" i="33"/>
  <c r="AC25" i="33" s="1"/>
  <c r="H19" i="33"/>
  <c r="U19" i="33" s="1"/>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5" i="73"/>
  <c r="F4" i="73"/>
  <c r="B11" i="76"/>
  <c r="E9" i="76"/>
  <c r="E10" i="76"/>
  <c r="E7" i="76"/>
  <c r="B7" i="76"/>
  <c r="F3" i="73"/>
  <c r="E11" i="76"/>
  <c r="B12" i="76"/>
  <c r="F7" i="73"/>
  <c r="B10" i="76"/>
  <c r="B13" i="76"/>
  <c r="E8" i="76"/>
  <c r="AO13" i="1"/>
  <c r="B8" i="76"/>
  <c r="E2" i="69"/>
  <c r="E12" i="76"/>
  <c r="E13" i="76"/>
  <c r="F20" i="31"/>
  <c r="E2" i="68"/>
  <c r="D6" i="73"/>
  <c r="B9" i="76"/>
  <c r="F6" i="73"/>
  <c r="AA45" i="34" l="1"/>
  <c r="H9" i="34"/>
  <c r="AB9" i="34" s="1"/>
  <c r="J9" i="34"/>
  <c r="AC9" i="34" s="1"/>
  <c r="W29" i="34"/>
  <c r="W15" i="34"/>
  <c r="U29" i="34"/>
  <c r="AA29" i="34"/>
  <c r="F86" i="34"/>
  <c r="G86" i="34" s="1"/>
  <c r="H23" i="34"/>
  <c r="U23" i="34" s="1"/>
  <c r="J23" i="34"/>
  <c r="W23" i="34" s="1"/>
  <c r="AB45" i="34"/>
  <c r="AC45" i="34"/>
  <c r="J43" i="34"/>
  <c r="W43" i="34" s="1"/>
  <c r="F43" i="34"/>
  <c r="AA43" i="34" s="1"/>
  <c r="G124" i="34"/>
  <c r="H124" i="34" s="1"/>
  <c r="I124" i="34" s="1"/>
  <c r="J124" i="34" s="1"/>
  <c r="K124" i="34" s="1"/>
  <c r="L124" i="34" s="1"/>
  <c r="M124" i="34" s="1"/>
  <c r="H43" i="34"/>
  <c r="AB43" i="34" s="1"/>
  <c r="S37" i="34"/>
  <c r="AC39" i="34"/>
  <c r="AB40" i="34"/>
  <c r="U39" i="34"/>
  <c r="S46" i="34"/>
  <c r="AA46" i="34"/>
  <c r="AB46" i="34"/>
  <c r="J46" i="34"/>
  <c r="AA47" i="34"/>
  <c r="W44" i="34"/>
  <c r="S44" i="34"/>
  <c r="AC43" i="34"/>
  <c r="S36" i="34"/>
  <c r="W35" i="34"/>
  <c r="AB35" i="34"/>
  <c r="AA35" i="34"/>
  <c r="U34" i="34"/>
  <c r="AA33" i="34"/>
  <c r="S43" i="34"/>
  <c r="AC40" i="34"/>
  <c r="AA40" i="34"/>
  <c r="AC36" i="34"/>
  <c r="W33" i="34"/>
  <c r="AB33" i="34"/>
  <c r="U27" i="34"/>
  <c r="AC28" i="34"/>
  <c r="AC31" i="34"/>
  <c r="S28" i="34"/>
  <c r="F82" i="34"/>
  <c r="G82" i="34" s="1"/>
  <c r="H19" i="34"/>
  <c r="AB19" i="34" s="1"/>
  <c r="J19" i="34"/>
  <c r="AC19" i="34" s="1"/>
  <c r="F78" i="34"/>
  <c r="G78" i="34" s="1"/>
  <c r="F15" i="34"/>
  <c r="AA15" i="34" s="1"/>
  <c r="U15" i="34"/>
  <c r="AA19" i="34"/>
  <c r="C19" i="39"/>
  <c r="S17" i="34"/>
  <c r="AA23" i="34"/>
  <c r="U21" i="34"/>
  <c r="AA21" i="34"/>
  <c r="AB17" i="34"/>
  <c r="AC17" i="34"/>
  <c r="U9" i="34"/>
  <c r="W8" i="34"/>
  <c r="S33" i="33"/>
  <c r="W33" i="33"/>
  <c r="W19" i="33"/>
  <c r="J23" i="33"/>
  <c r="AC23" i="33" s="1"/>
  <c r="F23" i="33"/>
  <c r="S23" i="33" s="1"/>
  <c r="AB44" i="33"/>
  <c r="G7" i="1"/>
  <c r="G1" i="67"/>
  <c r="G1" i="69"/>
  <c r="G1" i="15"/>
  <c r="B6" i="1"/>
  <c r="E6" i="1" s="1"/>
  <c r="K1" i="12"/>
  <c r="K6" i="1"/>
  <c r="AP6" i="1" s="1"/>
  <c r="B7" i="1"/>
  <c r="E7" i="1" s="1"/>
  <c r="G1" i="81"/>
  <c r="O7" i="1"/>
  <c r="P7" i="1" s="1"/>
  <c r="AA44" i="33"/>
  <c r="W44" i="33"/>
  <c r="F36" i="33"/>
  <c r="H36" i="33"/>
  <c r="U36" i="33" s="1"/>
  <c r="H111" i="33"/>
  <c r="I111" i="33" s="1"/>
  <c r="J111" i="33" s="1"/>
  <c r="K111" i="33" s="1"/>
  <c r="L111" i="33" s="1"/>
  <c r="M111" i="33" s="1"/>
  <c r="J36" i="33"/>
  <c r="W36" i="33" s="1"/>
  <c r="W43" i="33"/>
  <c r="AB36" i="33"/>
  <c r="AB34" i="33"/>
  <c r="U42" i="33"/>
  <c r="AC37" i="33"/>
  <c r="AB37" i="33"/>
  <c r="AA35" i="33"/>
  <c r="W35" i="33"/>
  <c r="U35" i="33"/>
  <c r="AA34" i="33"/>
  <c r="AC34" i="33"/>
  <c r="U33" i="33"/>
  <c r="AC26" i="33"/>
  <c r="W26" i="33"/>
  <c r="W27" i="33"/>
  <c r="W25" i="33"/>
  <c r="S26" i="33"/>
  <c r="S21" i="33"/>
  <c r="AA19" i="33"/>
  <c r="AC17" i="33"/>
  <c r="U23" i="33"/>
  <c r="AB21" i="33"/>
  <c r="AB19" i="33"/>
  <c r="AA17" i="33"/>
  <c r="U15" i="33"/>
  <c r="S12" i="33"/>
  <c r="U9" i="33"/>
  <c r="D52" i="43"/>
  <c r="B69" i="43"/>
  <c r="B79" i="43"/>
  <c r="B57" i="43"/>
  <c r="B77" i="43"/>
  <c r="B68" i="43"/>
  <c r="M20" i="15"/>
  <c r="F34" i="81"/>
  <c r="F62" i="81" s="1"/>
  <c r="M20" i="81"/>
  <c r="F54" i="9"/>
  <c r="F32" i="15"/>
  <c r="F60" i="15" s="1"/>
  <c r="F48" i="9"/>
  <c r="O52" i="9" s="1"/>
  <c r="F28" i="81"/>
  <c r="M18" i="81"/>
  <c r="F32" i="81"/>
  <c r="D68" i="9"/>
  <c r="F30" i="69"/>
  <c r="F48" i="69" s="1"/>
  <c r="F31" i="12"/>
  <c r="F28" i="15"/>
  <c r="F32" i="67"/>
  <c r="F60" i="67" s="1"/>
  <c r="F28" i="67"/>
  <c r="M18" i="15"/>
  <c r="M18" i="67"/>
  <c r="F30" i="11"/>
  <c r="C48" i="11" s="1"/>
  <c r="C40" i="69"/>
  <c r="C21" i="68"/>
  <c r="F34" i="68"/>
  <c r="C36" i="68" s="1"/>
  <c r="BB5" i="3"/>
  <c r="G23" i="43"/>
  <c r="C23" i="43" s="1"/>
  <c r="C7" i="33"/>
  <c r="C42" i="1"/>
  <c r="C7" i="37"/>
  <c r="C52" i="37" s="1"/>
  <c r="D52" i="37" s="1"/>
  <c r="M47" i="9"/>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F27" i="69"/>
  <c r="C36" i="69"/>
  <c r="D9" i="68"/>
  <c r="C14" i="81"/>
  <c r="F42" i="15"/>
  <c r="M6" i="15"/>
  <c r="F36" i="15"/>
  <c r="F16" i="15"/>
  <c r="M9" i="15"/>
  <c r="F43" i="67"/>
  <c r="F37" i="81"/>
  <c r="F6" i="81"/>
  <c r="F7" i="15"/>
  <c r="F36" i="67"/>
  <c r="F7" i="67"/>
  <c r="F6" i="15"/>
  <c r="M29" i="81"/>
  <c r="F9" i="15"/>
  <c r="M24" i="15"/>
  <c r="F7" i="81"/>
  <c r="M22" i="81"/>
  <c r="M6" i="67"/>
  <c r="M6" i="81"/>
  <c r="M26" i="15"/>
  <c r="M9" i="67"/>
  <c r="M24" i="81"/>
  <c r="J15" i="15"/>
  <c r="L48" i="81"/>
  <c r="L48" i="15"/>
  <c r="M28" i="15"/>
  <c r="F38" i="81"/>
  <c r="J15" i="67"/>
  <c r="J15" i="81"/>
  <c r="F42" i="81"/>
  <c r="F37" i="67"/>
  <c r="M23" i="81"/>
  <c r="F13" i="67"/>
  <c r="C76" i="67"/>
  <c r="M8" i="67"/>
  <c r="F38" i="67"/>
  <c r="M8" i="15"/>
  <c r="M28" i="81"/>
  <c r="F36" i="81"/>
  <c r="F9" i="67"/>
  <c r="F26" i="67"/>
  <c r="M26" i="67"/>
  <c r="L47" i="15"/>
  <c r="F13" i="15"/>
  <c r="D4" i="73"/>
  <c r="M9" i="81"/>
  <c r="F8" i="81"/>
  <c r="D5" i="73"/>
  <c r="F40" i="15"/>
  <c r="F8" i="15"/>
  <c r="M29" i="67"/>
  <c r="F40" i="67"/>
  <c r="M22" i="15"/>
  <c r="F26" i="15"/>
  <c r="M8" i="81"/>
  <c r="L48" i="67"/>
  <c r="F43" i="81"/>
  <c r="F13" i="81"/>
  <c r="M27" i="81"/>
  <c r="C76" i="15"/>
  <c r="F37" i="15"/>
  <c r="F16" i="67"/>
  <c r="F42" i="67"/>
  <c r="M26" i="81"/>
  <c r="D7" i="73"/>
  <c r="M29" i="15"/>
  <c r="F43" i="15"/>
  <c r="M28" i="67"/>
  <c r="M23" i="15"/>
  <c r="F16" i="81"/>
  <c r="C76" i="81"/>
  <c r="F6" i="67"/>
  <c r="F9" i="81"/>
  <c r="D3" i="73"/>
  <c r="F8" i="67"/>
  <c r="F38" i="15"/>
  <c r="M24" i="67"/>
  <c r="M23" i="67"/>
  <c r="M22" i="67"/>
  <c r="L47" i="67"/>
  <c r="F40" i="81"/>
  <c r="L47" i="81"/>
  <c r="F26" i="81"/>
  <c r="H34" i="15" l="1"/>
  <c r="W9" i="34"/>
  <c r="AC23" i="34"/>
  <c r="AB23" i="34"/>
  <c r="U19" i="34"/>
  <c r="U43" i="34"/>
  <c r="W46" i="34"/>
  <c r="AC46" i="34"/>
  <c r="W19" i="34"/>
  <c r="W23" i="33"/>
  <c r="AA23" i="33"/>
  <c r="Q71" i="15"/>
  <c r="C6" i="15"/>
  <c r="C32" i="15" s="1"/>
  <c r="F68" i="15"/>
  <c r="F64" i="15"/>
  <c r="M7" i="15"/>
  <c r="J6" i="15" s="1"/>
  <c r="J18" i="15" s="1"/>
  <c r="F50" i="15"/>
  <c r="C27" i="15"/>
  <c r="F71" i="15"/>
  <c r="F65" i="15"/>
  <c r="I54" i="15"/>
  <c r="J57" i="15"/>
  <c r="J55" i="15" s="1"/>
  <c r="J58" i="15" s="1"/>
  <c r="Q50" i="15" s="1"/>
  <c r="J53" i="15"/>
  <c r="L56" i="15" s="1"/>
  <c r="F66" i="15"/>
  <c r="F51" i="15"/>
  <c r="N59" i="15"/>
  <c r="L58" i="15"/>
  <c r="Q60" i="15" s="1"/>
  <c r="L59" i="15"/>
  <c r="Q61" i="15" s="1"/>
  <c r="M59" i="15"/>
  <c r="M59" i="67"/>
  <c r="L58" i="67"/>
  <c r="Q60" i="67" s="1"/>
  <c r="N59" i="67"/>
  <c r="L59" i="67"/>
  <c r="Q61" i="67" s="1"/>
  <c r="Q71" i="67"/>
  <c r="F51" i="67"/>
  <c r="I54" i="67"/>
  <c r="J53" i="67"/>
  <c r="F1" i="67" s="1"/>
  <c r="J57" i="67"/>
  <c r="J55" i="67" s="1"/>
  <c r="J58" i="67" s="1"/>
  <c r="Q50" i="67" s="1"/>
  <c r="L56" i="67"/>
  <c r="F65" i="67"/>
  <c r="C27" i="67"/>
  <c r="F71" i="67"/>
  <c r="C6" i="67"/>
  <c r="C32" i="67" s="1"/>
  <c r="F68" i="67"/>
  <c r="F66" i="67"/>
  <c r="F50" i="67"/>
  <c r="M7" i="67"/>
  <c r="J6" i="67" s="1"/>
  <c r="J18" i="67" s="1"/>
  <c r="F64" i="67"/>
  <c r="F34" i="6"/>
  <c r="L26" i="1"/>
  <c r="Q71" i="81"/>
  <c r="N59" i="81"/>
  <c r="L58" i="81"/>
  <c r="L59" i="81"/>
  <c r="M59" i="81"/>
  <c r="F64" i="81"/>
  <c r="J57" i="81"/>
  <c r="J55" i="81" s="1"/>
  <c r="J58" i="81" s="1"/>
  <c r="Q50" i="81" s="1"/>
  <c r="L57" i="81"/>
  <c r="L60" i="81"/>
  <c r="I54" i="81"/>
  <c r="L56" i="81"/>
  <c r="J53" i="81"/>
  <c r="C27" i="81"/>
  <c r="F66" i="81"/>
  <c r="M7" i="81"/>
  <c r="J6" i="81" s="1"/>
  <c r="F50" i="81"/>
  <c r="F65" i="81"/>
  <c r="C6" i="81"/>
  <c r="C33" i="81" s="1"/>
  <c r="F51" i="81"/>
  <c r="F68" i="81"/>
  <c r="F71" i="81"/>
  <c r="C19" i="81"/>
  <c r="C20" i="81" s="1"/>
  <c r="C26" i="81" s="1"/>
  <c r="C18" i="81"/>
  <c r="C15" i="81"/>
  <c r="AC36" i="33"/>
  <c r="AA36" i="33"/>
  <c r="S36" i="33"/>
  <c r="F60" i="81"/>
  <c r="C28" i="81"/>
  <c r="C24" i="12"/>
  <c r="M11" i="81"/>
  <c r="J10" i="81" s="1"/>
  <c r="F11" i="81"/>
  <c r="K16" i="1"/>
  <c r="P6" i="1"/>
  <c r="C13" i="12" s="1"/>
  <c r="J7" i="37"/>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L25" i="1"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J5" i="15" s="1"/>
  <c r="J24" i="15" s="1"/>
  <c r="F11" i="67"/>
  <c r="AE11" i="1"/>
  <c r="AE9" i="1"/>
  <c r="F27" i="68"/>
  <c r="AE8" i="1"/>
  <c r="AE12" i="1"/>
  <c r="AE10" i="1"/>
  <c r="F41" i="81"/>
  <c r="C16" i="81"/>
  <c r="C16" i="15"/>
  <c r="C16" i="67"/>
  <c r="G1" i="73"/>
  <c r="C17" i="81"/>
  <c r="H35" i="15" l="1"/>
  <c r="H36" i="15" s="1"/>
  <c r="C49" i="15"/>
  <c r="Q74" i="15"/>
  <c r="Q52" i="67"/>
  <c r="Q74" i="67"/>
  <c r="AC6" i="3"/>
  <c r="C49" i="67"/>
  <c r="F1" i="15"/>
  <c r="J5" i="67"/>
  <c r="J24" i="67" s="1"/>
  <c r="Q73" i="15"/>
  <c r="Q73" i="67"/>
  <c r="Q52" i="15"/>
  <c r="C49" i="81"/>
  <c r="C61" i="81" s="1"/>
  <c r="C32" i="81"/>
  <c r="N25" i="1"/>
  <c r="L24" i="1"/>
  <c r="N26" i="1"/>
  <c r="L30" i="1"/>
  <c r="J18" i="81"/>
  <c r="J19" i="81"/>
  <c r="Q61" i="81"/>
  <c r="Q74" i="81"/>
  <c r="J5" i="81"/>
  <c r="J24" i="81" s="1"/>
  <c r="Q73" i="81"/>
  <c r="Q60" i="81"/>
  <c r="Q57" i="81"/>
  <c r="Q66" i="81"/>
  <c r="Q52" i="81"/>
  <c r="F1" i="81"/>
  <c r="F69" i="81"/>
  <c r="C53" i="81"/>
  <c r="C10" i="81"/>
  <c r="C5" i="81" s="1"/>
  <c r="E3" i="6"/>
  <c r="AA7" i="36"/>
  <c r="R36" i="36"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AE7" i="1"/>
  <c r="M27" i="15"/>
  <c r="M27" i="67"/>
  <c r="AE6" i="1"/>
  <c r="F41" i="67"/>
  <c r="C38" i="15" l="1"/>
  <c r="C48" i="15"/>
  <c r="C66" i="15" s="1"/>
  <c r="G54" i="34"/>
  <c r="H54" i="34" s="1"/>
  <c r="R50" i="34"/>
  <c r="C49" i="34" s="1"/>
  <c r="C48" i="67"/>
  <c r="C66" i="67" s="1"/>
  <c r="C48" i="81"/>
  <c r="C66" i="81" s="1"/>
  <c r="J26" i="81"/>
  <c r="J29" i="81" s="1"/>
  <c r="L23" i="1"/>
  <c r="L29" i="1"/>
  <c r="N29" i="1" s="1"/>
  <c r="L27" i="1"/>
  <c r="N27" i="1" s="1"/>
  <c r="L28" i="1"/>
  <c r="N28" i="1" s="1"/>
  <c r="L32" i="1"/>
  <c r="N24" i="1"/>
  <c r="F69" i="67"/>
  <c r="C38" i="81"/>
  <c r="L36" i="43"/>
  <c r="L37" i="43" s="1"/>
  <c r="M37" i="43" s="1"/>
  <c r="F24" i="81"/>
  <c r="F24" i="67"/>
  <c r="C24" i="67" s="1"/>
  <c r="F24" i="15"/>
  <c r="C24" i="15" s="1"/>
  <c r="F22" i="69"/>
  <c r="F41" i="69" s="1"/>
  <c r="F22" i="68"/>
  <c r="F25" i="12"/>
  <c r="C26" i="12" s="1"/>
  <c r="D25" i="12" s="1"/>
  <c r="F22" i="11"/>
  <c r="C23" i="11"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D10" i="69"/>
  <c r="C34" i="69"/>
  <c r="D10" i="68"/>
  <c r="F41" i="15"/>
  <c r="C17" i="15"/>
  <c r="C17" i="67"/>
  <c r="C14" i="67"/>
  <c r="F69" i="15" l="1"/>
  <c r="C50" i="34"/>
  <c r="C60" i="67"/>
  <c r="C60" i="81"/>
  <c r="M24" i="1"/>
  <c r="N23" i="1"/>
  <c r="M23" i="1" s="1"/>
  <c r="M30" i="1" s="1"/>
  <c r="N30" i="1" s="1"/>
  <c r="N32" i="1" s="1"/>
  <c r="M32" i="1" s="1"/>
  <c r="N37" i="43"/>
  <c r="C24" i="11"/>
  <c r="F41" i="68"/>
  <c r="O37" i="43"/>
  <c r="M36" i="43"/>
  <c r="P37" i="43"/>
  <c r="N36" i="43"/>
  <c r="Q37" i="43"/>
  <c r="Q36" i="43"/>
  <c r="P36" i="43"/>
  <c r="O36" i="43"/>
  <c r="C24" i="81"/>
  <c r="C23" i="81"/>
  <c r="C44" i="68"/>
  <c r="D41" i="68" s="1"/>
  <c r="C44" i="69"/>
  <c r="D41" i="69" s="1"/>
  <c r="C26" i="69"/>
  <c r="D22" i="69" s="1"/>
  <c r="C26" i="68"/>
  <c r="D22" i="68" s="1"/>
  <c r="C26" i="11"/>
  <c r="D22" i="11" s="1"/>
  <c r="C44" i="11"/>
  <c r="D41" i="11" s="1"/>
  <c r="C25" i="1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29" i="81"/>
  <c r="J14" i="8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J26" i="43" l="1"/>
  <c r="E26" i="43"/>
  <c r="B116" i="43"/>
  <c r="H26" i="43"/>
  <c r="F26" i="43"/>
  <c r="Z7" i="43"/>
  <c r="N94" i="46"/>
  <c r="G26" i="43"/>
  <c r="N370" i="46"/>
  <c r="J59" i="81"/>
  <c r="J60" i="81" s="1"/>
  <c r="Q48" i="81" s="1"/>
  <c r="C57" i="81"/>
  <c r="C64" i="81" s="1"/>
  <c r="C36" i="81"/>
  <c r="Q49" i="81"/>
  <c r="C21" i="12"/>
  <c r="C22" i="12" s="1"/>
  <c r="C13" i="81"/>
  <c r="Q70" i="81" s="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0" i="43"/>
  <c r="J120" i="43" s="1"/>
  <c r="K120" i="43" s="1"/>
  <c r="L120" i="43" s="1"/>
  <c r="M120" i="43" s="1"/>
  <c r="D118" i="43"/>
  <c r="E118" i="43" s="1"/>
  <c r="F118" i="43" s="1"/>
  <c r="G118" i="43" s="1"/>
  <c r="H118"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26" i="43"/>
  <c r="C25" i="43" s="1"/>
  <c r="L46" i="81"/>
  <c r="C27" i="12"/>
  <c r="C25" i="12" s="1"/>
  <c r="C30" i="12"/>
  <c r="C28" i="12" s="1"/>
  <c r="C56" i="81"/>
  <c r="C65" i="81" s="1"/>
  <c r="C75" i="81"/>
  <c r="C37"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M21" i="81"/>
  <c r="M21" i="15"/>
  <c r="F35" i="81"/>
  <c r="M21" i="67"/>
  <c r="C33" i="43" l="1"/>
  <c r="C34" i="43" s="1"/>
  <c r="E34" i="43" s="1"/>
  <c r="C31" i="43" s="1"/>
  <c r="C118" i="43"/>
  <c r="D116" i="43"/>
  <c r="C32" i="12"/>
  <c r="B2" i="12" s="1"/>
  <c r="B3" i="12" s="1"/>
  <c r="F63" i="81"/>
  <c r="C62" i="81" s="1"/>
  <c r="C59" i="81" s="1"/>
  <c r="C58" i="81" s="1"/>
  <c r="C67" i="81" s="1"/>
  <c r="C68" i="81" s="1"/>
  <c r="C34" i="81"/>
  <c r="C31" i="81" s="1"/>
  <c r="C30" i="81" s="1"/>
  <c r="C39" i="81" s="1"/>
  <c r="J20" i="81"/>
  <c r="J17" i="81" s="1"/>
  <c r="J16" i="81" s="1"/>
  <c r="J25"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40" i="81"/>
  <c r="C46" i="81" s="1"/>
  <c r="Q69" i="81"/>
  <c r="Q68" i="81" s="1"/>
  <c r="C80" i="81"/>
  <c r="C79" i="81" s="1"/>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L51" i="81"/>
  <c r="E2" i="76" l="1"/>
  <c r="B2" i="43"/>
  <c r="Q67" i="81"/>
  <c r="Q65" i="81"/>
  <c r="Q75" i="81" s="1"/>
  <c r="C43" i="81"/>
  <c r="B2" i="81"/>
  <c r="Q47" i="81"/>
  <c r="Q53" i="81" s="1"/>
  <c r="Q56" i="81"/>
  <c r="Q62" i="81" s="1"/>
  <c r="C83" i="81"/>
  <c r="C82" i="81" s="1"/>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B6" i="76"/>
  <c r="D2" i="33"/>
  <c r="C39" i="15" l="1"/>
  <c r="B2" i="76"/>
  <c r="B3" i="76" s="1"/>
  <c r="B3" i="43"/>
  <c r="C6" i="68"/>
  <c r="B3" i="81"/>
  <c r="H1" i="8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7" i="68" l="1"/>
  <c r="C5"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8" i="1"/>
  <c r="AO10" i="1"/>
  <c r="AO11" i="1"/>
  <c r="AO9"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C103" i="9" l="1"/>
  <c r="G20" i="9"/>
  <c r="C32" i="9" s="1"/>
  <c r="C35" i="9" s="1"/>
  <c r="C34" i="9" s="1"/>
  <c r="D118" i="9" s="1"/>
  <c r="D4" i="52" s="1"/>
  <c r="B47" i="72" s="1"/>
  <c r="H118" i="9" l="1"/>
  <c r="I118" i="9" s="1"/>
  <c r="C105" i="9" s="1"/>
  <c r="F118" i="9"/>
  <c r="F119" i="9" s="1"/>
  <c r="F5" i="52" s="1"/>
  <c r="B53" i="72" s="1"/>
  <c r="D119" i="9"/>
  <c r="D5" i="52" s="1"/>
  <c r="B49" i="72" s="1"/>
  <c r="F4" i="52" l="1"/>
  <c r="B51" i="72" s="1"/>
  <c r="G118" i="9"/>
  <c r="G4" i="52" s="1"/>
  <c r="B52" i="72" s="1"/>
  <c r="H119" i="9"/>
  <c r="H5" i="52" s="1"/>
  <c r="C104" i="9"/>
  <c r="H4" i="52"/>
  <c r="I4" i="52"/>
  <c r="H102" i="9"/>
  <c r="D7" i="53" s="1"/>
  <c r="B21" i="72" s="1"/>
  <c r="H101" i="9"/>
  <c r="D45" i="9" s="1"/>
  <c r="D53" i="9" s="1"/>
  <c r="E118" i="9" l="1"/>
  <c r="E4" i="52" s="1"/>
  <c r="B48" i="72" s="1"/>
  <c r="H107" i="9"/>
  <c r="G14" i="74" s="1"/>
  <c r="B6" i="74" s="1"/>
  <c r="D6" i="74" s="1"/>
  <c r="C78" i="9"/>
  <c r="C73" i="9" s="1"/>
  <c r="C64" i="9"/>
  <c r="C63" i="9" s="1"/>
  <c r="C67" i="9" s="1"/>
  <c r="C68" i="9" s="1"/>
  <c r="D54" i="9" s="1"/>
  <c r="D52" i="9"/>
  <c r="D14" i="74"/>
  <c r="B5" i="74" s="1"/>
  <c r="C85" i="9"/>
  <c r="D55" i="9"/>
  <c r="M53" i="9" s="1"/>
  <c r="C72" i="9"/>
  <c r="M48" i="9"/>
  <c r="C93" i="9"/>
  <c r="C86" i="9" s="1"/>
  <c r="D5" i="53"/>
  <c r="C95" i="9" l="1"/>
  <c r="C96" i="9" s="1"/>
  <c r="E96" i="9" s="1"/>
  <c r="E97" i="9" s="1"/>
  <c r="H108" i="9"/>
  <c r="C6" i="74" s="1"/>
  <c r="M49" i="9"/>
  <c r="L67" i="9" s="1"/>
  <c r="M67" i="9" s="1"/>
  <c r="D13" i="53"/>
  <c r="D14" i="53" s="1"/>
  <c r="B32" i="72" s="1"/>
  <c r="F14" i="74"/>
  <c r="E14" i="74"/>
  <c r="D122" i="9"/>
  <c r="D8" i="52" s="1"/>
  <c r="D59" i="9"/>
  <c r="M55" i="9" s="1"/>
  <c r="C79" i="9"/>
  <c r="C80" i="9" s="1"/>
  <c r="E80" i="9" s="1"/>
  <c r="E81" i="9" s="1"/>
  <c r="B20" i="72"/>
  <c r="D6" i="53"/>
  <c r="B22" i="72" s="1"/>
  <c r="B30" i="72"/>
  <c r="D5" i="74"/>
  <c r="C5" i="74"/>
  <c r="C97" i="9"/>
  <c r="D58" i="9" s="1"/>
  <c r="D56" i="9" s="1"/>
  <c r="M54" i="9" s="1"/>
  <c r="D15" i="53" l="1"/>
  <c r="B31" i="72" s="1"/>
  <c r="L65" i="9"/>
  <c r="M65" i="9" s="1"/>
  <c r="L64" i="9"/>
  <c r="M64" i="9" s="1"/>
  <c r="L66" i="9"/>
  <c r="M66" i="9" s="1"/>
  <c r="L68" i="9"/>
  <c r="M68" i="9" s="1"/>
  <c r="L63" i="9"/>
  <c r="M63" i="9" s="1"/>
  <c r="D123" i="9"/>
  <c r="D9" i="52" s="1"/>
  <c r="N57" i="9"/>
  <c r="P57" i="9" s="1"/>
  <c r="C81" i="9"/>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<sst xmlns="http://schemas.openxmlformats.org/spreadsheetml/2006/main" count="13668" uniqueCount="5227">
  <si>
    <t>——</t>
    <phoneticPr fontId="6" type="noConversion"/>
  </si>
  <si>
    <t>——</t>
    <phoneticPr fontId="6" type="noConversion"/>
  </si>
  <si>
    <t>——</t>
    <phoneticPr fontId="6"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</si>
  <si>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</si>
  <si>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</si>
  <si>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</si>
  <si>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</si>
  <si>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</si>
  <si>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</si>
  <si>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</si>
  <si>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</si>
  <si>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</si>
  <si>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</si>
  <si>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</si>
  <si>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</si>
  <si>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</si>
  <si>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</si>
  <si>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</si>
  <si>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</si>
  <si>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</si>
  <si>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</si>
  <si>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办公</t>
  </si>
  <si>
    <t>-</t>
    <phoneticPr fontId="33" type="noConversion"/>
  </si>
  <si>
    <t>-</t>
    <phoneticPr fontId="33" type="noConversion"/>
  </si>
  <si>
    <t>五级</t>
    <phoneticPr fontId="6" type="noConversion"/>
  </si>
  <si>
    <t>六级</t>
    <phoneticPr fontId="6" type="noConversion"/>
  </si>
  <si>
    <t>——</t>
    <phoneticPr fontId="40" type="noConversion"/>
  </si>
  <si>
    <t>——</t>
    <phoneticPr fontId="27" type="noConversion"/>
  </si>
  <si>
    <t>——</t>
    <phoneticPr fontId="1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</si>
  <si>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</si>
  <si>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</si>
  <si>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</si>
  <si>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</si>
  <si>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</si>
  <si>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</si>
  <si>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</si>
  <si>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</si>
  <si>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</si>
  <si>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</si>
  <si>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</si>
  <si>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</si>
  <si>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</si>
  <si>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</si>
  <si>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</si>
  <si>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</si>
  <si>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</si>
  <si>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</si>
  <si>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</si>
  <si>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</si>
  <si>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</si>
  <si>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</si>
  <si>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</si>
  <si>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</si>
  <si>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</si>
  <si>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</si>
  <si>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</si>
  <si>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</si>
  <si>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</si>
  <si>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</si>
  <si>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</si>
  <si>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</si>
  <si>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</si>
  <si>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</si>
  <si>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</si>
  <si>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</si>
  <si>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</si>
  <si>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</si>
  <si>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</si>
  <si>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</si>
  <si>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</si>
  <si>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</si>
  <si>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</si>
  <si>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</si>
  <si>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</si>
  <si>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</si>
  <si>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</si>
  <si>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</si>
  <si>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</si>
  <si>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</si>
  <si>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</si>
  <si>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</si>
  <si>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</si>
  <si>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</si>
  <si>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</si>
  <si>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</si>
  <si>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</si>
  <si>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</si>
  <si>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</si>
  <si>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</si>
  <si>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</si>
  <si>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</si>
  <si>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</si>
  <si>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</si>
  <si>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</si>
  <si>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</si>
  <si>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</si>
  <si>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</si>
  <si>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</si>
  <si>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</si>
  <si>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</si>
  <si>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</si>
  <si>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</si>
  <si>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</si>
  <si>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</si>
  <si>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</si>
  <si>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</si>
  <si>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</si>
  <si>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</si>
  <si>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</si>
  <si>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</si>
  <si>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</si>
  <si>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</si>
  <si>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</si>
  <si>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</si>
  <si>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</si>
  <si>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</si>
  <si>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</si>
  <si>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</si>
  <si>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</si>
  <si>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</si>
  <si>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</si>
  <si>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</si>
  <si>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</si>
  <si>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</si>
  <si>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</si>
  <si>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</si>
  <si>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</si>
  <si>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</si>
  <si>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</si>
  <si>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</si>
  <si>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</si>
  <si>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</si>
  <si>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</si>
  <si>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</si>
  <si>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</si>
  <si>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</si>
  <si>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</si>
  <si>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</si>
  <si>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</si>
  <si>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</si>
  <si>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</si>
  <si>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</si>
  <si>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</si>
  <si>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</si>
  <si>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</si>
  <si>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</si>
  <si>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</si>
  <si>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</si>
  <si>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</si>
  <si>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</si>
  <si>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</si>
  <si>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</si>
  <si>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</si>
  <si>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</si>
  <si>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</si>
  <si>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</si>
  <si>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</si>
  <si>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</si>
  <si>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</si>
  <si>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</si>
  <si>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</si>
  <si>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</si>
  <si>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</si>
  <si>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</si>
  <si>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</si>
  <si>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</si>
  <si>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</si>
  <si>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</si>
  <si>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</si>
  <si>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</si>
  <si>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</si>
  <si>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</si>
  <si>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</si>
  <si>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</si>
  <si>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</si>
  <si>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</si>
  <si>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</si>
  <si>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</si>
  <si>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</si>
  <si>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</si>
  <si>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</si>
  <si>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</si>
  <si>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</si>
  <si>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</si>
  <si>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</si>
  <si>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</si>
  <si>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</si>
  <si>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</si>
  <si>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</si>
  <si>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</si>
  <si>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</si>
  <si>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</si>
  <si>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</si>
  <si>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</si>
  <si>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</si>
  <si>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</si>
  <si>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</si>
  <si>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</si>
  <si>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</si>
  <si>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</si>
  <si>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</si>
  <si>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</si>
  <si>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</si>
  <si>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</si>
  <si>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</si>
  <si>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</si>
  <si>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</si>
  <si>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</si>
  <si>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</si>
  <si>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</si>
  <si>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</si>
  <si>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</si>
  <si>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</si>
  <si>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</si>
  <si>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</si>
  <si>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</si>
  <si>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</si>
  <si>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</si>
  <si>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</si>
  <si>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</si>
  <si>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</si>
  <si>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</si>
  <si>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</si>
  <si>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</si>
  <si>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</si>
  <si>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</si>
  <si>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</si>
  <si>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</si>
  <si>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</si>
  <si>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</si>
  <si>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</si>
  <si>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</si>
  <si>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</si>
  <si>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</si>
  <si>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</si>
  <si>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</si>
  <si>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</si>
  <si>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</si>
  <si>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</si>
  <si>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</si>
  <si>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</si>
  <si>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</si>
  <si>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</si>
  <si>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</si>
  <si>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</si>
  <si>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</si>
  <si>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</si>
  <si>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</si>
  <si>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</si>
  <si>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</si>
  <si>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</si>
  <si>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</si>
  <si>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</si>
  <si>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</si>
  <si>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</si>
  <si>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</si>
  <si>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</si>
  <si>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</si>
  <si>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</si>
  <si>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</si>
  <si>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</si>
  <si>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</si>
  <si>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</si>
  <si>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</si>
  <si>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</si>
  <si>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</si>
  <si>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</si>
  <si>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</si>
  <si>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</si>
  <si>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</si>
  <si>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</si>
  <si>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</si>
  <si>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</si>
  <si>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</si>
  <si>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</si>
  <si>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</si>
  <si>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</si>
  <si>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</si>
  <si>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</si>
  <si>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</si>
  <si>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</si>
  <si>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</si>
  <si>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</si>
  <si>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</si>
  <si>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</si>
  <si>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</si>
  <si>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</si>
  <si>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</si>
  <si>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</si>
  <si>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</si>
  <si>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</si>
  <si>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</si>
  <si>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</si>
  <si>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</si>
  <si>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</si>
  <si>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</si>
  <si>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</si>
  <si>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</si>
  <si>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</si>
  <si>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</si>
  <si>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</si>
  <si>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</si>
  <si>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</si>
  <si>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</si>
  <si>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</si>
  <si>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</si>
  <si>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</si>
  <si>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</si>
  <si>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6" type="noConversion"/>
  </si>
  <si>
    <t>区域土地利用方向</t>
    <phoneticPr fontId="46" type="noConversion"/>
  </si>
  <si>
    <r>
      <rPr>
        <sz val="10"/>
        <color indexed="8"/>
        <rFont val="宋体"/>
        <family val="3"/>
        <charset val="134"/>
      </rPr>
      <t>修正系数</t>
    </r>
    <phoneticPr fontId="79"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</si>
  <si>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</si>
  <si>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</si>
  <si>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</si>
  <si>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</si>
  <si>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</si>
  <si>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</si>
  <si>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</si>
  <si>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</si>
  <si>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</si>
  <si>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</si>
  <si>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</si>
  <si>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</si>
  <si>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</si>
  <si>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</si>
  <si>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</si>
  <si>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</si>
  <si>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</si>
  <si>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</si>
  <si>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</si>
  <si>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</si>
  <si>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</si>
  <si>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</si>
  <si>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</si>
  <si>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</si>
  <si>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</si>
  <si>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</si>
  <si>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</si>
  <si>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</si>
  <si>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</si>
  <si>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</si>
  <si>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</si>
  <si>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</si>
  <si>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</si>
  <si>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</si>
  <si>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</si>
  <si>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</si>
  <si>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</si>
  <si>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</si>
  <si>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</si>
  <si>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</si>
  <si>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</si>
  <si>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</si>
  <si>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</si>
  <si>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</si>
  <si>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</si>
  <si>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</si>
  <si>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</si>
  <si>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</si>
  <si>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</si>
  <si>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</si>
  <si>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</si>
  <si>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79" type="noConversion"/>
  </si>
  <si>
    <t>2.</t>
    <phoneticPr fontId="79" type="noConversion"/>
  </si>
  <si>
    <t>3.</t>
    <phoneticPr fontId="79" type="noConversion"/>
  </si>
  <si>
    <t>4.</t>
    <phoneticPr fontId="6" type="noConversion"/>
  </si>
  <si>
    <t>5.</t>
    <phoneticPr fontId="6" type="noConversion"/>
  </si>
  <si>
    <t>6.</t>
    <phoneticPr fontId="6" type="noConversion"/>
  </si>
  <si>
    <t>7.</t>
    <phoneticPr fontId="6" type="noConversion"/>
  </si>
  <si>
    <t>十一级</t>
  </si>
  <si>
    <t>十二级</t>
  </si>
  <si>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</si>
  <si>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</si>
  <si>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</si>
  <si>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</si>
  <si>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</si>
  <si>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</si>
  <si>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</si>
  <si>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</si>
  <si>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</si>
  <si>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</si>
  <si>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</si>
  <si>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</si>
  <si>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</si>
  <si>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</si>
  <si>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</si>
  <si>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</si>
  <si>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</si>
  <si>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</si>
  <si>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9" type="noConversion"/>
  </si>
  <si>
    <t>XX</t>
  </si>
  <si>
    <t>附表：</t>
    <phoneticPr fontId="94"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</si>
  <si>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</si>
  <si>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</si>
  <si>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</si>
  <si>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</si>
  <si>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</si>
  <si>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</si>
  <si>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</si>
  <si>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</si>
  <si>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</si>
  <si>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</si>
  <si>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</si>
  <si>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</si>
  <si>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</si>
  <si>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</si>
  <si>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</si>
  <si>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</si>
  <si>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</si>
  <si>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</si>
  <si>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</si>
  <si>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</si>
  <si>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</si>
  <si>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</si>
  <si>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</si>
  <si>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</si>
  <si>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</si>
  <si>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</si>
  <si>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</si>
  <si>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</si>
  <si>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</si>
  <si>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</si>
  <si>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</si>
  <si>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</si>
  <si>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</si>
  <si>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</si>
  <si>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</si>
  <si>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</si>
  <si>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</si>
  <si>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</si>
  <si>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</si>
  <si>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</si>
  <si>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</si>
  <si>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</si>
  <si>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</si>
  <si>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</si>
  <si>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</si>
  <si>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</si>
  <si>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</si>
  <si>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</si>
  <si>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</si>
  <si>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</si>
  <si>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</si>
  <si>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</si>
  <si>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</si>
  <si>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</si>
  <si>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</si>
  <si>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</si>
  <si>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</si>
  <si>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</si>
  <si>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</si>
  <si>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</si>
  <si>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</si>
  <si>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</si>
  <si>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</si>
  <si>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</si>
  <si>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</si>
  <si>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</si>
  <si>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</si>
  <si>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</si>
  <si>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</si>
  <si>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</si>
  <si>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</si>
  <si>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</si>
  <si>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</si>
  <si>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</si>
  <si>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</si>
  <si>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</si>
  <si>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</si>
  <si>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</si>
  <si>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</si>
  <si>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</si>
  <si>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</si>
  <si>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</si>
  <si>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</si>
  <si>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</si>
  <si>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</si>
  <si>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</si>
  <si>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</si>
  <si>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</si>
  <si>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</si>
  <si>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</si>
  <si>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</si>
  <si>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</si>
  <si>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</si>
  <si>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</si>
  <si>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</si>
  <si>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</si>
  <si>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</si>
  <si>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</si>
  <si>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</si>
  <si>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</si>
  <si>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</si>
  <si>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</si>
  <si>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</si>
  <si>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</si>
  <si>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</si>
  <si>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</si>
  <si>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</si>
  <si>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</si>
  <si>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</si>
  <si>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</si>
  <si>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</si>
  <si>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</si>
  <si>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</si>
  <si>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</si>
  <si>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</si>
  <si>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</si>
  <si>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</si>
  <si>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</si>
  <si>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</si>
  <si>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</si>
  <si>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</si>
  <si>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</si>
  <si>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</si>
  <si>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</si>
  <si>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</si>
  <si>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</si>
  <si>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</si>
  <si>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</si>
  <si>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</si>
  <si>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</si>
  <si>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</si>
  <si>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</si>
  <si>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</si>
  <si>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</si>
  <si>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</si>
  <si>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</si>
  <si>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</si>
  <si>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</si>
  <si>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</si>
  <si>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</si>
  <si>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</si>
  <si>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</si>
  <si>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</si>
  <si>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</si>
  <si>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</si>
  <si>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</si>
  <si>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</si>
  <si>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</si>
  <si>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</si>
  <si>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</si>
  <si>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</si>
  <si>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</si>
  <si>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</si>
  <si>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</si>
  <si>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</si>
  <si>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</si>
  <si>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</si>
  <si>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</si>
  <si>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</si>
  <si>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</si>
  <si>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</si>
  <si>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</si>
  <si>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</si>
  <si>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</si>
  <si>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</si>
  <si>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</si>
  <si>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</si>
  <si>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</si>
  <si>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</si>
  <si>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</si>
  <si>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</si>
  <si>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</si>
  <si>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</si>
  <si>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</si>
  <si>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</si>
  <si>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</si>
  <si>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</si>
  <si>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</si>
  <si>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</si>
  <si>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</si>
  <si>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</si>
  <si>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</si>
  <si>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</si>
  <si>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</si>
  <si>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</si>
  <si>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</si>
  <si>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</si>
  <si>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</si>
  <si>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</si>
  <si>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</si>
  <si>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</si>
  <si>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</si>
  <si>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</si>
  <si>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</si>
  <si>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</si>
  <si>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</si>
  <si>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</si>
  <si>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</si>
  <si>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</si>
  <si>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</si>
  <si>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</si>
  <si>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</si>
  <si>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</si>
  <si>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</si>
  <si>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</si>
  <si>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</si>
  <si>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</si>
  <si>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</si>
  <si>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</si>
  <si>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</si>
  <si>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6" type="noConversion"/>
  </si>
  <si>
    <t>开发期</t>
    <phoneticPr fontId="137" type="noConversion"/>
  </si>
  <si>
    <t>贷款利率</t>
    <phoneticPr fontId="6" type="noConversion"/>
  </si>
  <si>
    <t>贷款利率</t>
    <phoneticPr fontId="137" type="noConversion"/>
  </si>
  <si>
    <t>存款利率</t>
    <phoneticPr fontId="13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</si>
  <si>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</si>
  <si>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</si>
  <si>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</si>
  <si>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</si>
  <si>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</si>
  <si>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</si>
  <si>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</si>
  <si>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</si>
  <si>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</si>
  <si>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</si>
  <si>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</si>
  <si>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</si>
  <si>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</si>
  <si>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</si>
  <si>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</si>
  <si>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</si>
  <si>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</si>
  <si>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</si>
  <si>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</si>
  <si>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</si>
  <si>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</si>
  <si>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</si>
  <si>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</si>
  <si>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</si>
  <si>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</si>
  <si>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</si>
  <si>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</si>
  <si>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</si>
  <si>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</si>
  <si>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</si>
  <si>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</si>
  <si>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</si>
  <si>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</si>
  <si>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</si>
  <si>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</si>
  <si>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</si>
  <si>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</si>
  <si>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</si>
  <si>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</si>
  <si>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</si>
  <si>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</si>
  <si>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</si>
  <si>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</si>
  <si>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</si>
  <si>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</si>
  <si>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</si>
  <si>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</si>
  <si>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</si>
  <si>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</si>
  <si>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</si>
  <si>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</si>
  <si>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</si>
  <si>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</si>
  <si>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</si>
  <si>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</si>
  <si>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</si>
  <si>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</si>
  <si>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</si>
  <si>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</si>
  <si>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</si>
  <si>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</si>
  <si>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</si>
  <si>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</si>
  <si>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</si>
  <si>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</si>
  <si>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用途</t>
  </si>
  <si>
    <t>商业</t>
  </si>
  <si>
    <t>居住</t>
  </si>
  <si>
    <t>土地级别</t>
  </si>
  <si>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</si>
  <si>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</si>
  <si>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</si>
  <si>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</si>
  <si>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</si>
  <si>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</si>
  <si>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</si>
  <si>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</si>
  <si>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</si>
  <si>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</si>
  <si>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</si>
  <si>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</si>
  <si>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</si>
  <si>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</si>
  <si>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</si>
  <si>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</si>
  <si>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</si>
  <si>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</si>
  <si>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</si>
  <si>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</si>
  <si>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</si>
  <si>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</si>
  <si>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</si>
  <si>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</si>
  <si>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</si>
  <si>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</si>
  <si>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</si>
  <si>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</si>
  <si>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</si>
  <si>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</si>
  <si>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</si>
  <si>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</si>
  <si>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</si>
  <si>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</si>
  <si>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</si>
  <si>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</si>
  <si>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</si>
  <si>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</si>
  <si>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</si>
  <si>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</si>
  <si>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</si>
  <si>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</si>
  <si>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</si>
  <si>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</si>
  <si>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</si>
  <si>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</si>
  <si>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</si>
  <si>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</si>
  <si>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</si>
  <si>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</si>
  <si>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</si>
  <si>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</si>
  <si>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</si>
  <si>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</si>
  <si>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</si>
  <si>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</si>
  <si>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</si>
  <si>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</si>
  <si>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</si>
  <si>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</si>
  <si>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</si>
  <si>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</si>
  <si>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</si>
  <si>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</si>
  <si>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</si>
  <si>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</si>
  <si>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</si>
  <si>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</si>
  <si>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</si>
  <si>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</si>
  <si>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</si>
  <si>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</si>
  <si>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</si>
  <si>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</si>
  <si>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</si>
  <si>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</si>
  <si>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</si>
  <si>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</si>
  <si>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</si>
  <si>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</si>
  <si>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</si>
  <si>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</si>
  <si>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</si>
  <si>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</si>
  <si>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</si>
  <si>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</si>
  <si>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</si>
  <si>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</si>
  <si>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</si>
  <si>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</si>
  <si>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</si>
  <si>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</si>
  <si>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</si>
  <si>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</si>
  <si>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</si>
  <si>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</si>
  <si>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</si>
  <si>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</si>
  <si>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</si>
  <si>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</si>
  <si>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</si>
  <si>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</si>
  <si>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</si>
  <si>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</si>
  <si>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</si>
  <si>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</si>
  <si>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</si>
  <si>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</si>
  <si>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</si>
  <si>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</si>
  <si>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</si>
  <si>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</si>
  <si>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</si>
  <si>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</si>
  <si>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</si>
  <si>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</si>
  <si>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</si>
  <si>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</si>
  <si>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</si>
  <si>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</si>
  <si>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</si>
  <si>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</si>
  <si>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</si>
  <si>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</si>
  <si>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</si>
  <si>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</si>
  <si>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</si>
  <si>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</si>
  <si>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</si>
  <si>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</si>
  <si>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</si>
  <si>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</si>
  <si>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</si>
  <si>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</si>
  <si>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</si>
  <si>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</si>
  <si>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</si>
  <si>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</si>
  <si>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</si>
  <si>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</si>
  <si>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</si>
  <si>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</si>
  <si>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</si>
  <si>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</si>
  <si>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</si>
  <si>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</si>
  <si>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</si>
  <si>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</si>
  <si>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</si>
  <si>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</si>
  <si>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</si>
  <si>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</si>
  <si>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</si>
  <si>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</si>
  <si>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</si>
  <si>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</si>
  <si>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</si>
  <si>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</si>
  <si>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</si>
  <si>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</si>
  <si>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</si>
  <si>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</si>
  <si>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</si>
  <si>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</si>
  <si>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</si>
  <si>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</si>
  <si>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</si>
  <si>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</si>
  <si>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</si>
  <si>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</si>
  <si>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</si>
  <si>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</si>
  <si>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</si>
  <si>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</si>
  <si>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</si>
  <si>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</si>
  <si>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</si>
  <si>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</si>
  <si>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</si>
  <si>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</si>
  <si>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</si>
  <si>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</si>
  <si>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</si>
  <si>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</si>
  <si>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</si>
  <si>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</si>
  <si>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</si>
  <si>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</si>
  <si>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</si>
  <si>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</si>
  <si>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</si>
  <si>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</si>
  <si>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</si>
  <si>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</si>
  <si>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</si>
  <si>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</si>
  <si>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</si>
  <si>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</si>
  <si>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</si>
  <si>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</si>
  <si>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</si>
  <si>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</si>
  <si>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</si>
  <si>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</si>
  <si>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0"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</si>
  <si>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</si>
  <si>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</si>
  <si>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</si>
  <si>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</si>
  <si>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</si>
  <si>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</si>
  <si>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</si>
  <si>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</si>
  <si>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</si>
  <si>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</si>
  <si>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</si>
  <si>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</si>
  <si>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</si>
  <si>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</si>
  <si>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</si>
  <si>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</si>
  <si>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</si>
  <si>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</si>
  <si>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</si>
  <si>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</si>
  <si>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</si>
  <si>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</si>
  <si>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</si>
  <si>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</si>
  <si>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</si>
  <si>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</si>
  <si>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</si>
  <si>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</si>
  <si>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</si>
  <si>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</si>
  <si>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</si>
  <si>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</si>
  <si>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</si>
  <si>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</si>
  <si>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</si>
  <si>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</si>
  <si>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</si>
  <si>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</si>
  <si>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</si>
  <si>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</si>
  <si>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</si>
  <si>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</si>
  <si>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</si>
  <si>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</si>
  <si>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</si>
  <si>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</si>
  <si>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</si>
  <si>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</si>
  <si>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</si>
  <si>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</si>
  <si>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</si>
  <si>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</si>
  <si>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</si>
  <si>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</si>
  <si>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</si>
  <si>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</si>
  <si>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</si>
  <si>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</si>
  <si>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</si>
  <si>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</si>
  <si>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</si>
  <si>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</si>
  <si>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</si>
  <si>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</si>
  <si>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</si>
  <si>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</si>
  <si>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</si>
  <si>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</si>
  <si>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</si>
  <si>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</si>
  <si>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</si>
  <si>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</si>
  <si>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</si>
  <si>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</si>
  <si>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</si>
  <si>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</si>
  <si>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</si>
  <si>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</si>
  <si>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</si>
  <si>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</si>
  <si>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</si>
  <si>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</si>
  <si>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</si>
  <si>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</si>
  <si>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</si>
  <si>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</si>
  <si>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</si>
  <si>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</si>
  <si>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</si>
  <si>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</si>
  <si>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</si>
  <si>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</si>
  <si>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</si>
  <si>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</si>
  <si>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</si>
  <si>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</si>
  <si>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</si>
  <si>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</si>
  <si>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</si>
  <si>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</si>
  <si>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</si>
  <si>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</si>
  <si>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</si>
  <si>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</si>
  <si>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</si>
  <si>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</si>
  <si>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</si>
  <si>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</si>
  <si>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</si>
  <si>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6"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</si>
  <si>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</si>
  <si>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</si>
  <si>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</si>
  <si>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</si>
  <si>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</si>
  <si>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</si>
  <si>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</si>
  <si>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</si>
  <si>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</si>
  <si>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</si>
  <si>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</si>
  <si>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</si>
  <si>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</si>
  <si>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</si>
  <si>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</si>
  <si>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</si>
  <si>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</si>
  <si>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</si>
  <si>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</si>
  <si>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</si>
  <si>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</si>
  <si>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</si>
  <si>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</si>
  <si>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</si>
  <si>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</si>
  <si>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</si>
  <si>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</si>
  <si>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</si>
  <si>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</si>
  <si>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</si>
  <si>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</si>
  <si>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</si>
  <si>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</si>
  <si>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</si>
  <si>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</si>
  <si>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</si>
  <si>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</si>
  <si>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</si>
  <si>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</si>
  <si>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</si>
  <si>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</si>
  <si>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</si>
  <si>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</si>
  <si>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</si>
  <si>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</si>
  <si>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</si>
  <si>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</si>
  <si>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</si>
  <si>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</si>
  <si>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</si>
  <si>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</si>
  <si>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</si>
  <si>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</si>
  <si>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</si>
  <si>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</si>
  <si>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</si>
  <si>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</si>
  <si>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</si>
  <si>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</si>
  <si>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</si>
  <si>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</si>
  <si>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</si>
  <si>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</si>
  <si>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</si>
  <si>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</si>
  <si>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</si>
  <si>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</si>
  <si>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</si>
  <si>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</si>
  <si>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</si>
  <si>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</si>
  <si>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</si>
  <si>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</si>
  <si>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</si>
  <si>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</si>
  <si>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</si>
  <si>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</si>
  <si>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</si>
  <si>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</si>
  <si>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</si>
  <si>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</si>
  <si>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</si>
  <si>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</si>
  <si>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</si>
  <si>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</si>
  <si>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</si>
  <si>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</si>
  <si>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</si>
  <si>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</si>
  <si>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</si>
  <si>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</si>
  <si>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</si>
  <si>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</si>
  <si>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</si>
  <si>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</si>
  <si>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</si>
  <si>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</si>
  <si>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</si>
  <si>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</si>
  <si>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</si>
  <si>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</si>
  <si>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</si>
  <si>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</si>
  <si>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</si>
  <si>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</si>
  <si>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</si>
  <si>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</si>
  <si>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</si>
  <si>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</si>
  <si>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</si>
  <si>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</si>
  <si>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</si>
  <si>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</si>
  <si>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</si>
  <si>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</si>
  <si>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</si>
  <si>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</si>
  <si>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</si>
  <si>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</si>
  <si>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</si>
  <si>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</si>
  <si>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</si>
  <si>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</si>
  <si>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</si>
  <si>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</si>
  <si>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</si>
  <si>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</si>
  <si>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</si>
  <si>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</si>
  <si>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</si>
  <si>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</si>
  <si>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</si>
  <si>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</si>
  <si>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</si>
  <si>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</si>
  <si>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</si>
  <si>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</si>
  <si>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</si>
  <si>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</si>
  <si>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</si>
  <si>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</si>
  <si>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</si>
  <si>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</si>
  <si>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</si>
  <si>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</si>
  <si>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</si>
  <si>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</si>
  <si>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</si>
  <si>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</si>
  <si>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</si>
  <si>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</si>
  <si>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</si>
  <si>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</si>
  <si>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</si>
  <si>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</si>
  <si>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</si>
  <si>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</si>
  <si>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</si>
  <si>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</si>
  <si>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</si>
  <si>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</si>
  <si>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</si>
  <si>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</si>
  <si>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</si>
  <si>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</si>
  <si>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</si>
  <si>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</si>
  <si>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</si>
  <si>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</si>
  <si>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</si>
  <si>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</si>
  <si>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</si>
  <si>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</si>
  <si>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</si>
  <si>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</si>
  <si>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</si>
  <si>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</si>
  <si>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</si>
  <si>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</si>
  <si>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</si>
  <si>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</si>
  <si>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</si>
  <si>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</si>
  <si>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</si>
  <si>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</si>
  <si>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</si>
  <si>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</si>
  <si>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</si>
  <si>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</si>
  <si>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</si>
  <si>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</si>
  <si>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</si>
  <si>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</si>
  <si>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</si>
  <si>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</si>
  <si>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</si>
  <si>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</si>
  <si>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</si>
  <si>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</si>
  <si>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</si>
  <si>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</si>
  <si>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</si>
  <si>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</si>
  <si>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</si>
  <si>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</si>
  <si>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</si>
  <si>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</si>
  <si>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</si>
  <si>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</si>
  <si>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</si>
  <si>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</si>
  <si>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</si>
  <si>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</si>
  <si>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</si>
  <si>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</si>
  <si>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</si>
  <si>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</si>
  <si>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</si>
  <si>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</si>
  <si>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</si>
  <si>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</si>
  <si>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</si>
  <si>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</si>
  <si>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</si>
  <si>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</si>
  <si>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</si>
  <si>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</si>
  <si>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</si>
  <si>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</si>
  <si>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</si>
  <si>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</si>
  <si>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</si>
  <si>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</si>
  <si>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</si>
  <si>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</si>
  <si>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</si>
  <si>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</si>
  <si>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</si>
  <si>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</si>
  <si>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</si>
  <si>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</si>
  <si>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</si>
  <si>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</si>
  <si>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</si>
  <si>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</si>
  <si>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</si>
  <si>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</si>
  <si>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</si>
  <si>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</si>
  <si>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</si>
  <si>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</si>
  <si>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</si>
  <si>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</si>
  <si>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</si>
  <si>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</si>
  <si>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</si>
  <si>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</si>
  <si>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</si>
  <si>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</si>
  <si>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</si>
  <si>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</si>
  <si>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</si>
  <si>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</si>
  <si>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</si>
  <si>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</si>
  <si>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</si>
  <si>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</si>
  <si>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</si>
  <si>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</si>
  <si>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</si>
  <si>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</si>
  <si>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</si>
  <si>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</si>
  <si>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</si>
  <si>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</si>
  <si>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</si>
  <si>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</si>
  <si>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</si>
  <si>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</si>
  <si>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</si>
  <si>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</si>
  <si>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</si>
  <si>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</si>
  <si>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</si>
  <si>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</si>
  <si>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</si>
  <si>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</si>
  <si>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</si>
  <si>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</si>
  <si>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</si>
  <si>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</si>
  <si>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</si>
  <si>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</si>
  <si>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</si>
  <si>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</si>
  <si>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</si>
  <si>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</si>
  <si>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</si>
  <si>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</si>
  <si>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</si>
  <si>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</si>
  <si>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</si>
  <si>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</si>
  <si>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</si>
  <si>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</si>
  <si>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</si>
  <si>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</si>
  <si>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</si>
  <si>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</si>
  <si>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</si>
  <si>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</si>
  <si>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</si>
  <si>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</si>
  <si>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</si>
  <si>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</si>
  <si>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</si>
  <si>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</si>
  <si>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11" type="noConversion"/>
  </si>
  <si>
    <r>
      <rPr>
        <sz val="10"/>
        <color indexed="8"/>
        <rFont val="宋体"/>
        <family val="3"/>
        <charset val="134"/>
      </rPr>
      <t>土地价值</t>
    </r>
    <phoneticPr fontId="91" type="noConversion"/>
  </si>
  <si>
    <r>
      <rPr>
        <sz val="11"/>
        <color indexed="8"/>
        <rFont val="宋体"/>
        <family val="3"/>
        <charset val="134"/>
      </rPr>
      <t>建筑物价值</t>
    </r>
    <phoneticPr fontId="11"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</si>
  <si>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</si>
  <si>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</si>
  <si>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</si>
  <si>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</si>
  <si>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</si>
  <si>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</si>
  <si>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</si>
  <si>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</si>
  <si>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</si>
  <si>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</si>
  <si>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</si>
  <si>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</si>
  <si>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</si>
  <si>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</si>
  <si>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</si>
  <si>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</si>
  <si>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</si>
  <si>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</si>
  <si>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</si>
  <si>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</si>
  <si>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</si>
  <si>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</si>
  <si>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</si>
  <si>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</si>
  <si>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</si>
  <si>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</si>
  <si>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</si>
  <si>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</si>
  <si>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</si>
  <si>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</si>
  <si>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</si>
  <si>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</si>
  <si>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</si>
  <si>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</si>
  <si>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</si>
  <si>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</si>
  <si>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</si>
  <si>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</si>
  <si>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</si>
  <si>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</si>
  <si>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</si>
  <si>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</si>
  <si>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</si>
  <si>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</si>
  <si>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</si>
  <si>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</si>
  <si>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</si>
  <si>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</si>
  <si>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</si>
  <si>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</si>
  <si>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</si>
  <si>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</si>
  <si>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</si>
  <si>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</si>
  <si>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</si>
  <si>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</si>
  <si>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</si>
  <si>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</si>
  <si>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</si>
  <si>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</si>
  <si>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</si>
  <si>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</si>
  <si>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</si>
  <si>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1"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</si>
  <si>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</si>
  <si>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</si>
  <si>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</si>
  <si>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</si>
  <si>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</si>
  <si>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</si>
  <si>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</si>
  <si>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</si>
  <si>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</si>
  <si>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</si>
  <si>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</si>
  <si>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</si>
  <si>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</si>
  <si>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</si>
  <si>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</si>
  <si>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</si>
  <si>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</si>
  <si>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</si>
  <si>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</si>
  <si>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</si>
  <si>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</si>
  <si>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</si>
  <si>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</si>
  <si>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</si>
  <si>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</si>
  <si>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</si>
  <si>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</si>
  <si>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</si>
  <si>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</si>
  <si>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</si>
  <si>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</si>
  <si>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</si>
  <si>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</si>
  <si>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</si>
  <si>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</si>
  <si>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</si>
  <si>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</si>
  <si>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</si>
  <si>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</si>
  <si>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</si>
  <si>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</si>
  <si>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</si>
  <si>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</si>
  <si>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</si>
  <si>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</si>
  <si>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</si>
  <si>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</si>
  <si>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</si>
  <si>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</si>
  <si>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</si>
  <si>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</si>
  <si>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</si>
  <si>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</si>
  <si>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</si>
  <si>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</si>
  <si>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</si>
  <si>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</si>
  <si>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</si>
  <si>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</si>
  <si>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</si>
  <si>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</si>
  <si>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</si>
  <si>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</si>
  <si>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</si>
  <si>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</si>
  <si>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</si>
  <si>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</si>
  <si>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</si>
  <si>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</si>
  <si>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</si>
  <si>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</si>
  <si>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</si>
  <si>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</si>
  <si>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</si>
  <si>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</si>
  <si>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</si>
  <si>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</si>
  <si>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</si>
  <si>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</si>
  <si>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</si>
  <si>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</si>
  <si>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</si>
  <si>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</si>
  <si>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</si>
  <si>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</si>
  <si>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</si>
  <si>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</si>
  <si>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</si>
  <si>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</si>
  <si>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</si>
  <si>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</si>
  <si>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</si>
  <si>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</si>
  <si>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</si>
  <si>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</si>
  <si>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</si>
  <si>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</si>
  <si>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</si>
  <si>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</si>
  <si>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</si>
  <si>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</si>
  <si>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</si>
  <si>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</si>
  <si>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</si>
  <si>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37"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</si>
  <si>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</si>
  <si>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</si>
  <si>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</si>
  <si>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</si>
  <si>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</si>
  <si>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</si>
  <si>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</si>
  <si>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</si>
  <si>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</si>
  <si>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</si>
  <si>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</si>
  <si>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</si>
  <si>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</si>
  <si>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</si>
  <si>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</si>
  <si>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</si>
  <si>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</si>
  <si>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</si>
  <si>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</si>
  <si>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</si>
  <si>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</si>
  <si>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</si>
  <si>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</si>
  <si>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</si>
  <si>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</si>
  <si>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</si>
  <si>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</si>
  <si>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</si>
  <si>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</si>
  <si>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</si>
  <si>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</si>
  <si>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</si>
  <si>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</si>
  <si>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</si>
  <si>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</si>
  <si>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</si>
  <si>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</si>
  <si>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</si>
  <si>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</si>
  <si>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</si>
  <si>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</si>
  <si>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</si>
  <si>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</si>
  <si>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</si>
  <si>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</si>
  <si>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</si>
  <si>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</si>
  <si>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</si>
  <si>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</si>
  <si>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</si>
  <si>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</si>
  <si>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</si>
  <si>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</si>
  <si>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</si>
  <si>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</si>
  <si>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</si>
  <si>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</si>
  <si>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</si>
  <si>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</si>
  <si>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</si>
  <si>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</si>
  <si>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</si>
  <si>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</si>
  <si>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</si>
  <si>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</si>
  <si>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</si>
  <si>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</si>
  <si>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</si>
  <si>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</si>
  <si>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</si>
  <si>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</si>
  <si>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</si>
  <si>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</si>
  <si>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</si>
  <si>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</si>
  <si>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</si>
  <si>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</si>
  <si>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</si>
  <si>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</si>
  <si>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</si>
  <si>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</si>
  <si>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</si>
  <si>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</si>
  <si>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37"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</si>
  <si>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</si>
  <si>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</si>
  <si>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</si>
  <si>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</si>
  <si>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</si>
  <si>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</si>
  <si>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</si>
  <si>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</si>
  <si>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</si>
  <si>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</si>
  <si>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</si>
  <si>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</si>
  <si>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</si>
  <si>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</si>
  <si>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</si>
  <si>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</si>
  <si>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</si>
  <si>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</si>
  <si>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</si>
  <si>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</si>
  <si>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</si>
  <si>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</si>
  <si>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</si>
  <si>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</si>
  <si>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</si>
  <si>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</si>
  <si>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</si>
  <si>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</si>
  <si>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</si>
  <si>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</si>
  <si>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</si>
  <si>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</si>
  <si>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</si>
  <si>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</si>
  <si>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</si>
  <si>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</si>
  <si>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</si>
  <si>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</si>
  <si>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</si>
  <si>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</si>
  <si>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</si>
  <si>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</si>
  <si>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</si>
  <si>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</si>
  <si>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</si>
  <si>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</si>
  <si>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</si>
  <si>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</si>
  <si>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</si>
  <si>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</si>
  <si>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</si>
  <si>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</si>
  <si>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</si>
  <si>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</si>
  <si>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</si>
  <si>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</si>
  <si>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</si>
  <si>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</si>
  <si>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</si>
  <si>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</si>
  <si>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</si>
  <si>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</si>
  <si>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</si>
  <si>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</si>
  <si>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</si>
  <si>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</si>
  <si>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</si>
  <si>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</si>
  <si>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</si>
  <si>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</si>
  <si>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</si>
  <si>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</si>
  <si>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</si>
  <si>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</si>
  <si>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</si>
  <si>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</si>
  <si>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</si>
  <si>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</si>
  <si>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</si>
  <si>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</si>
  <si>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</si>
  <si>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</si>
  <si>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</si>
  <si>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</si>
  <si>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</si>
  <si>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</si>
  <si>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</si>
  <si>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</si>
  <si>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</si>
  <si>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</si>
  <si>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</si>
  <si>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</si>
  <si>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</si>
  <si>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</si>
  <si>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</si>
  <si>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</si>
  <si>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</si>
  <si>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</si>
  <si>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</si>
  <si>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</si>
  <si>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1"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</si>
  <si>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</si>
  <si>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</si>
  <si>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</si>
  <si>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</si>
  <si>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</si>
  <si>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</si>
  <si>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</si>
  <si>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</si>
  <si>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</si>
  <si>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</si>
  <si>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</si>
  <si>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</si>
  <si>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</si>
  <si>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</si>
  <si>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</si>
  <si>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</si>
  <si>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</si>
  <si>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</si>
  <si>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</si>
  <si>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</si>
  <si>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</si>
  <si>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</si>
  <si>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</si>
  <si>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</si>
  <si>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</si>
  <si>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</si>
  <si>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</si>
  <si>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</si>
  <si>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</si>
  <si>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</si>
  <si>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</si>
  <si>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</si>
  <si>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</si>
  <si>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</si>
  <si>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</si>
  <si>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</si>
  <si>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</si>
  <si>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</si>
  <si>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</si>
  <si>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</si>
  <si>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</si>
  <si>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</si>
  <si>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</si>
  <si>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</si>
  <si>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</si>
  <si>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</si>
  <si>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</si>
  <si>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</si>
  <si>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</si>
  <si>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</si>
  <si>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</si>
  <si>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</si>
  <si>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6" type="noConversion"/>
  </si>
  <si>
    <r>
      <rPr>
        <sz val="11"/>
        <color indexed="8"/>
        <rFont val="宋体"/>
        <family val="3"/>
        <charset val="134"/>
      </rPr>
      <t>正常</t>
    </r>
    <phoneticPr fontId="27" type="noConversion"/>
  </si>
  <si>
    <r>
      <rPr>
        <b/>
        <sz val="11"/>
        <rFont val="宋体"/>
        <family val="3"/>
        <charset val="134"/>
      </rPr>
      <t>权益状况</t>
    </r>
    <phoneticPr fontId="6"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</si>
  <si>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</si>
  <si>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</si>
  <si>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</si>
  <si>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</si>
  <si>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</si>
  <si>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</si>
  <si>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</si>
  <si>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</si>
  <si>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</si>
  <si>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</si>
  <si>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</si>
  <si>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</si>
  <si>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</si>
  <si>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</si>
  <si>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</si>
  <si>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</si>
  <si>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</si>
  <si>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</si>
  <si>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</si>
  <si>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</si>
  <si>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</si>
  <si>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</si>
  <si>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</si>
  <si>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</si>
  <si>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</si>
  <si>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</si>
  <si>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</si>
  <si>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</si>
  <si>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</si>
  <si>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</si>
  <si>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</si>
  <si>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</si>
  <si>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</si>
  <si>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</si>
  <si>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</si>
  <si>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</si>
  <si>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</si>
  <si>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</si>
  <si>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</si>
  <si>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</si>
  <si>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</si>
  <si>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</si>
  <si>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</si>
  <si>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</si>
  <si>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</si>
  <si>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</si>
  <si>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</si>
  <si>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</si>
  <si>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</si>
  <si>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</si>
  <si>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</si>
  <si>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</si>
  <si>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</si>
  <si>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</si>
  <si>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</si>
  <si>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</si>
  <si>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</si>
  <si>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</si>
  <si>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</si>
  <si>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</si>
  <si>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</si>
  <si>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</si>
  <si>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</si>
  <si>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</si>
  <si>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</si>
  <si>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</si>
  <si>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</si>
  <si>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</si>
  <si>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</si>
  <si>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</si>
  <si>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</si>
  <si>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6"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</si>
  <si>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</si>
  <si>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</si>
  <si>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</si>
  <si>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</si>
  <si>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</si>
  <si>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</si>
  <si>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</si>
  <si>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</si>
  <si>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</si>
  <si>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</si>
  <si>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</si>
  <si>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</si>
  <si>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</si>
  <si>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</si>
  <si>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</si>
  <si>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</si>
  <si>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</si>
  <si>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</si>
  <si>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</si>
  <si>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</si>
  <si>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</si>
  <si>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</si>
  <si>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</si>
  <si>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</si>
  <si>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</si>
  <si>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</si>
  <si>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</si>
  <si>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</si>
  <si>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</si>
  <si>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</si>
  <si>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</si>
  <si>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</si>
  <si>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</si>
  <si>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</si>
  <si>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</si>
  <si>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</si>
  <si>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</si>
  <si>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</si>
  <si>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</si>
  <si>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</si>
  <si>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</si>
  <si>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</si>
  <si>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</si>
  <si>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</si>
  <si>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</si>
  <si>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</si>
  <si>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</si>
  <si>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</si>
  <si>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</si>
  <si>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</si>
  <si>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</si>
  <si>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</si>
  <si>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</si>
  <si>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</si>
  <si>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</si>
  <si>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</si>
  <si>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</si>
  <si>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</si>
  <si>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</si>
  <si>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</si>
  <si>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</si>
  <si>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</si>
  <si>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</si>
  <si>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</si>
  <si>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4"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</si>
  <si>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</si>
  <si>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</si>
  <si>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</si>
  <si>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</si>
  <si>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</si>
  <si>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</si>
  <si>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</si>
  <si>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</si>
  <si>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4"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</si>
  <si>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</si>
  <si>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</si>
  <si>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3" type="noConversion"/>
  </si>
  <si>
    <r>
      <rPr>
        <b/>
        <sz val="12"/>
        <rFont val="宋体"/>
        <family val="3"/>
        <charset val="134"/>
      </rPr>
      <t>建筑面积</t>
    </r>
    <phoneticPr fontId="21"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</si>
  <si>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</si>
  <si>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</si>
  <si>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</si>
  <si>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</si>
  <si>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</si>
  <si>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</si>
  <si>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</si>
  <si>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</si>
  <si>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</si>
  <si>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</si>
  <si>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</si>
  <si>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</si>
  <si>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</si>
  <si>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</si>
  <si>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</si>
  <si>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</si>
  <si>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</si>
  <si>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</si>
  <si>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</si>
  <si>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</si>
  <si>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</si>
  <si>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</si>
  <si>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</si>
  <si>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</si>
  <si>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</si>
  <si>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</si>
  <si>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3"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</si>
  <si>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</si>
  <si>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</si>
  <si>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</si>
  <si>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</si>
  <si>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</si>
  <si>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</si>
  <si>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</si>
  <si>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</si>
  <si>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</si>
  <si>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</si>
  <si>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</si>
  <si>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</si>
  <si>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</si>
  <si>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</si>
  <si>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</si>
  <si>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</si>
  <si>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</si>
  <si>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</si>
  <si>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</si>
  <si>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</si>
  <si>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</si>
  <si>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3" type="noConversion"/>
  </si>
  <si>
    <r>
      <rPr>
        <sz val="11"/>
        <rFont val="宋体"/>
        <family val="3"/>
        <charset val="134"/>
      </rPr>
      <t>项目位置</t>
    </r>
    <phoneticPr fontId="6"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</si>
  <si>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</si>
  <si>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</si>
  <si>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</si>
  <si>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</si>
  <si>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</si>
  <si>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</si>
  <si>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6"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</si>
  <si>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</si>
  <si>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</si>
  <si>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</si>
  <si>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</si>
  <si>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</si>
  <si>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</si>
  <si>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</si>
  <si>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</si>
  <si>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</si>
  <si>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</si>
  <si>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</si>
  <si>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</si>
  <si>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</si>
  <si>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</si>
  <si>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</si>
  <si>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</si>
  <si>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</si>
  <si>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</si>
  <si>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</si>
  <si>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</si>
  <si>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</si>
  <si>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</si>
  <si>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</si>
  <si>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</si>
  <si>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</si>
  <si>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</si>
  <si>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</si>
  <si>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</si>
  <si>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</si>
  <si>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</si>
  <si>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</si>
  <si>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</si>
  <si>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</si>
  <si>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</si>
  <si>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</si>
  <si>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</si>
  <si>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</si>
  <si>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</si>
  <si>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</si>
  <si>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</si>
  <si>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</si>
  <si>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</si>
  <si>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</si>
  <si>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</si>
  <si>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</si>
  <si>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</si>
  <si>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</si>
  <si>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</si>
  <si>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</si>
  <si>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</si>
  <si>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</si>
  <si>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</si>
  <si>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</si>
  <si>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</si>
  <si>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</si>
  <si>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</si>
  <si>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</si>
  <si>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</si>
  <si>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</si>
  <si>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</si>
  <si>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</si>
  <si>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轨道交通站点周边</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</si>
  <si>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</si>
  <si>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</si>
  <si>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</si>
  <si>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</si>
  <si>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</si>
  <si>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</si>
  <si>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</si>
  <si>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</si>
  <si>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</si>
  <si>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</si>
  <si>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</si>
  <si>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</si>
  <si>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</si>
  <si>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</si>
  <si>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</si>
  <si>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</si>
  <si>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</si>
  <si>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</si>
  <si>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</si>
  <si>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</si>
  <si>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79"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</si>
  <si>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</si>
  <si>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</si>
  <si>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</si>
  <si>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</si>
  <si>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</si>
  <si>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</si>
  <si>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</si>
  <si>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</si>
  <si>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</si>
  <si>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</si>
  <si>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</si>
  <si>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</si>
  <si>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</si>
  <si>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</si>
  <si>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</si>
  <si>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</si>
  <si>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</si>
  <si>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</si>
  <si>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</si>
  <si>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</si>
  <si>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</si>
  <si>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</si>
  <si>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</si>
  <si>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</si>
  <si>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</si>
  <si>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</si>
  <si>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</si>
  <si>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</si>
  <si>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</si>
  <si>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9" type="noConversion"/>
  </si>
  <si>
    <r>
      <rPr>
        <sz val="10"/>
        <color theme="1"/>
        <rFont val="宋体"/>
        <family val="3"/>
        <charset val="134"/>
      </rPr>
      <t>地下仓储</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</si>
  <si>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</si>
  <si>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</si>
  <si>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</si>
  <si>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</si>
  <si>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</si>
  <si>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</si>
  <si>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</si>
  <si>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</si>
  <si>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</si>
  <si>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</si>
  <si>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</si>
  <si>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</si>
  <si>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</si>
  <si>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</si>
  <si>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</si>
  <si>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</si>
  <si>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</si>
  <si>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</si>
  <si>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</si>
  <si>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</si>
  <si>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</si>
  <si>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</si>
  <si>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</si>
  <si>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</si>
  <si>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</si>
  <si>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</si>
  <si>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</si>
  <si>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</si>
  <si>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</si>
  <si>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</si>
  <si>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</si>
  <si>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</si>
  <si>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</si>
  <si>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</si>
  <si>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</si>
  <si>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</si>
  <si>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</si>
  <si>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</si>
  <si>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</si>
  <si>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</si>
  <si>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</si>
  <si>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</si>
  <si>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</si>
  <si>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</si>
  <si>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</si>
  <si>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</si>
  <si>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</si>
  <si>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</si>
  <si>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</si>
  <si>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</si>
  <si>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</si>
  <si>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</si>
  <si>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</si>
  <si>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</si>
  <si>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</si>
  <si>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</si>
  <si>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</si>
  <si>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</si>
  <si>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</si>
  <si>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</si>
  <si>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</si>
  <si>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</si>
  <si>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</si>
  <si>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</si>
  <si>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</si>
  <si>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</si>
  <si>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</si>
  <si>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</si>
  <si>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</si>
  <si>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</si>
  <si>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</si>
  <si>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</si>
  <si>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</si>
  <si>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</si>
  <si>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</si>
  <si>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</si>
  <si>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</si>
  <si>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</si>
  <si>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</si>
  <si>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</si>
  <si>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</si>
  <si>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</si>
  <si>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</si>
  <si>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</si>
  <si>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</si>
  <si>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</si>
  <si>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</si>
  <si>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</si>
  <si>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</si>
  <si>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</si>
  <si>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</si>
  <si>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</si>
  <si>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</si>
  <si>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</si>
  <si>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</si>
  <si>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</si>
  <si>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</si>
  <si>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</si>
  <si>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</si>
  <si>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</si>
  <si>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</si>
  <si>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</si>
  <si>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</si>
  <si>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</si>
  <si>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</si>
  <si>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</si>
  <si>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</si>
  <si>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</si>
  <si>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</si>
  <si>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</si>
  <si>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</si>
  <si>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</si>
  <si>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</si>
  <si>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</si>
  <si>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</si>
  <si>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</si>
  <si>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</si>
  <si>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</si>
  <si>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</si>
  <si>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</si>
  <si>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</si>
  <si>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</si>
  <si>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</si>
  <si>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</si>
  <si>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</si>
  <si>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</si>
  <si>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</si>
  <si>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</si>
  <si>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</si>
  <si>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</si>
  <si>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</si>
  <si>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</si>
  <si>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</si>
  <si>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</si>
  <si>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9"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</si>
  <si>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</si>
  <si>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</si>
  <si>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</si>
  <si>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9" type="noConversion"/>
  </si>
  <si>
    <r>
      <rPr>
        <sz val="10"/>
        <color indexed="8"/>
        <rFont val="宋体"/>
        <family val="3"/>
        <charset val="134"/>
      </rPr>
      <t>坐落</t>
    </r>
    <phoneticPr fontId="84" type="noConversion"/>
  </si>
  <si>
    <r>
      <rPr>
        <sz val="10"/>
        <color indexed="8"/>
        <rFont val="宋体"/>
        <family val="3"/>
        <charset val="134"/>
      </rPr>
      <t>不动产权利人</t>
    </r>
    <phoneticPr fontId="9" type="noConversion"/>
  </si>
  <si>
    <r>
      <rPr>
        <sz val="10"/>
        <color indexed="8"/>
        <rFont val="宋体"/>
        <family val="3"/>
        <charset val="134"/>
      </rPr>
      <t>土地性质</t>
    </r>
    <phoneticPr fontId="84"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</si>
  <si>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</si>
  <si>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</si>
  <si>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</si>
  <si>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</si>
  <si>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</si>
  <si>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</si>
  <si>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</si>
  <si>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</si>
  <si>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</si>
  <si>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</si>
  <si>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</si>
  <si>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9"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</si>
  <si>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</si>
  <si>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</si>
  <si>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</si>
  <si>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</si>
  <si>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</si>
  <si>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</si>
  <si>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</si>
  <si>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</si>
  <si>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</si>
  <si>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</si>
  <si>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</si>
  <si>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</si>
  <si>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</si>
  <si>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</si>
  <si>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</si>
  <si>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</si>
  <si>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</si>
  <si>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</si>
  <si>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</si>
  <si>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</si>
  <si>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</si>
  <si>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</si>
  <si>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</si>
  <si>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</si>
  <si>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</si>
  <si>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</si>
  <si>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</si>
  <si>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</si>
  <si>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</si>
  <si>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</si>
  <si>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</si>
  <si>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</si>
  <si>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</si>
  <si>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</si>
  <si>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</si>
  <si>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</si>
  <si>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</si>
  <si>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</si>
  <si>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</si>
  <si>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</si>
  <si>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</si>
  <si>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</si>
  <si>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</si>
  <si>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</si>
  <si>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</si>
  <si>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</si>
  <si>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</si>
  <si>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</si>
  <si>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</si>
  <si>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</si>
  <si>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</si>
  <si>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</si>
  <si>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</si>
  <si>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</si>
  <si>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</si>
  <si>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</si>
  <si>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</si>
  <si>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</si>
  <si>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</si>
  <si>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</si>
  <si>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</si>
  <si>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</si>
  <si>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</si>
  <si>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</si>
  <si>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</si>
  <si>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</si>
  <si>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</si>
  <si>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</si>
  <si>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</si>
  <si>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</si>
  <si>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</si>
  <si>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</si>
  <si>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</si>
  <si>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</si>
  <si>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</si>
  <si>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</si>
  <si>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</si>
  <si>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</si>
  <si>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</si>
  <si>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</si>
  <si>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</si>
  <si>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</si>
  <si>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</si>
  <si>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</si>
  <si>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</si>
  <si>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</si>
  <si>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</si>
  <si>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</si>
  <si>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</si>
  <si>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</si>
  <si>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</si>
  <si>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</si>
  <si>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</si>
  <si>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</si>
  <si>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</si>
  <si>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</si>
  <si>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</si>
  <si>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</si>
  <si>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</si>
  <si>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</si>
  <si>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</si>
  <si>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</si>
  <si>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</si>
  <si>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</si>
  <si>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</si>
  <si>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</si>
  <si>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</si>
  <si>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</si>
  <si>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</si>
  <si>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</si>
  <si>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</si>
  <si>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</si>
  <si>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</si>
  <si>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利息：取LPR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</si>
  <si>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</si>
  <si>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</si>
  <si>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</si>
  <si>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</si>
  <si>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</si>
  <si>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</si>
  <si>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</si>
  <si>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</si>
  <si>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</si>
  <si>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</si>
  <si>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</si>
  <si>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</si>
  <si>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</si>
  <si>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</si>
  <si>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</si>
  <si>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</si>
  <si>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</si>
  <si>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</si>
  <si>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</si>
  <si>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</si>
  <si>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</si>
  <si>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</si>
  <si>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</si>
  <si>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</si>
  <si>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</si>
  <si>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</si>
  <si>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</si>
  <si>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</si>
  <si>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</si>
  <si>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</si>
  <si>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</si>
  <si>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</si>
  <si>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</si>
  <si>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</si>
  <si>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</si>
  <si>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</si>
  <si>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</si>
  <si>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</si>
  <si>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</si>
  <si>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</si>
  <si>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</si>
  <si>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</si>
  <si>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</si>
  <si>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</si>
  <si>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</si>
  <si>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</si>
  <si>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</si>
  <si>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</si>
  <si>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</si>
  <si>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</si>
  <si>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</si>
  <si>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</si>
  <si>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</si>
  <si>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</si>
  <si>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</si>
  <si>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</si>
  <si>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</si>
  <si>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</si>
  <si>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</si>
  <si>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</si>
  <si>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</si>
  <si>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</si>
  <si>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</si>
  <si>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</si>
  <si>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</si>
  <si>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</si>
  <si>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</si>
  <si>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</si>
  <si>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</si>
  <si>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</si>
  <si>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</si>
  <si>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</si>
  <si>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</si>
  <si>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</si>
  <si>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</si>
  <si>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</si>
  <si>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</si>
  <si>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</si>
  <si>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</si>
  <si>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</si>
  <si>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</si>
  <si>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</si>
  <si>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</si>
  <si>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</si>
  <si>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</si>
  <si>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</si>
  <si>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</si>
  <si>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</si>
  <si>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</si>
  <si>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</si>
  <si>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</si>
  <si>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</si>
  <si>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</si>
  <si>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</si>
  <si>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</si>
  <si>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</si>
  <si>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</si>
  <si>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</si>
  <si>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</si>
  <si>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</si>
  <si>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</si>
  <si>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</si>
  <si>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</si>
  <si>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</si>
  <si>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</si>
  <si>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</si>
  <si>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</si>
  <si>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</si>
  <si>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</si>
  <si>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</si>
  <si>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</si>
  <si>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</si>
  <si>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</si>
  <si>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</si>
  <si>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</si>
  <si>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</si>
  <si>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</si>
  <si>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</si>
  <si>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</si>
  <si>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</si>
  <si>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</si>
  <si>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</si>
  <si>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</si>
  <si>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</si>
  <si>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</si>
  <si>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</si>
  <si>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宁小鳗</t>
    <phoneticPr fontId="85" type="noConversion"/>
  </si>
  <si>
    <t>2022A-022</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</si>
  <si>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</si>
  <si>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</si>
  <si>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</si>
  <si>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</si>
  <si>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</si>
  <si>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</si>
  <si>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</si>
  <si>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</si>
  <si>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</si>
  <si>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</si>
  <si>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</si>
  <si>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</si>
  <si>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</si>
  <si>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</si>
  <si>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</si>
  <si>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</si>
  <si>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</si>
  <si>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</si>
  <si>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</si>
  <si>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</si>
  <si>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</si>
  <si>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</si>
  <si>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</si>
  <si>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</si>
  <si>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</si>
  <si>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</si>
  <si>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</si>
  <si>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</si>
  <si>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</si>
  <si>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</si>
  <si>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</si>
  <si>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</si>
  <si>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</si>
  <si>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</si>
  <si>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</si>
  <si>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</si>
  <si>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</si>
  <si>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</si>
  <si>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</si>
  <si>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</si>
  <si>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</si>
  <si>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</si>
  <si>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</si>
  <si>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</si>
  <si>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</si>
  <si>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</si>
  <si>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</si>
  <si>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</si>
  <si>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</si>
  <si>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</si>
  <si>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</si>
  <si>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</si>
  <si>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</si>
  <si>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</si>
  <si>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</si>
  <si>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</si>
  <si>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</si>
  <si>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</si>
  <si>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</si>
  <si>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</si>
  <si>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</si>
  <si>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</si>
  <si>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</si>
  <si>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</si>
  <si>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</si>
  <si>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</si>
  <si>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</si>
  <si>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</si>
  <si>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</si>
  <si>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</si>
  <si>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</si>
  <si>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</si>
  <si>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</si>
  <si>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</si>
  <si>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</si>
  <si>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</si>
  <si>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</si>
  <si>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</si>
  <si>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</si>
  <si>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</si>
  <si>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7" type="noConversion"/>
  </si>
  <si>
    <t>出让年限</t>
    <phoneticPr fontId="250" type="noConversion"/>
  </si>
  <si>
    <t>剩余土地使用年限</t>
    <phoneticPr fontId="250" type="noConversion"/>
  </si>
  <si>
    <t>报酬率</t>
    <phoneticPr fontId="250" type="noConversion"/>
  </si>
  <si>
    <t>年期修正系数</t>
    <phoneticPr fontId="250" type="noConversion"/>
  </si>
  <si>
    <t>地价贡献率（参考下表）</t>
    <phoneticPr fontId="250" type="noConversion"/>
  </si>
  <si>
    <t>房价修正系数</t>
    <phoneticPr fontId="250" type="noConversion"/>
  </si>
  <si>
    <t>估价对象</t>
    <phoneticPr fontId="250" type="noConversion"/>
  </si>
  <si>
    <t>案例A</t>
    <phoneticPr fontId="250" type="noConversion"/>
  </si>
  <si>
    <t>案例B</t>
    <phoneticPr fontId="250" type="noConversion"/>
  </si>
  <si>
    <t>案例C</t>
    <phoneticPr fontId="250" type="noConversion"/>
  </si>
  <si>
    <t>推导公式</t>
    <phoneticPr fontId="250" type="noConversion"/>
  </si>
  <si>
    <t>1.建+50年地价×20年年期修正系数＝20年房价</t>
    <phoneticPr fontId="250" type="noConversion"/>
  </si>
  <si>
    <t>2.建+50年地价＝50年房价</t>
    <phoneticPr fontId="250" type="noConversion"/>
  </si>
  <si>
    <t>1、2步得出</t>
    <phoneticPr fontId="250" type="noConversion"/>
  </si>
  <si>
    <t>3.50年房价－50年地价+50年地价×20年年期修正系数＝20年房价</t>
    <phoneticPr fontId="250" type="noConversion"/>
  </si>
  <si>
    <t>4.20年房价＝50年房价×20年房价修正系数</t>
    <phoneticPr fontId="250" type="noConversion"/>
  </si>
  <si>
    <t>4步代入3步</t>
    <phoneticPr fontId="250" type="noConversion"/>
  </si>
  <si>
    <t>5.50年房价－50年地价+50年地价×20年年期修正系数＝50年房价×20年房价修正系数</t>
    <phoneticPr fontId="250" type="noConversion"/>
  </si>
  <si>
    <t>6.20年房价修正系数＝1-50年地价×（1-20年年期修正系数）÷50年房价</t>
    <phoneticPr fontId="250" type="noConversion"/>
  </si>
  <si>
    <t>7.50年地价＝50年房价×地价贡献率</t>
    <phoneticPr fontId="250" type="noConversion"/>
  </si>
  <si>
    <t>7步代入6步</t>
    <phoneticPr fontId="250" type="noConversion"/>
  </si>
  <si>
    <t>8.20年房价修正系数＝1-50年房价×地价贡献率×（1-20年年期修正系数）÷50年房价＝1-地价贡献率×（1-20年年期修正系数）</t>
    <phoneticPr fontId="250" type="noConversion"/>
  </si>
  <si>
    <t>以北京为例验算</t>
    <phoneticPr fontId="137" type="noConversion"/>
  </si>
  <si>
    <t>用途</t>
    <phoneticPr fontId="137" type="noConversion"/>
  </si>
  <si>
    <t>综合地价贡献率</t>
    <phoneticPr fontId="137" type="noConversion"/>
  </si>
  <si>
    <t>收益法地价房价比</t>
    <phoneticPr fontId="137" type="noConversion"/>
  </si>
  <si>
    <t>地价售价比</t>
    <phoneticPr fontId="137" type="noConversion"/>
  </si>
  <si>
    <t>工业</t>
    <phoneticPr fontId="137" type="noConversion"/>
  </si>
  <si>
    <t>20%-30%</t>
    <phoneticPr fontId="137" type="noConversion"/>
  </si>
  <si>
    <t>20%-30%</t>
    <phoneticPr fontId="137" type="noConversion"/>
  </si>
  <si>
    <t>15%-40%</t>
    <phoneticPr fontId="137" type="noConversion"/>
  </si>
  <si>
    <t>8000地价，20000售价；地价950，售价6500</t>
    <phoneticPr fontId="137" type="noConversion"/>
  </si>
  <si>
    <t>住宅</t>
    <phoneticPr fontId="137" type="noConversion"/>
  </si>
  <si>
    <t>60%-70%</t>
    <phoneticPr fontId="137" type="noConversion"/>
  </si>
  <si>
    <t>65%-75%</t>
    <phoneticPr fontId="137" type="noConversion"/>
  </si>
  <si>
    <t>50%-65%</t>
    <phoneticPr fontId="137" type="noConversion"/>
  </si>
  <si>
    <t>当前北京市基本控制在50%-65%</t>
    <phoneticPr fontId="137" type="noConversion"/>
  </si>
  <si>
    <t>商业/办公</t>
    <phoneticPr fontId="137" type="noConversion"/>
  </si>
  <si>
    <t>50%-60%</t>
    <phoneticPr fontId="137" type="noConversion"/>
  </si>
  <si>
    <t>70%-80%</t>
    <phoneticPr fontId="137" type="noConversion"/>
  </si>
  <si>
    <t>15000地价，30000售价</t>
    <phoneticPr fontId="137" type="noConversion"/>
  </si>
  <si>
    <t>车库/仓储</t>
    <phoneticPr fontId="137" type="noConversion"/>
  </si>
  <si>
    <t>35%-45%</t>
    <phoneticPr fontId="137" type="noConversion"/>
  </si>
  <si>
    <t>四级或五级地，地价2500-3000熟地价，售价5500-8000</t>
    <phoneticPr fontId="137" type="noConversion"/>
  </si>
  <si>
    <t>试算</t>
    <phoneticPr fontId="137" type="noConversion"/>
  </si>
  <si>
    <t>可见随着土地使用年期的减少，影响幅度逐渐增大</t>
    <phoneticPr fontId="137" type="noConversion"/>
  </si>
  <si>
    <t>0~5（含）,5~10（含）</t>
    <phoneticPr fontId="137" type="noConversion"/>
  </si>
  <si>
    <t>区间</t>
    <phoneticPr fontId="137" type="noConversion"/>
  </si>
  <si>
    <t>修正幅度</t>
    <phoneticPr fontId="137" type="noConversion"/>
  </si>
  <si>
    <t>满年期50年，报酬率5%，贡献率60%</t>
    <phoneticPr fontId="137" type="noConversion"/>
  </si>
  <si>
    <t>10~15（含），15~20（含）</t>
    <phoneticPr fontId="137" type="noConversion"/>
  </si>
  <si>
    <t>20~25（含），25~30（含）</t>
    <phoneticPr fontId="137" type="noConversion"/>
  </si>
  <si>
    <t>30~35（含），35~40（含）</t>
    <phoneticPr fontId="137" type="noConversion"/>
  </si>
  <si>
    <t>40~45（含），45~50（含）</t>
    <phoneticPr fontId="137" type="noConversion"/>
  </si>
  <si>
    <t>满年期40年，报酬率5%，贡献率60%</t>
    <phoneticPr fontId="137" type="noConversion"/>
  </si>
  <si>
    <t>满年期70年，报酬率4%，贡献率70%</t>
    <phoneticPr fontId="137" type="noConversion"/>
  </si>
  <si>
    <t>公共服务</t>
    <phoneticPr fontId="9" type="noConversion"/>
  </si>
  <si>
    <t>公共服务</t>
    <phoneticPr fontId="19" type="noConversion"/>
  </si>
  <si>
    <t>公共服务</t>
    <phoneticPr fontId="19" type="noConversion"/>
  </si>
  <si>
    <t>公共服务</t>
    <phoneticPr fontId="9" type="noConversion"/>
  </si>
  <si>
    <t>基础设施建设费（土地开发费）    土地面积单价</t>
    <phoneticPr fontId="137" type="noConversion"/>
  </si>
  <si>
    <t>一至二级</t>
    <phoneticPr fontId="137" type="noConversion"/>
  </si>
  <si>
    <t>三至七级</t>
    <phoneticPr fontId="137" type="noConversion"/>
  </si>
  <si>
    <t>八至九级</t>
    <phoneticPr fontId="137" type="noConversion"/>
  </si>
  <si>
    <t>通路</t>
    <phoneticPr fontId="137" type="noConversion"/>
  </si>
  <si>
    <t>通电</t>
    <phoneticPr fontId="137" type="noConversion"/>
  </si>
  <si>
    <t>通讯</t>
    <phoneticPr fontId="137" type="noConversion"/>
  </si>
  <si>
    <t>通上水</t>
    <phoneticPr fontId="137" type="noConversion"/>
  </si>
  <si>
    <t>通下水</t>
    <phoneticPr fontId="137" type="noConversion"/>
  </si>
  <si>
    <t>通热</t>
    <phoneticPr fontId="137" type="noConversion"/>
  </si>
  <si>
    <t>通燃气</t>
    <phoneticPr fontId="137" type="noConversion"/>
  </si>
  <si>
    <t>平整</t>
    <phoneticPr fontId="137" type="noConversion"/>
  </si>
  <si>
    <t>合计</t>
    <phoneticPr fontId="137" type="noConversion"/>
  </si>
  <si>
    <t>红线外基础设施建设费（北京）</t>
    <phoneticPr fontId="137" type="noConversion"/>
  </si>
  <si>
    <t>土地级别</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</si>
  <si>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</si>
  <si>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</si>
  <si>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</si>
  <si>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</si>
  <si>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</si>
  <si>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</si>
  <si>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</si>
  <si>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</si>
  <si>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</si>
  <si>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</si>
  <si>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</si>
  <si>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</si>
  <si>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</si>
  <si>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</si>
  <si>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</si>
  <si>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</si>
  <si>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</si>
  <si>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</si>
  <si>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</si>
  <si>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</si>
  <si>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</si>
  <si>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</si>
  <si>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</si>
  <si>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</si>
  <si>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</si>
  <si>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</si>
  <si>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</si>
  <si>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级别开发程度</t>
    <phoneticPr fontId="6" type="noConversion"/>
  </si>
  <si>
    <t>北京市基准地价用途修正系数表</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</si>
  <si>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</si>
  <si>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</si>
  <si>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</si>
  <si>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</si>
  <si>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</si>
  <si>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办公</t>
    <phoneticPr fontId="6" type="noConversion"/>
  </si>
  <si>
    <t>商务金融用地</t>
    <phoneticPr fontId="6" type="noConversion"/>
  </si>
  <si>
    <t>公共服务</t>
    <phoneticPr fontId="6" type="noConversion"/>
  </si>
  <si>
    <t>特殊</t>
    <phoneticPr fontId="6" type="noConversion"/>
  </si>
  <si>
    <t>城镇住宅用地</t>
    <phoneticPr fontId="6" type="noConversion"/>
  </si>
  <si>
    <t>工矿仓储</t>
    <phoneticPr fontId="6" type="noConversion"/>
  </si>
  <si>
    <t>公共服务</t>
    <phoneticPr fontId="6" type="noConversion"/>
  </si>
  <si>
    <t>M4科研用地</t>
    <phoneticPr fontId="6" type="noConversion"/>
  </si>
  <si>
    <t>交通运输</t>
    <phoneticPr fontId="6" type="noConversion"/>
  </si>
  <si>
    <t>地下</t>
    <phoneticPr fontId="6" type="noConversion"/>
  </si>
  <si>
    <t>地下仓储</t>
    <phoneticPr fontId="6" type="noConversion"/>
  </si>
  <si>
    <t>地下</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</si>
  <si>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</si>
  <si>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</si>
  <si>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</si>
  <si>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</si>
  <si>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</si>
  <si>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</si>
  <si>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</si>
  <si>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</si>
  <si>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</si>
  <si>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</si>
  <si>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</si>
  <si>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</si>
  <si>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</si>
  <si>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</si>
  <si>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</si>
  <si>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</si>
  <si>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</si>
  <si>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</si>
  <si>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</si>
  <si>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</si>
  <si>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</si>
  <si>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</si>
  <si>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</si>
  <si>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</si>
  <si>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</si>
  <si>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</si>
  <si>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</si>
  <si>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</si>
  <si>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</si>
  <si>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</si>
  <si>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</si>
  <si>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</si>
  <si>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</si>
  <si>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</si>
  <si>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</si>
  <si>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</si>
  <si>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</si>
  <si>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</si>
  <si>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</si>
  <si>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</si>
  <si>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</si>
  <si>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</si>
  <si>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</si>
  <si>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</si>
  <si>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</si>
  <si>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</si>
  <si>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</si>
  <si>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</si>
  <si>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</si>
  <si>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</si>
  <si>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</si>
  <si>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</si>
  <si>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</si>
  <si>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</si>
  <si>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</si>
  <si>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</si>
  <si>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</si>
  <si>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</si>
  <si>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</si>
  <si>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</si>
  <si>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</si>
  <si>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</si>
  <si>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</si>
  <si>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</si>
  <si>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</si>
  <si>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</si>
  <si>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</si>
  <si>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</si>
  <si>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</si>
  <si>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</si>
  <si>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</si>
  <si>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</si>
  <si>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</si>
  <si>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</si>
  <si>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</si>
  <si>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</si>
  <si>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</si>
  <si>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</si>
  <si>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</si>
  <si>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</si>
  <si>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</si>
  <si>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</si>
  <si>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</si>
  <si>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</si>
  <si>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</si>
  <si>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</si>
  <si>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</si>
  <si>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</si>
  <si>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</si>
  <si>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</si>
  <si>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</si>
  <si>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</si>
  <si>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</si>
  <si>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</si>
  <si>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</si>
  <si>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</si>
  <si>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</si>
  <si>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</si>
  <si>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</si>
  <si>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</si>
  <si>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</si>
  <si>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</si>
  <si>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</si>
  <si>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</si>
  <si>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</si>
  <si>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</si>
  <si>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</si>
  <si>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</si>
  <si>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</si>
  <si>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</si>
  <si>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</si>
  <si>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</si>
  <si>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</si>
  <si>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</si>
  <si>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</si>
  <si>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</si>
  <si>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</si>
  <si>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</si>
  <si>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</si>
  <si>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</si>
  <si>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</si>
  <si>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</si>
  <si>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</si>
  <si>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</si>
  <si>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</si>
  <si>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</si>
  <si>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</si>
  <si>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</si>
  <si>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</si>
  <si>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</si>
  <si>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</si>
  <si>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</si>
  <si>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</si>
  <si>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</si>
  <si>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</si>
  <si>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</si>
  <si>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</si>
  <si>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</si>
  <si>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</si>
  <si>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</si>
  <si>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</si>
  <si>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</si>
  <si>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</si>
  <si>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</si>
  <si>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</si>
  <si>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</si>
  <si>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</si>
  <si>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</si>
  <si>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</si>
  <si>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</si>
  <si>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</si>
  <si>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</si>
  <si>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</si>
  <si>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</si>
  <si>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</si>
  <si>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</si>
  <si>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t>
    <phoneticPr fontId="6" type="noConversion"/>
  </si>
  <si>
    <t>北京市基准地价容积率修正系数表（商业）</t>
    <phoneticPr fontId="6" type="noConversion"/>
  </si>
  <si>
    <t>容积率</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</si>
  <si>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</si>
  <si>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</si>
  <si>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</si>
  <si>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</si>
  <si>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R</t>
    <phoneticPr fontId="6" type="noConversion"/>
  </si>
  <si>
    <t>1~2级</t>
    <phoneticPr fontId="6" type="noConversion"/>
  </si>
  <si>
    <t>3~7级</t>
    <phoneticPr fontId="6" type="noConversion"/>
  </si>
  <si>
    <t>8~12级</t>
    <phoneticPr fontId="6" type="noConversion"/>
  </si>
  <si>
    <t>3~5级</t>
    <phoneticPr fontId="6" type="noConversion"/>
  </si>
  <si>
    <t>6~7级</t>
    <phoneticPr fontId="6" type="noConversion"/>
  </si>
  <si>
    <t>平均</t>
    <phoneticPr fontId="6" type="noConversion"/>
  </si>
  <si>
    <t>商业</t>
    <phoneticPr fontId="6" type="noConversion"/>
  </si>
  <si>
    <t>办公</t>
    <phoneticPr fontId="137" type="noConversion"/>
  </si>
  <si>
    <t>住宅</t>
    <phoneticPr fontId="6" type="noConversion"/>
  </si>
  <si>
    <t>工业</t>
    <phoneticPr fontId="137" type="noConversion"/>
  </si>
  <si>
    <t>工业</t>
    <phoneticPr fontId="137" type="noConversion"/>
  </si>
  <si>
    <t>住宅</t>
    <phoneticPr fontId="6" type="noConversion"/>
  </si>
  <si>
    <t>工业</t>
    <phoneticPr fontId="137" type="noConversion"/>
  </si>
  <si>
    <t>住宅</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</si>
  <si>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</si>
  <si>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</si>
  <si>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</si>
  <si>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</si>
  <si>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</si>
  <si>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2021-1</t>
    <phoneticPr fontId="6" type="noConversion"/>
  </si>
  <si>
    <t xml:space="preserve"> </t>
    <phoneticPr fontId="137" type="noConversion"/>
  </si>
  <si>
    <r>
      <rPr>
        <b/>
        <sz val="10"/>
        <color theme="1"/>
        <rFont val="楷体_GB2312"/>
        <family val="2"/>
        <charset val="134"/>
      </rPr>
      <t>核算至百分数</t>
    </r>
    <phoneticPr fontId="145" type="noConversion"/>
  </si>
  <si>
    <t>季度连乘</t>
    <phoneticPr fontId="137" type="noConversion"/>
  </si>
  <si>
    <t>平均增幅</t>
    <phoneticPr fontId="137" type="noConversion"/>
  </si>
  <si>
    <t>平均</t>
    <phoneticPr fontId="6" type="noConversion"/>
  </si>
  <si>
    <t>商业</t>
    <phoneticPr fontId="6" type="noConversion"/>
  </si>
  <si>
    <t>办公</t>
    <phoneticPr fontId="137" type="noConversion"/>
  </si>
  <si>
    <t>住宅</t>
    <phoneticPr fontId="6" type="noConversion"/>
  </si>
  <si>
    <t>公共服务</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</si>
  <si>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</si>
  <si>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</si>
  <si>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</si>
  <si>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</si>
  <si>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</si>
  <si>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北京市区片基准地价表（楼面地价）</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</si>
  <si>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</si>
  <si>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</si>
  <si>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</si>
  <si>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</si>
  <si>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</si>
  <si>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</si>
  <si>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</si>
  <si>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</si>
  <si>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</si>
  <si>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</si>
  <si>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</si>
  <si>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</si>
  <si>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 xml:space="preserve">基准日期：2021年1月1日                                                             </t>
    <phoneticPr fontId="6" type="noConversion"/>
  </si>
  <si>
    <t>单位：元/平方米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</si>
  <si>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</si>
  <si>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</si>
  <si>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</si>
  <si>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</si>
  <si>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</si>
  <si>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</si>
  <si>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</si>
  <si>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</si>
  <si>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</si>
  <si>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</si>
  <si>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</si>
  <si>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</si>
  <si>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</si>
  <si>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办公</t>
    <phoneticPr fontId="6" type="noConversion"/>
  </si>
  <si>
    <t>工业</t>
    <phoneticPr fontId="6" type="noConversion"/>
  </si>
  <si>
    <t>Ⅰ—02</t>
    <phoneticPr fontId="6" type="noConversion"/>
  </si>
  <si>
    <t>Ⅺ-门斋</t>
    <phoneticPr fontId="6" type="noConversion"/>
  </si>
  <si>
    <t>Ⅻ-房1</t>
    <phoneticPr fontId="6" type="noConversion"/>
  </si>
  <si>
    <t>区片编号</t>
    <phoneticPr fontId="6" type="noConversion"/>
  </si>
  <si>
    <t>区片价格</t>
    <phoneticPr fontId="6" type="noConversion"/>
  </si>
  <si>
    <t>Ⅸ-门1</t>
    <phoneticPr fontId="6" type="noConversion"/>
  </si>
  <si>
    <t>Ⅹ-门1</t>
    <phoneticPr fontId="6" type="noConversion"/>
  </si>
  <si>
    <t>Ⅺ-房1</t>
    <phoneticPr fontId="6" type="noConversion"/>
  </si>
  <si>
    <t>Ⅻ-昌1</t>
    <phoneticPr fontId="6" type="noConversion"/>
  </si>
  <si>
    <t>Ⅸ-门2</t>
    <phoneticPr fontId="6" type="noConversion"/>
  </si>
  <si>
    <t>Ⅹ-房1</t>
    <phoneticPr fontId="6" type="noConversion"/>
  </si>
  <si>
    <t>Ⅻ-怀1</t>
    <phoneticPr fontId="6" type="noConversion"/>
  </si>
  <si>
    <t>Ⅷ-05</t>
  </si>
  <si>
    <t>Ⅸ-门潭</t>
    <phoneticPr fontId="6" type="noConversion"/>
  </si>
  <si>
    <t>Ⅺ-顺1</t>
    <phoneticPr fontId="6" type="noConversion"/>
  </si>
  <si>
    <t>Ⅻ-平1</t>
    <phoneticPr fontId="6" type="noConversion"/>
  </si>
  <si>
    <t>Ⅷ-门1</t>
    <phoneticPr fontId="6" type="noConversion"/>
  </si>
  <si>
    <t>Ⅸ-房1</t>
    <phoneticPr fontId="6" type="noConversion"/>
  </si>
  <si>
    <t>Ⅹ-房3</t>
  </si>
  <si>
    <t>Ⅺ-顺2</t>
  </si>
  <si>
    <t>Ⅻ-密1</t>
    <phoneticPr fontId="6" type="noConversion"/>
  </si>
  <si>
    <t>Ⅷ-门军</t>
    <phoneticPr fontId="6" type="noConversion"/>
  </si>
  <si>
    <t>Ⅹ-顺1</t>
    <phoneticPr fontId="6" type="noConversion"/>
  </si>
  <si>
    <t>Ⅺ-昌1</t>
    <phoneticPr fontId="6" type="noConversion"/>
  </si>
  <si>
    <t>Ⅻ-延1</t>
    <phoneticPr fontId="6" type="noConversion"/>
  </si>
  <si>
    <t>Ⅷ-房1</t>
    <phoneticPr fontId="6" type="noConversion"/>
  </si>
  <si>
    <t>Ⅺ-昌3</t>
  </si>
  <si>
    <t>Ⅶ-门1</t>
    <phoneticPr fontId="6" type="noConversion"/>
  </si>
  <si>
    <t>Ⅹ-顺4</t>
  </si>
  <si>
    <t>Ⅺ-怀1</t>
    <phoneticPr fontId="6" type="noConversion"/>
  </si>
  <si>
    <t>Ⅶ-门2</t>
  </si>
  <si>
    <t>Ⅷ-通1</t>
    <phoneticPr fontId="6" type="noConversion"/>
  </si>
  <si>
    <t>Ⅸ-通1</t>
    <phoneticPr fontId="6" type="noConversion"/>
  </si>
  <si>
    <t>Ⅹ-昌1</t>
    <phoneticPr fontId="6" type="noConversion"/>
  </si>
  <si>
    <t>Ⅺ-平1</t>
    <phoneticPr fontId="6" type="noConversion"/>
  </si>
  <si>
    <t>Ⅶ-房1</t>
    <phoneticPr fontId="6" type="noConversion"/>
  </si>
  <si>
    <t>Ⅱ—13</t>
    <phoneticPr fontId="6" type="noConversion"/>
  </si>
  <si>
    <t>Ⅸ-顺1</t>
    <phoneticPr fontId="6" type="noConversion"/>
  </si>
  <si>
    <t>Ⅶ-通1</t>
    <phoneticPr fontId="6" type="noConversion"/>
  </si>
  <si>
    <t>Ⅷ-顺1</t>
    <phoneticPr fontId="6" type="noConversion"/>
  </si>
  <si>
    <t>Ⅹ-兴1</t>
    <phoneticPr fontId="6" type="noConversion"/>
  </si>
  <si>
    <t>Ⅶ-通2</t>
  </si>
  <si>
    <t>Ⅺ-密1</t>
    <phoneticPr fontId="6" type="noConversion"/>
  </si>
  <si>
    <t>Ⅶ-通3</t>
  </si>
  <si>
    <t>Ⅷ-顺3</t>
    <phoneticPr fontId="6" type="noConversion"/>
  </si>
  <si>
    <t>Ⅹ-怀1</t>
    <phoneticPr fontId="6" type="noConversion"/>
  </si>
  <si>
    <t>Ⅶ-通4</t>
  </si>
  <si>
    <t>Ⅸ-顺5</t>
  </si>
  <si>
    <t>Ⅶ-通5</t>
  </si>
  <si>
    <t>Ⅸ-昌1</t>
    <phoneticPr fontId="6" type="noConversion"/>
  </si>
  <si>
    <t>Ⅺ-延1</t>
    <phoneticPr fontId="6" type="noConversion"/>
  </si>
  <si>
    <t>Ⅶ-顺1</t>
    <phoneticPr fontId="6" type="noConversion"/>
  </si>
  <si>
    <t>Ⅷ-昌1</t>
    <phoneticPr fontId="6" type="noConversion"/>
  </si>
  <si>
    <t>Ⅹ-怀4</t>
  </si>
  <si>
    <t>Ⅱ—20</t>
  </si>
  <si>
    <t>Ⅹ-平1</t>
    <phoneticPr fontId="6" type="noConversion"/>
  </si>
  <si>
    <t>Ⅺ-延3</t>
  </si>
  <si>
    <t>Ⅲ—21</t>
  </si>
  <si>
    <t>Ⅶ-顺3</t>
  </si>
  <si>
    <t>Ⅲ—22</t>
  </si>
  <si>
    <t>Ⅵ-门1</t>
    <phoneticPr fontId="6" type="noConversion"/>
  </si>
  <si>
    <t>Ⅶ-昌1</t>
    <phoneticPr fontId="6" type="noConversion"/>
  </si>
  <si>
    <t>Ⅹ-平3</t>
  </si>
  <si>
    <t>Ⅲ—23</t>
  </si>
  <si>
    <t>Ⅵ-通1</t>
    <phoneticPr fontId="6" type="noConversion"/>
  </si>
  <si>
    <t>Ⅷ-兴1</t>
    <phoneticPr fontId="6" type="noConversion"/>
  </si>
  <si>
    <t>Ⅸ-兴1</t>
  </si>
  <si>
    <t>Ⅹ-平4</t>
  </si>
  <si>
    <t>Ⅲ—24</t>
  </si>
  <si>
    <t>Ⅳ-24</t>
  </si>
  <si>
    <t>Ⅹ-密1</t>
    <phoneticPr fontId="6" type="noConversion"/>
  </si>
  <si>
    <t>Ⅲ—25</t>
  </si>
  <si>
    <t>Ⅳ-25</t>
  </si>
  <si>
    <t>Ⅶ-兴1</t>
    <phoneticPr fontId="6" type="noConversion"/>
  </si>
  <si>
    <t>Ⅷ-兴3</t>
  </si>
  <si>
    <t>Ⅹ-密2</t>
  </si>
  <si>
    <t>Ⅳ-26</t>
  </si>
  <si>
    <t>Ⅶ-兴2</t>
    <phoneticPr fontId="6" type="noConversion"/>
  </si>
  <si>
    <t>Ⅷ-怀1</t>
    <phoneticPr fontId="6" type="noConversion"/>
  </si>
  <si>
    <t>Ⅸ-怀1</t>
    <phoneticPr fontId="6" type="noConversion"/>
  </si>
  <si>
    <t>Ⅹ-密3</t>
  </si>
  <si>
    <t>Ⅳ-27</t>
  </si>
  <si>
    <t>Ⅴ-27</t>
  </si>
  <si>
    <t>Ⅵ-通5</t>
  </si>
  <si>
    <t>Ⅶ-亦1</t>
    <phoneticPr fontId="6" type="noConversion"/>
  </si>
  <si>
    <t>Ⅷ-平1</t>
    <phoneticPr fontId="6" type="noConversion"/>
  </si>
  <si>
    <t>Ⅸ-怀2</t>
  </si>
  <si>
    <t>Ⅹ-延1</t>
    <phoneticPr fontId="6" type="noConversion"/>
  </si>
  <si>
    <t>Ⅳ-28</t>
  </si>
  <si>
    <t>Ⅴ-28</t>
  </si>
  <si>
    <t>Ⅵ-顺1</t>
    <phoneticPr fontId="6" type="noConversion"/>
  </si>
  <si>
    <t>Ⅶ-亦2</t>
  </si>
  <si>
    <t>Ⅷ-密1</t>
    <phoneticPr fontId="6" type="noConversion"/>
  </si>
  <si>
    <t>Ⅸ-怀3</t>
  </si>
  <si>
    <t>Ⅳ-电子城东</t>
    <phoneticPr fontId="6" type="noConversion"/>
  </si>
  <si>
    <t>Ⅴ-29</t>
  </si>
  <si>
    <t>Ⅵ-顺2</t>
  </si>
  <si>
    <t>Ⅶ-创新园</t>
    <phoneticPr fontId="6" type="noConversion"/>
  </si>
  <si>
    <t>Ⅷ-延1</t>
    <phoneticPr fontId="6" type="noConversion"/>
  </si>
  <si>
    <t>Ⅸ-怀4</t>
  </si>
  <si>
    <t>Ⅹ-延3</t>
  </si>
  <si>
    <t>Ⅳ-电子城西</t>
    <phoneticPr fontId="6" type="noConversion"/>
  </si>
  <si>
    <t>Ⅴ-30</t>
  </si>
  <si>
    <t>Ⅵ-昌1</t>
    <phoneticPr fontId="6" type="noConversion"/>
  </si>
  <si>
    <t>Ⅶ-海淀环保园</t>
    <phoneticPr fontId="6" type="noConversion"/>
  </si>
  <si>
    <t>Ⅷ-亦1</t>
    <phoneticPr fontId="6" type="noConversion"/>
  </si>
  <si>
    <t>Ⅸ-平1</t>
    <phoneticPr fontId="6" type="noConversion"/>
  </si>
  <si>
    <t>Ⅹ-延4</t>
  </si>
  <si>
    <t>Ⅳ-丰台园东</t>
    <phoneticPr fontId="6" type="noConversion"/>
  </si>
  <si>
    <t>Ⅴ-31</t>
  </si>
  <si>
    <t>Ⅶ-温泉科技园Ⅰ</t>
    <phoneticPr fontId="6" type="noConversion"/>
  </si>
  <si>
    <t>Ⅸ-平2</t>
  </si>
  <si>
    <t>Ⅹ-亦1</t>
    <phoneticPr fontId="6" type="noConversion"/>
  </si>
  <si>
    <t>Ⅳ-通1</t>
    <phoneticPr fontId="6" type="noConversion"/>
  </si>
  <si>
    <t>Ⅴ-32</t>
  </si>
  <si>
    <t>Ⅶ-温泉科技园Ⅱ</t>
    <phoneticPr fontId="6" type="noConversion"/>
  </si>
  <si>
    <t>Ⅷ-文化教育基地</t>
    <phoneticPr fontId="6" type="noConversion"/>
  </si>
  <si>
    <t>Ⅸ-密1</t>
    <phoneticPr fontId="6" type="noConversion"/>
  </si>
  <si>
    <t>Ⅴ-33</t>
  </si>
  <si>
    <t>Ⅶ-温泉科技园Ⅲ</t>
    <phoneticPr fontId="6" type="noConversion"/>
  </si>
  <si>
    <t>Ⅷ-苏家坨科技Ⅰ</t>
    <phoneticPr fontId="6" type="noConversion"/>
  </si>
  <si>
    <t>Ⅸ-延1</t>
    <phoneticPr fontId="6" type="noConversion"/>
  </si>
  <si>
    <t>Ⅴ-上地核心</t>
    <phoneticPr fontId="6" type="noConversion"/>
  </si>
  <si>
    <t>Ⅵ-兴1</t>
    <phoneticPr fontId="6" type="noConversion"/>
  </si>
  <si>
    <t>Ⅶ-国际教育园</t>
    <phoneticPr fontId="6" type="noConversion"/>
  </si>
  <si>
    <t>Ⅷ-苏家坨科技Ⅱ</t>
    <phoneticPr fontId="6" type="noConversion"/>
  </si>
  <si>
    <t>Ⅸ-延2</t>
  </si>
  <si>
    <t>Ⅴ-电子城北</t>
    <phoneticPr fontId="6" type="noConversion"/>
  </si>
  <si>
    <t>Ⅵ-兴2</t>
  </si>
  <si>
    <t>Ⅶ-农林园</t>
    <phoneticPr fontId="6" type="noConversion"/>
  </si>
  <si>
    <t>Ⅷ-通州环保园</t>
    <phoneticPr fontId="6" type="noConversion"/>
  </si>
  <si>
    <t>Ⅸ-亦1</t>
    <phoneticPr fontId="6" type="noConversion"/>
  </si>
  <si>
    <t>Ⅴ-通1</t>
    <phoneticPr fontId="6" type="noConversion"/>
  </si>
  <si>
    <t>Ⅵ-兴3</t>
  </si>
  <si>
    <t>Ⅶ-上庄科技</t>
    <phoneticPr fontId="6" type="noConversion"/>
  </si>
  <si>
    <t>Ⅷ-通州开发区东</t>
    <phoneticPr fontId="6" type="noConversion"/>
  </si>
  <si>
    <t>Ⅸ-亦2</t>
  </si>
  <si>
    <t>Ⅴ-通2</t>
  </si>
  <si>
    <t>Ⅵ-兴4</t>
  </si>
  <si>
    <t>Ⅶ-石龙开发区</t>
    <phoneticPr fontId="6" type="noConversion"/>
  </si>
  <si>
    <t>Ⅷ-空港北区B</t>
    <phoneticPr fontId="6" type="noConversion"/>
  </si>
  <si>
    <t>Ⅸ-亦3</t>
  </si>
  <si>
    <t>Ⅴ-通3</t>
  </si>
  <si>
    <t>Ⅵ-兴5</t>
  </si>
  <si>
    <r>
      <t>Ⅶ-良乡开发区</t>
    </r>
    <r>
      <rPr>
        <sz val="9"/>
        <color indexed="8"/>
        <rFont val="仿宋_GB2312"/>
        <family val="3"/>
        <charset val="134"/>
      </rPr>
      <t>A</t>
    </r>
    <phoneticPr fontId="6" type="noConversion"/>
  </si>
  <si>
    <t>Ⅷ-昌平园北Ⅱ</t>
    <phoneticPr fontId="6" type="noConversion"/>
  </si>
  <si>
    <t>Ⅸ-房山工业园西</t>
    <phoneticPr fontId="6" type="noConversion"/>
  </si>
  <si>
    <t>Ⅴ-通4</t>
  </si>
  <si>
    <t>Ⅵ-亦1</t>
    <phoneticPr fontId="6" type="noConversion"/>
  </si>
  <si>
    <r>
      <t>Ⅶ-良乡开发区</t>
    </r>
    <r>
      <rPr>
        <sz val="9"/>
        <color indexed="8"/>
        <rFont val="仿宋_GB2312"/>
        <family val="3"/>
        <charset val="134"/>
      </rPr>
      <t>B</t>
    </r>
    <phoneticPr fontId="6" type="noConversion"/>
  </si>
  <si>
    <t>Ⅷ-昌平园北Ⅲ</t>
    <phoneticPr fontId="6" type="noConversion"/>
  </si>
  <si>
    <t>Ⅸ-房山工业园东</t>
    <phoneticPr fontId="6" type="noConversion"/>
  </si>
  <si>
    <t>Ⅴ-亦1</t>
    <phoneticPr fontId="6" type="noConversion"/>
  </si>
  <si>
    <t>Ⅵ-亦2</t>
  </si>
  <si>
    <r>
      <t>Ⅶ-良乡开发区</t>
    </r>
    <r>
      <rPr>
        <sz val="9"/>
        <color indexed="8"/>
        <rFont val="仿宋_GB2312"/>
        <family val="3"/>
        <charset val="134"/>
      </rPr>
      <t>C</t>
    </r>
    <phoneticPr fontId="6" type="noConversion"/>
  </si>
  <si>
    <t>Ⅷ-昌平园南Ⅰ</t>
    <phoneticPr fontId="6" type="noConversion"/>
  </si>
  <si>
    <t>Ⅸ-永乐开发区</t>
    <phoneticPr fontId="6" type="noConversion"/>
  </si>
  <si>
    <t>Ⅵ-亦3</t>
  </si>
  <si>
    <t>Ⅶ-林河开发区</t>
    <phoneticPr fontId="6" type="noConversion"/>
  </si>
  <si>
    <t>Ⅷ-昌平园南Ⅱ</t>
    <phoneticPr fontId="6" type="noConversion"/>
  </si>
  <si>
    <t>Ⅸ-采育开发区</t>
    <phoneticPr fontId="6" type="noConversion"/>
  </si>
  <si>
    <t>三级</t>
    <phoneticPr fontId="6" type="noConversion"/>
  </si>
  <si>
    <t>Ⅵ-亦4</t>
  </si>
  <si>
    <t>Ⅶ-空港北区A</t>
    <phoneticPr fontId="6" type="noConversion"/>
  </si>
  <si>
    <t>Ⅷ-小汤山工业园</t>
    <phoneticPr fontId="6" type="noConversion"/>
  </si>
  <si>
    <t>Ⅸ-雁栖开发区A</t>
    <phoneticPr fontId="6" type="noConversion"/>
  </si>
  <si>
    <t>Ⅵ-永丰产业基地</t>
    <phoneticPr fontId="6" type="noConversion"/>
  </si>
  <si>
    <r>
      <t>Ⅶ-昌平园北</t>
    </r>
    <r>
      <rPr>
        <sz val="9"/>
        <color indexed="8"/>
        <rFont val="宋体"/>
        <family val="3"/>
        <charset val="134"/>
      </rPr>
      <t>Ⅰ</t>
    </r>
    <phoneticPr fontId="6" type="noConversion"/>
  </si>
  <si>
    <t>Ⅷ-生物医药基地</t>
    <phoneticPr fontId="6" type="noConversion"/>
  </si>
  <si>
    <t>Ⅸ-雁栖开发区B</t>
    <phoneticPr fontId="6" type="noConversion"/>
  </si>
  <si>
    <t>Ⅵ-航天城</t>
    <phoneticPr fontId="6" type="noConversion"/>
  </si>
  <si>
    <t>Ⅶ-BDA南</t>
    <phoneticPr fontId="6" type="noConversion"/>
  </si>
  <si>
    <t>Ⅸ-雁栖开发区C</t>
    <phoneticPr fontId="6" type="noConversion"/>
  </si>
  <si>
    <t>Ⅵ-西北旺Ⅰ</t>
    <phoneticPr fontId="6" type="noConversion"/>
  </si>
  <si>
    <t>Ⅸ-兴谷开发区A</t>
    <phoneticPr fontId="6" type="noConversion"/>
  </si>
  <si>
    <t>Ⅵ-西北旺Ⅱ</t>
    <phoneticPr fontId="6" type="noConversion"/>
  </si>
  <si>
    <t>Ⅸ-兴谷开发区B</t>
    <phoneticPr fontId="6" type="noConversion"/>
  </si>
  <si>
    <t>Ⅵ-丰台西园Ⅰ</t>
    <phoneticPr fontId="6" type="noConversion"/>
  </si>
  <si>
    <t>Ⅸ-马坊工业园</t>
    <phoneticPr fontId="6" type="noConversion"/>
  </si>
  <si>
    <t>Ⅵ-丰台西园Ⅱ</t>
    <phoneticPr fontId="6" type="noConversion"/>
  </si>
  <si>
    <t>Ⅸ-密云开发区</t>
    <phoneticPr fontId="6" type="noConversion"/>
  </si>
  <si>
    <t>Ⅵ-石景山园北Ⅰ</t>
    <phoneticPr fontId="6" type="noConversion"/>
  </si>
  <si>
    <t>Ⅸ-延庆开发区</t>
    <phoneticPr fontId="6" type="noConversion"/>
  </si>
  <si>
    <t>Ⅵ-石景山园北Ⅱ</t>
    <phoneticPr fontId="6" type="noConversion"/>
  </si>
  <si>
    <t>Ⅸ-八达岭开发区</t>
    <phoneticPr fontId="6" type="noConversion"/>
  </si>
  <si>
    <t>Ⅵ-石景山园南</t>
    <phoneticPr fontId="6" type="noConversion"/>
  </si>
  <si>
    <t>Ⅵ-通州开发区西</t>
    <phoneticPr fontId="6" type="noConversion"/>
  </si>
  <si>
    <t>Ⅵ-光机电</t>
    <phoneticPr fontId="6" type="noConversion"/>
  </si>
  <si>
    <t>Ⅳ-01</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</si>
  <si>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</si>
  <si>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</si>
  <si>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</si>
  <si>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</si>
  <si>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</si>
  <si>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</si>
  <si>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</si>
  <si>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</si>
  <si>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</si>
  <si>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</si>
  <si>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</si>
  <si>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</si>
  <si>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</si>
  <si>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</si>
  <si>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</si>
  <si>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</si>
  <si>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</si>
  <si>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</si>
  <si>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</si>
  <si>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</si>
  <si>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</si>
  <si>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</si>
  <si>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</si>
  <si>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</si>
  <si>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</si>
  <si>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</si>
  <si>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Ⅵ-石景山园南</t>
    <phoneticPr fontId="6" type="noConversion"/>
  </si>
  <si>
    <t>Ⅵ-通州开发区西</t>
    <phoneticPr fontId="6" type="noConversion"/>
  </si>
  <si>
    <t>Ⅵ-光机电</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</si>
  <si>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</si>
  <si>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</si>
  <si>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</si>
  <si>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</si>
  <si>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</si>
  <si>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</si>
  <si>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</si>
  <si>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</si>
  <si>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</si>
  <si>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</si>
  <si>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</si>
  <si>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</si>
  <si>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</si>
  <si>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</si>
  <si>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</si>
  <si>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</si>
  <si>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</si>
  <si>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</si>
  <si>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r>
      <t>Ⅶ-良乡开发区</t>
    </r>
    <r>
      <rPr>
        <sz val="9"/>
        <color indexed="8"/>
        <rFont val="仿宋_GB2312"/>
        <family val="3"/>
        <charset val="134"/>
      </rPr>
      <t>A</t>
    </r>
    <phoneticPr fontId="6" type="noConversion"/>
  </si>
  <si>
    <r>
      <t>Ⅶ-良乡开发区</t>
    </r>
    <r>
      <rPr>
        <sz val="9"/>
        <color indexed="8"/>
        <rFont val="仿宋_GB2312"/>
        <family val="3"/>
        <charset val="134"/>
      </rPr>
      <t>B</t>
    </r>
    <phoneticPr fontId="6" type="noConversion"/>
  </si>
  <si>
    <t>Ⅶ-林河开发区</t>
    <phoneticPr fontId="6" type="noConversion"/>
  </si>
  <si>
    <t>Ⅶ-空港北区A</t>
    <phoneticPr fontId="6" type="noConversion"/>
  </si>
  <si>
    <r>
      <t>Ⅶ-昌平园北</t>
    </r>
    <r>
      <rPr>
        <sz val="9"/>
        <color indexed="8"/>
        <rFont val="宋体"/>
        <family val="3"/>
        <charset val="134"/>
      </rPr>
      <t>Ⅰ</t>
    </r>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</si>
  <si>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</si>
  <si>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</si>
  <si>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</si>
  <si>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</si>
  <si>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</si>
  <si>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</si>
  <si>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</si>
  <si>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</si>
  <si>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</si>
  <si>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</si>
  <si>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</si>
  <si>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</si>
  <si>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</si>
  <si>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</si>
  <si>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</si>
  <si>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</si>
  <si>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</si>
  <si>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</si>
  <si>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</si>
  <si>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</si>
  <si>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</si>
  <si>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</si>
  <si>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</si>
  <si>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</si>
  <si>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</si>
  <si>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</si>
  <si>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</si>
  <si>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</si>
  <si>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</si>
  <si>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</si>
  <si>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</si>
  <si>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</si>
  <si>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</si>
  <si>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</si>
  <si>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</si>
  <si>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</si>
  <si>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</si>
  <si>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</si>
  <si>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</si>
  <si>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</si>
  <si>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Ⅸ-采育开发区</t>
    <phoneticPr fontId="6" type="noConversion"/>
  </si>
  <si>
    <t>Ⅸ-雁栖开发区A</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</si>
  <si>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</si>
  <si>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</si>
  <si>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</si>
  <si>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</si>
  <si>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</si>
  <si>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</si>
  <si>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</si>
  <si>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</si>
  <si>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</si>
  <si>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</si>
  <si>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</si>
  <si>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</si>
  <si>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</si>
  <si>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</si>
  <si>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</si>
  <si>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</si>
  <si>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</si>
  <si>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</si>
  <si>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</si>
  <si>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</si>
  <si>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</si>
  <si>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</si>
  <si>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</si>
  <si>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</si>
  <si>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</si>
  <si>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</si>
  <si>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</si>
  <si>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</si>
  <si>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</si>
  <si>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北京市区片基准地价因素总修正幅度表</t>
    <phoneticPr fontId="6" type="noConversion"/>
  </si>
  <si>
    <t>Ⅴ-亦1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</si>
  <si>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</si>
  <si>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</si>
  <si>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</si>
  <si>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</si>
  <si>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</si>
  <si>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</si>
  <si>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</si>
  <si>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</si>
  <si>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</si>
  <si>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</si>
  <si>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</si>
  <si>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</si>
  <si>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</si>
  <si>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</si>
  <si>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</si>
  <si>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</si>
  <si>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</si>
  <si>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</si>
  <si>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</si>
  <si>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</si>
  <si>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</si>
  <si>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</si>
  <si>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Ⅶ-石龙开发区</t>
    <phoneticPr fontId="6" type="noConversion"/>
  </si>
  <si>
    <r>
      <t>Ⅶ-良乡开发区</t>
    </r>
    <r>
      <rPr>
        <sz val="8"/>
        <color indexed="8"/>
        <rFont val="仿宋_GB2312"/>
        <family val="3"/>
        <charset val="134"/>
      </rPr>
      <t>A</t>
    </r>
    <phoneticPr fontId="6" type="noConversion"/>
  </si>
  <si>
    <r>
      <t>Ⅶ-良乡开发区</t>
    </r>
    <r>
      <rPr>
        <sz val="8"/>
        <color indexed="8"/>
        <rFont val="仿宋_GB2312"/>
        <family val="3"/>
        <charset val="134"/>
      </rPr>
      <t>B</t>
    </r>
    <phoneticPr fontId="6" type="noConversion"/>
  </si>
  <si>
    <r>
      <t>Ⅶ-良乡开发区</t>
    </r>
    <r>
      <rPr>
        <sz val="8"/>
        <color indexed="8"/>
        <rFont val="仿宋_GB2312"/>
        <family val="3"/>
        <charset val="134"/>
      </rPr>
      <t>C</t>
    </r>
    <phoneticPr fontId="6" type="noConversion"/>
  </si>
  <si>
    <t>Ⅶ-林河开发区</t>
    <phoneticPr fontId="6" type="noConversion"/>
  </si>
  <si>
    <t>Ⅶ-空港北区A</t>
    <phoneticPr fontId="6" type="noConversion"/>
  </si>
  <si>
    <r>
      <t>Ⅶ-昌平园北</t>
    </r>
    <r>
      <rPr>
        <sz val="8"/>
        <color indexed="8"/>
        <rFont val="宋体"/>
        <family val="3"/>
        <charset val="134"/>
      </rPr>
      <t>Ⅰ</t>
    </r>
    <phoneticPr fontId="6" type="noConversion"/>
  </si>
  <si>
    <t>Ⅶ-BDA南</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</si>
  <si>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</si>
  <si>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</si>
  <si>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</si>
  <si>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</si>
  <si>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</si>
  <si>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</si>
  <si>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</si>
  <si>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</si>
  <si>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</si>
  <si>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</si>
  <si>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</si>
  <si>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</si>
  <si>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</si>
  <si>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</si>
  <si>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</si>
  <si>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</si>
  <si>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</si>
  <si>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</si>
  <si>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</si>
  <si>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北京市级别基准地价表（楼面地价）</t>
    <phoneticPr fontId="137" type="noConversion"/>
  </si>
  <si>
    <t>（一）北京市级别基准地价表</t>
    <phoneticPr fontId="137" type="noConversion"/>
  </si>
  <si>
    <t xml:space="preserve">基准期日：2021年１月１日                        </t>
    <phoneticPr fontId="137" type="noConversion"/>
  </si>
  <si>
    <t>单位：元／平方米</t>
    <phoneticPr fontId="137" type="noConversion"/>
  </si>
  <si>
    <t>公共服务</t>
    <phoneticPr fontId="137" type="noConversion"/>
  </si>
  <si>
    <t>（2）</t>
    <phoneticPr fontId="79" type="noConversion"/>
  </si>
  <si>
    <t>（3）</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</si>
  <si>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</si>
  <si>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</si>
  <si>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</si>
  <si>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79" type="noConversion"/>
  </si>
  <si>
    <r>
      <rPr>
        <sz val="10"/>
        <rFont val="宋体"/>
        <family val="3"/>
        <charset val="134"/>
      </rPr>
      <t>无</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</si>
  <si>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</si>
  <si>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79"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</si>
  <si>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</si>
  <si>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</si>
  <si>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</si>
  <si>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</si>
  <si>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</si>
  <si>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</si>
  <si>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</si>
  <si>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</si>
  <si>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t>（6）</t>
    <phoneticPr fontId="79" type="noConversion"/>
  </si>
  <si>
    <t>中心城区</t>
  </si>
  <si>
    <t>按公示增长率计算</t>
  </si>
  <si>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</si>
  <si>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</si>
  <si>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</si>
  <si>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t>楼面熟地价=适用的基准地价×用途修正系数×期日修正系数×年期修正系数×（容积率修正系数或楼层修正系数）×因素修正系数</t>
    <phoneticPr fontId="6" type="noConversion"/>
  </si>
  <si>
    <t>楼面熟地价=适用的基准地价×用途修正系数×期日修正系数×年期修正系数×因素修正系数×相应用途地下空间修正系数</t>
    <phoneticPr fontId="79" type="noConversion"/>
  </si>
  <si>
    <t>公共服务</t>
    <phoneticPr fontId="79"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</si>
  <si>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</si>
  <si>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</si>
  <si>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</si>
  <si>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</si>
  <si>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</si>
  <si>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r>
      <t>6</t>
    </r>
    <r>
      <rPr>
        <sz val="10"/>
        <color theme="1"/>
        <rFont val="宋体"/>
        <family val="3"/>
        <charset val="134"/>
      </rPr>
      <t>层及以上</t>
    </r>
    <phoneticPr fontId="6" type="noConversion"/>
  </si>
  <si>
    <t>城市规划及区域土地利用方向</t>
    <phoneticPr fontId="6" type="noConversion"/>
  </si>
  <si>
    <t>城市规划及区域土地利用方向</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</si>
  <si>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</si>
  <si>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</si>
  <si>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</si>
  <si>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</si>
  <si>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</si>
  <si>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</si>
  <si>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</si>
  <si>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</si>
  <si>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</si>
  <si>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</si>
  <si>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</si>
  <si>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</si>
  <si>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幅度控制</t>
    </r>
    <r>
      <rPr>
        <sz val="10"/>
        <color rgb="FFFF0000"/>
        <rFont val="Arial"/>
        <family val="2"/>
      </rPr>
      <t>(±)</t>
    </r>
    <phoneticPr fontId="6" type="noConversion"/>
  </si>
  <si>
    <r>
      <rPr>
        <sz val="10"/>
        <color indexed="8"/>
        <rFont val="宋体"/>
        <family val="3"/>
        <charset val="134"/>
      </rPr>
      <t>修正系数</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</si>
  <si>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</si>
  <si>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9" tint="-0.249977111117893"/>
        <rFont val="宋体"/>
        <family val="3"/>
        <charset val="134"/>
      </rPr>
      <t>宗地形状？，但对宗地利用影响？</t>
    </r>
    <phoneticPr fontId="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</si>
  <si>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</si>
  <si>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</si>
  <si>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</si>
  <si>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</si>
  <si>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</si>
  <si>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</si>
  <si>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</si>
  <si>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</si>
  <si>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</si>
  <si>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</si>
  <si>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</si>
  <si>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</si>
  <si>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</si>
  <si>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</si>
  <si>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</si>
  <si>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</si>
  <si>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</si>
  <si>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</si>
  <si>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</si>
  <si>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</si>
  <si>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</si>
  <si>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</si>
  <si>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</si>
  <si>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</si>
  <si>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</si>
  <si>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</si>
  <si>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</si>
  <si>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</si>
  <si>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</si>
  <si>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</si>
  <si>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</si>
  <si>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</si>
  <si>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</si>
  <si>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</si>
  <si>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</si>
  <si>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</si>
  <si>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</si>
  <si>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</si>
  <si>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</si>
  <si>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</si>
  <si>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</si>
  <si>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</si>
  <si>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</si>
  <si>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</si>
  <si>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</si>
  <si>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</si>
  <si>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</si>
  <si>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</si>
  <si>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</si>
  <si>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</si>
  <si>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</si>
  <si>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</si>
  <si>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</si>
  <si>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</si>
  <si>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</si>
  <si>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</si>
  <si>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</si>
  <si>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</si>
  <si>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</si>
  <si>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</si>
  <si>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</si>
  <si>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</si>
  <si>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</si>
  <si>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9" type="noConversion"/>
  </si>
  <si>
    <t>承租人权益价值（单套）</t>
    <phoneticPr fontId="6" type="noConversion"/>
  </si>
  <si>
    <t>万元</t>
    <phoneticPr fontId="140" type="noConversion"/>
  </si>
  <si>
    <t>元/平方米</t>
  </si>
  <si>
    <t>2022-2</t>
    <phoneticPr fontId="6" type="noConversion"/>
  </si>
  <si>
    <t>需转化为价格</t>
    <phoneticPr fontId="137" type="noConversion"/>
  </si>
  <si>
    <t>租金</t>
    <phoneticPr fontId="137" type="noConversion"/>
  </si>
  <si>
    <t>直接资本化率</t>
    <phoneticPr fontId="137" type="noConversion"/>
  </si>
  <si>
    <t>需考虑建筑物残值</t>
  </si>
  <si>
    <t>2022-3</t>
    <phoneticPr fontId="137" type="noConversion"/>
  </si>
  <si>
    <t>2022-2</t>
    <phoneticPr fontId="6" type="noConversion"/>
  </si>
  <si>
    <t>2022-1</t>
    <phoneticPr fontId="6" type="noConversion"/>
  </si>
  <si>
    <t>2022-4</t>
    <phoneticPr fontId="6" type="noConversion"/>
  </si>
  <si>
    <t>2022-3</t>
    <phoneticPr fontId="6" type="noConversion"/>
  </si>
  <si>
    <t>2022-3</t>
    <phoneticPr fontId="6" type="noConversion"/>
  </si>
  <si>
    <t>中心城区：城六区，对应北京市地价动态监测结果的国家级样点和市级样点中办公（市区）</t>
    <phoneticPr fontId="145" type="noConversion"/>
  </si>
  <si>
    <r>
      <t>非中心城区：除城六区外其余十一区，对应北京市地价动态监测结果的市级样点，即</t>
    </r>
    <r>
      <rPr>
        <sz val="10"/>
        <rFont val="楷体_GB2312"/>
        <family val="3"/>
        <charset val="134"/>
      </rPr>
      <t>规划新城</t>
    </r>
    <phoneticPr fontId="145" type="noConversion"/>
  </si>
  <si>
    <t>2022-4</t>
    <phoneticPr fontId="6" type="noConversion"/>
  </si>
  <si>
    <t>2023-1</t>
    <phoneticPr fontId="6" type="noConversion"/>
  </si>
  <si>
    <t>2023-2</t>
    <phoneticPr fontId="6" type="noConversion"/>
  </si>
  <si>
    <t>公示增长率-国家级样点（中心城区）</t>
    <phoneticPr fontId="145" type="noConversion"/>
  </si>
  <si>
    <t>公示增长率-市级样点（非中心城区）</t>
    <phoneticPr fontId="145" type="noConversion"/>
  </si>
  <si>
    <t>2023-2</t>
    <phoneticPr fontId="6" type="noConversion"/>
  </si>
  <si>
    <t>2023-3</t>
    <phoneticPr fontId="6" type="noConversion"/>
  </si>
  <si>
    <t>2023-4</t>
    <phoneticPr fontId="6" type="noConversion"/>
  </si>
  <si>
    <t>2023-4</t>
    <phoneticPr fontId="6" type="noConversion"/>
  </si>
  <si>
    <t>2024-3</t>
    <phoneticPr fontId="6" type="noConversion"/>
  </si>
  <si>
    <t>2024-2</t>
    <phoneticPr fontId="6" type="noConversion"/>
  </si>
  <si>
    <t>2024-1</t>
    <phoneticPr fontId="6" type="noConversion"/>
  </si>
  <si>
    <t>2024-1</t>
    <phoneticPr fontId="6" type="noConversion"/>
  </si>
  <si>
    <r>
      <rPr>
        <sz val="10"/>
        <color rgb="FFFF0000"/>
        <rFont val="宋体"/>
        <family val="3"/>
        <charset val="134"/>
      </rPr>
      <t>范围：</t>
    </r>
    <r>
      <rPr>
        <sz val="10"/>
        <color rgb="FFFF0000"/>
        <rFont val="Arial"/>
        <family val="2"/>
      </rPr>
      <t>3%-10%</t>
    </r>
    <phoneticPr fontId="6" type="noConversion"/>
  </si>
  <si>
    <r>
      <rPr>
        <sz val="10"/>
        <color rgb="FFFF0000"/>
        <rFont val="宋体"/>
        <family val="3"/>
        <charset val="134"/>
      </rPr>
      <t>范围：</t>
    </r>
    <r>
      <rPr>
        <sz val="10"/>
        <color rgb="FFFF0000"/>
        <rFont val="Arial"/>
        <family val="2"/>
      </rPr>
      <t>1.5%-3%</t>
    </r>
    <phoneticPr fontId="6" type="noConversion"/>
  </si>
  <si>
    <t>序号</t>
  </si>
  <si>
    <t>规划用途</t>
  </si>
  <si>
    <t>建筑面积（㎡）</t>
  </si>
  <si>
    <t>所在楼层</t>
  </si>
  <si>
    <t>配套</t>
  </si>
  <si>
    <t>配套仓储</t>
  </si>
  <si>
    <t>合计</t>
  </si>
  <si>
    <t>坐落</t>
  </si>
  <si>
    <t>西城区堂子胡同9号-2层9-8</t>
  </si>
  <si>
    <t>西城区堂子胡同9号-4层9-6</t>
  </si>
  <si>
    <t>西城区堂子胡同9号6层9-18</t>
  </si>
  <si>
    <t>西城区堂子胡同9号-1层9-10</t>
  </si>
  <si>
    <t>西城区堂子胡同9号10层9-22</t>
  </si>
  <si>
    <t>西城区堂子胡同9号9层9-21</t>
  </si>
  <si>
    <t>西城区堂子胡同9号8层9-20</t>
  </si>
  <si>
    <t>西城区堂子胡同9号7层9-19</t>
  </si>
  <si>
    <t>西城区堂子胡同9号5层9-17</t>
  </si>
  <si>
    <t>西城区堂子胡同9号4层9-16</t>
  </si>
  <si>
    <t>西城区堂子胡同9号2层9-14</t>
  </si>
  <si>
    <t>西城区堂子胡同9号1层9-11</t>
  </si>
  <si>
    <t>西城区堂子胡同9号-3层9-7</t>
  </si>
  <si>
    <t>西城区堂子胡同9号3层9-15</t>
  </si>
  <si>
    <t>西城区堂子胡同9号-1层9-9</t>
  </si>
  <si>
    <t>西城区堂子胡同9号-4层9-1</t>
  </si>
  <si>
    <t>西城区堂子胡同9号-4层9-2</t>
  </si>
  <si>
    <t>西城区堂子胡同9号-4层9-4</t>
  </si>
  <si>
    <t>西城区堂子胡同9号-4层9-3</t>
  </si>
  <si>
    <t>西城区堂子胡同9号-4层9-5</t>
  </si>
  <si>
    <t>崔锴</t>
  </si>
  <si>
    <t>郑燚</t>
  </si>
  <si>
    <t>中国建设银行股份有限公司北京西单支行</t>
    <phoneticPr fontId="9" type="noConversion"/>
  </si>
  <si>
    <t>北京城市更新七号商业管理有限公司</t>
    <phoneticPr fontId="9" type="noConversion"/>
  </si>
  <si>
    <t>抵押</t>
  </si>
  <si>
    <t>房地产抵押价值</t>
  </si>
  <si>
    <t>北京市</t>
  </si>
  <si>
    <r>
      <rPr>
        <sz val="10"/>
        <color theme="9" tint="-0.249977111117893"/>
        <rFont val="宋体"/>
        <family val="3"/>
        <charset val="134"/>
      </rPr>
      <t>西城区堂子胡同</t>
    </r>
    <r>
      <rPr>
        <sz val="10"/>
        <color theme="9" tint="-0.249977111117893"/>
        <rFont val="Arial"/>
        <family val="2"/>
      </rPr>
      <t>9</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9-1</t>
    </r>
    <r>
      <rPr>
        <sz val="10"/>
        <color theme="9" tint="-0.249977111117893"/>
        <rFont val="宋体"/>
        <family val="3"/>
        <charset val="134"/>
      </rPr>
      <t>等</t>
    </r>
    <r>
      <rPr>
        <sz val="10"/>
        <color theme="9" tint="-0.249977111117893"/>
        <rFont val="Arial"/>
        <family val="2"/>
      </rPr>
      <t>[20]</t>
    </r>
    <r>
      <rPr>
        <sz val="10"/>
        <color theme="9" tint="-0.249977111117893"/>
        <rFont val="宋体"/>
        <family val="3"/>
        <charset val="134"/>
      </rPr>
      <t>套全部商业、配套、车库</t>
    </r>
    <phoneticPr fontId="9" type="noConversion"/>
  </si>
  <si>
    <t>企业</t>
  </si>
  <si>
    <t>中鸿新一代（北京）企业管理有限公司</t>
    <phoneticPr fontId="9" type="noConversion"/>
  </si>
  <si>
    <t>综合项目（商业、办公）</t>
  </si>
  <si>
    <t>无</t>
  </si>
  <si>
    <t>否</t>
  </si>
  <si>
    <t>现房</t>
  </si>
  <si>
    <t>通路</t>
  </si>
  <si>
    <t>通电</t>
  </si>
  <si>
    <t>通讯</t>
  </si>
  <si>
    <t>通上水</t>
  </si>
  <si>
    <t>通下水</t>
  </si>
  <si>
    <t>燃气</t>
  </si>
  <si>
    <t>平整</t>
  </si>
  <si>
    <t>Ⅰ—01</t>
  </si>
  <si>
    <t>是</t>
  </si>
  <si>
    <t>地上</t>
  </si>
  <si>
    <t>地下</t>
  </si>
  <si>
    <t>建安取值</t>
  </si>
  <si>
    <t>建筑面积</t>
  </si>
  <si>
    <t>单方建安</t>
  </si>
  <si>
    <t>建安</t>
  </si>
  <si>
    <t>主体</t>
  </si>
  <si>
    <t>公区装修</t>
  </si>
  <si>
    <t>室内装修</t>
  </si>
  <si>
    <t>设备</t>
  </si>
  <si>
    <t>人防</t>
  </si>
  <si>
    <t>综合平均</t>
  </si>
  <si>
    <t>成新度</t>
  </si>
  <si>
    <t>建成</t>
    <phoneticPr fontId="6" type="noConversion"/>
  </si>
  <si>
    <t>直线</t>
    <phoneticPr fontId="6" type="noConversion"/>
  </si>
  <si>
    <t>观察</t>
    <phoneticPr fontId="6" type="noConversion"/>
  </si>
  <si>
    <t>综合</t>
    <phoneticPr fontId="6" type="noConversion"/>
  </si>
  <si>
    <t>办公</t>
    <phoneticPr fontId="6" type="noConversion"/>
  </si>
  <si>
    <t>商业</t>
    <phoneticPr fontId="6" type="noConversion"/>
  </si>
  <si>
    <t>车库</t>
    <phoneticPr fontId="6" type="noConversion"/>
  </si>
  <si>
    <t>面积</t>
    <phoneticPr fontId="6" type="noConversion"/>
  </si>
  <si>
    <t>租金</t>
    <phoneticPr fontId="6" type="noConversion"/>
  </si>
  <si>
    <t>押一</t>
  </si>
  <si>
    <t>钢混</t>
  </si>
  <si>
    <t>非生产用房</t>
  </si>
  <si>
    <t>收益法-商业</t>
    <phoneticPr fontId="19" type="noConversion"/>
  </si>
  <si>
    <t>收益法-车库</t>
    <phoneticPr fontId="19" type="noConversion"/>
  </si>
  <si>
    <t>与级别开发程度不一致</t>
  </si>
  <si>
    <t>较好</t>
  </si>
  <si>
    <t>较好</t>
    <phoneticPr fontId="43" type="noConversion"/>
  </si>
  <si>
    <t>好</t>
  </si>
  <si>
    <t>好</t>
    <phoneticPr fontId="27" type="noConversion"/>
  </si>
  <si>
    <t>好</t>
    <phoneticPr fontId="43" type="noConversion"/>
  </si>
  <si>
    <t>七通</t>
  </si>
  <si>
    <t>七通</t>
    <phoneticPr fontId="27" type="noConversion"/>
  </si>
  <si>
    <t>一般</t>
  </si>
  <si>
    <t>未包含在土地购买价格中</t>
  </si>
  <si>
    <t>已包含在土地取得成本中</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</si>
  <si>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</si>
  <si>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</si>
  <si>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</si>
  <si>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</si>
  <si>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</si>
  <si>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</si>
  <si>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</si>
  <si>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</si>
  <si>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</si>
  <si>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</si>
  <si>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</si>
  <si>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</si>
  <si>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</si>
  <si>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</si>
  <si>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</si>
  <si>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</si>
  <si>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北京经济技术开发区同济中路18号土地上的房屋（构）建筑物及附属设施、树木</t>
    <phoneticPr fontId="137" type="noConversion"/>
  </si>
  <si>
    <t>经济技术开发区</t>
  </si>
  <si>
    <t>北京</t>
  </si>
  <si>
    <t>大兴</t>
  </si>
  <si>
    <t>亦庄</t>
  </si>
  <si>
    <t>工业厂房</t>
  </si>
  <si>
    <t>成交</t>
  </si>
  <si>
    <t>资产交易</t>
  </si>
  <si>
    <t>北京亦庄城市更新有限公司(内资)</t>
  </si>
  <si>
    <t>富智康精密组件（北京）有限公司</t>
  </si>
  <si>
    <t>远璟科创中心1号楼</t>
    <phoneticPr fontId="137" type="noConversion"/>
  </si>
  <si>
    <t>中海寰宇天下 | 天赋</t>
  </si>
  <si>
    <t>石景山</t>
  </si>
  <si>
    <t>古城</t>
  </si>
  <si>
    <t>写字楼</t>
  </si>
  <si>
    <t>北京宏润商业管理有限公司(内资)</t>
  </si>
  <si>
    <t>中海企业发展集团有限公司</t>
  </si>
  <si>
    <t>张喜庄村北环村路11号国有土地使用权及地上建筑物</t>
    <phoneticPr fontId="137" type="noConversion"/>
  </si>
  <si>
    <t>北京市顺义区高丽营镇张喜庄村北环村路11号</t>
  </si>
  <si>
    <t>顺义</t>
  </si>
  <si>
    <t>顺义其它</t>
  </si>
  <si>
    <t>法拍</t>
  </si>
  <si>
    <t>西安斗航科技有限公司(内资)</t>
  </si>
  <si>
    <t>北京胡萝卜文化艺术产业发展中心有限公司</t>
  </si>
  <si>
    <t>（破）北京市怀柔区杨宋镇凤翔科技开发区和平路甲3号楼1至3层101</t>
    <phoneticPr fontId="137" type="noConversion"/>
  </si>
  <si>
    <t>欧郡香水城</t>
  </si>
  <si>
    <t>怀柔</t>
  </si>
  <si>
    <t>庙城</t>
  </si>
  <si>
    <t>配套商业</t>
  </si>
  <si>
    <t>北京凤桐祥瑞房地产开发有限公司</t>
  </si>
  <si>
    <t>金桥科技产业基地（1-5号楼）</t>
    <phoneticPr fontId="137" type="noConversion"/>
  </si>
  <si>
    <t>金桥科技产业基地（1-5号楼）</t>
  </si>
  <si>
    <t>通州</t>
  </si>
  <si>
    <t>其他</t>
  </si>
  <si>
    <t>深圳市丰盛投资有限公司(内资)</t>
  </si>
  <si>
    <t>北京纳尔特保温节能材料有限公司</t>
  </si>
  <si>
    <t>同创汽车产业园</t>
    <phoneticPr fontId="137" type="noConversion"/>
  </si>
  <si>
    <t>东联同创科技园</t>
  </si>
  <si>
    <t>昌平</t>
  </si>
  <si>
    <t>阳坊</t>
  </si>
  <si>
    <t>联东U谷(内资)</t>
  </si>
  <si>
    <t>北京福溢丰园资产管理有限公司债权</t>
    <phoneticPr fontId="137" type="noConversion"/>
  </si>
  <si>
    <t>正源定慧福里,正源尚峰尚水写字楼,正源金融世家华苑</t>
  </si>
  <si>
    <t>北京,北京,北京</t>
  </si>
  <si>
    <t>综合体</t>
  </si>
  <si>
    <t>股权交易</t>
  </si>
  <si>
    <t>北京福溢丰园资产管理有限公司</t>
  </si>
  <si>
    <t>北京市北京经济技术开发区凉水河二街5号院4号楼-1至9层101</t>
    <phoneticPr fontId="137" type="noConversion"/>
  </si>
  <si>
    <t>洪泰产业社区（国基智园）</t>
  </si>
  <si>
    <t>甲级</t>
  </si>
  <si>
    <t>北京中奥通宇科技股份有限公司(内资)</t>
  </si>
  <si>
    <t>八达岭开发区风谷四路8号院12号楼1至4层</t>
    <phoneticPr fontId="137" type="noConversion"/>
  </si>
  <si>
    <t>清凉盛景</t>
  </si>
  <si>
    <t>延庆</t>
  </si>
  <si>
    <t>八达岭</t>
  </si>
  <si>
    <t>北京景瑞创安科技有限公司(内资)</t>
  </si>
  <si>
    <t>联合益康（北京）生物科技有限公司</t>
  </si>
  <si>
    <t>北京市海淀区上地西路39号（3、4、5、8幢）、（2、6、7幢）土地及房产</t>
    <phoneticPr fontId="137" type="noConversion"/>
  </si>
  <si>
    <t>北大生物城</t>
  </si>
  <si>
    <t>海淀</t>
  </si>
  <si>
    <t>苏州桥</t>
  </si>
  <si>
    <t>商务园区/产业园区</t>
  </si>
  <si>
    <t>北京市海淀区国有资本运营有限公司(内资)</t>
  </si>
  <si>
    <t>海南天道投资有限公司</t>
  </si>
  <si>
    <t>北京市北京经济技术开发区科创九街11号院1号楼等8幢楼（工业用地/研发楼、厂房、地下室、门卫室等5中用途房地产）</t>
    <phoneticPr fontId="137" type="noConversion"/>
  </si>
  <si>
    <t>北京中科紫鑫科技有限责任公司厂房</t>
  </si>
  <si>
    <t>通州区</t>
  </si>
  <si>
    <t>北京亦城星科科技产业发展有限公司(内资)</t>
  </si>
  <si>
    <t>北京中科紫鑫科技有限责任公司</t>
  </si>
  <si>
    <t>北京大兴生物医药基地</t>
    <phoneticPr fontId="137" type="noConversion"/>
  </si>
  <si>
    <t>大兴生物医药行业基地</t>
  </si>
  <si>
    <t>生物医药基地</t>
  </si>
  <si>
    <t>康桥资本(外资),亚太集团(外资)</t>
  </si>
  <si>
    <t>顺义区天竺空港工业区12号工业建设用地使用权地上建筑物附属物构筑物地下设施等财产</t>
    <phoneticPr fontId="137" type="noConversion"/>
  </si>
  <si>
    <t>天竺空港工业区</t>
  </si>
  <si>
    <t>后沙峪</t>
  </si>
  <si>
    <t>乙级</t>
  </si>
  <si>
    <t>北京新华空港航空食品有限公司</t>
  </si>
  <si>
    <t>（破）北京经济技术开发区西环南路26号院16幢1-4层房地产</t>
    <phoneticPr fontId="137" type="noConversion"/>
  </si>
  <si>
    <t>嘉捷科技园</t>
  </si>
  <si>
    <t>北京圣福伦科技有限公司</t>
  </si>
  <si>
    <t>通州区台湖镇103（部分）、109地块F3土地使用权及在建工程</t>
    <phoneticPr fontId="137" type="noConversion"/>
  </si>
  <si>
    <t>通州区台湖镇103（部分）、109地块F3土地使用权及在建工程</t>
  </si>
  <si>
    <t>北京城建兴华地产有限公司(内资)</t>
  </si>
  <si>
    <t>北京光谷科技园开发建设有限公司</t>
  </si>
  <si>
    <t>玫瑰坊商业中心</t>
    <phoneticPr fontId="137" type="noConversion"/>
  </si>
  <si>
    <t>玫瑰坊商业中心</t>
  </si>
  <si>
    <t>购物中心/百货商场</t>
  </si>
  <si>
    <t>北京通华业科技发展有限公司(内资)</t>
  </si>
  <si>
    <t>深圳市华富溢投资有限公司</t>
  </si>
  <si>
    <t>北京市通州区嘉创路10号16号楼1至3层101房屋</t>
    <phoneticPr fontId="137" type="noConversion"/>
  </si>
  <si>
    <t>枢密院</t>
  </si>
  <si>
    <t>北京圆领科技有限公司(内资)</t>
  </si>
  <si>
    <t>财富人生投资发展有限公司</t>
  </si>
  <si>
    <t>新浪网技术（中国）有限公司的100%股权</t>
    <phoneticPr fontId="137" type="noConversion"/>
  </si>
  <si>
    <t>新浪总部大厦</t>
  </si>
  <si>
    <t>中关村</t>
  </si>
  <si>
    <t>微博股份有限公司(内资)</t>
  </si>
  <si>
    <t>新浪香港有限公司</t>
  </si>
  <si>
    <t>北京市西城区复兴门外大街8号及迤北房地产资产（复兴商业城项目）</t>
    <phoneticPr fontId="137" type="noConversion"/>
  </si>
  <si>
    <t>复兴商业城</t>
  </si>
  <si>
    <t>西城</t>
  </si>
  <si>
    <t>木樨地</t>
  </si>
  <si>
    <t>北京首开城市运营服务集团有限公司(内资)</t>
  </si>
  <si>
    <t>北京城市开发集团有限责任公司</t>
  </si>
  <si>
    <t>中粮万科FUNMIX半岛广场</t>
    <phoneticPr fontId="137" type="noConversion"/>
  </si>
  <si>
    <t>中粮万科FUNMIX半岛广场</t>
  </si>
  <si>
    <t>房山</t>
  </si>
  <si>
    <t>长阳</t>
  </si>
  <si>
    <t>万科企业股份有限公司(内资)</t>
  </si>
  <si>
    <t>中粮集团有限公司</t>
  </si>
  <si>
    <t>北京市丰台区右安门外大街2号院1号楼-1层A段-01 （建筑面积1067.95平方米）房产</t>
    <phoneticPr fontId="137" type="noConversion"/>
  </si>
  <si>
    <t>迦南公寓写字楼</t>
  </si>
  <si>
    <t>丰台</t>
  </si>
  <si>
    <t>右安门外</t>
  </si>
  <si>
    <t>北京传世恒源文化传播有限公司</t>
  </si>
  <si>
    <t>奥林匹克地下空间</t>
    <phoneticPr fontId="137" type="noConversion"/>
  </si>
  <si>
    <t>北京奥林匹克公园中心区</t>
  </si>
  <si>
    <t>朝阳</t>
  </si>
  <si>
    <t>奥林匹克公园</t>
  </si>
  <si>
    <t>商业街</t>
  </si>
  <si>
    <t>北京新奥集团</t>
  </si>
  <si>
    <t>北京市石景山区杨庄路15号2层</t>
    <phoneticPr fontId="137" type="noConversion"/>
  </si>
  <si>
    <t>御景山</t>
  </si>
  <si>
    <t>杨庄</t>
  </si>
  <si>
    <t>北京光速达网络通信技术有限公司(内资)</t>
  </si>
  <si>
    <t>南通市裕成建设有限公司</t>
  </si>
  <si>
    <t>（破）洛娃大厦C座不动产及其不可移动附属设施设备</t>
    <phoneticPr fontId="137" type="noConversion"/>
  </si>
  <si>
    <t>洛娃大厦</t>
  </si>
  <si>
    <t>望京</t>
  </si>
  <si>
    <t>洛娃科技实业集团有限公司</t>
  </si>
  <si>
    <t>北京市通州区口子村东1号院152号楼-1至3层101</t>
    <phoneticPr fontId="137" type="noConversion"/>
  </si>
  <si>
    <t>经略天则</t>
  </si>
  <si>
    <t>次渠</t>
  </si>
  <si>
    <t>河北山滨建筑工程有限公司(内资)</t>
  </si>
  <si>
    <t>国际企业大道</t>
    <phoneticPr fontId="137" type="noConversion"/>
  </si>
  <si>
    <t>国际企业大道</t>
  </si>
  <si>
    <t>颐堤港一期</t>
    <phoneticPr fontId="137" type="noConversion"/>
  </si>
  <si>
    <t>颐堤港</t>
  </si>
  <si>
    <t>中国人民人寿保险股份有限公司(内资)</t>
  </si>
  <si>
    <t>远洋集团</t>
  </si>
  <si>
    <t>（破）怀柔区杨宋镇凤翔科技开发区和平路甲1号楼1至2层1单元101</t>
    <phoneticPr fontId="137" type="noConversion"/>
  </si>
  <si>
    <t>绿地智汇健康城5号6号楼</t>
    <phoneticPr fontId="137" type="noConversion"/>
  </si>
  <si>
    <t>绿地智汇健康城</t>
  </si>
  <si>
    <t>建信住房基金(内资)</t>
  </si>
  <si>
    <t>绿地集团</t>
  </si>
  <si>
    <t>中关村科技园区云湖中心</t>
    <phoneticPr fontId="137" type="noConversion"/>
  </si>
  <si>
    <t>中关村科技园区云湖中心</t>
  </si>
  <si>
    <t>上地</t>
  </si>
  <si>
    <t>北京福泉投资有限公司</t>
  </si>
  <si>
    <t>北京市朝阳区天畅园2号楼2层2-202-203、2-205-215共计11套房</t>
    <phoneticPr fontId="137" type="noConversion"/>
  </si>
  <si>
    <t>媒体村天畅园</t>
  </si>
  <si>
    <t>北苑</t>
  </si>
  <si>
    <t>华业商业中心大厦1号楼</t>
    <phoneticPr fontId="137" type="noConversion"/>
  </si>
  <si>
    <t>华业商业中心大厦1号楼</t>
  </si>
  <si>
    <t>梨园</t>
  </si>
  <si>
    <t>北京市西定福园艺有限公司(内资)</t>
  </si>
  <si>
    <t>北京第四中院</t>
  </si>
  <si>
    <t>华业国际中心</t>
    <phoneticPr fontId="137" type="noConversion"/>
  </si>
  <si>
    <t>华业国际中心</t>
  </si>
  <si>
    <t>大望路</t>
  </si>
  <si>
    <t>北京西丁府(内资)</t>
  </si>
  <si>
    <t>北京华业资本控股股份有限公司</t>
  </si>
  <si>
    <t>顺鑫佳宇持有的位于北京市顺义区的商务中心及寰宇中心</t>
    <phoneticPr fontId="137" type="noConversion"/>
  </si>
  <si>
    <t>顺鑫·寰宇中心,顺鑫国际商务中心</t>
  </si>
  <si>
    <t>北京,北京</t>
  </si>
  <si>
    <t>北京顺鑫农业股份有限公司(内资)</t>
  </si>
  <si>
    <t>北京顺鑫佳宇房地产开发有限公司</t>
  </si>
  <si>
    <t>北京市昌平区北七家镇天通东苑三区2号楼-1至4层3门</t>
    <phoneticPr fontId="137" type="noConversion"/>
  </si>
  <si>
    <t>天通苑东三区法式园</t>
  </si>
  <si>
    <t>天通苑</t>
  </si>
  <si>
    <t>北京市朝阳区天畅园6号楼2层6-202至6-203、6-205至210共计8套房</t>
    <phoneticPr fontId="137" type="noConversion"/>
  </si>
  <si>
    <t>招商花园里3号楼</t>
    <phoneticPr fontId="137" type="noConversion"/>
  </si>
  <si>
    <t>招商雍合府</t>
  </si>
  <si>
    <t>黄村南</t>
  </si>
  <si>
    <t>北京百肯供应链管理有限公司(内资)</t>
  </si>
  <si>
    <t>招商蛇口</t>
  </si>
  <si>
    <t>金方商贸大厦</t>
    <phoneticPr fontId="137" type="noConversion"/>
  </si>
  <si>
    <t>金方商贸大厦</t>
  </si>
  <si>
    <t>北京逸瑞商贸有限公司(内资)</t>
  </si>
  <si>
    <t>华天酒店</t>
  </si>
  <si>
    <t>北京招商大厦</t>
    <phoneticPr fontId="137" type="noConversion"/>
  </si>
  <si>
    <t>北京招商大厦</t>
  </si>
  <si>
    <t>太盟(上海)投资管理咨询有限公司(外资)</t>
  </si>
  <si>
    <t>深圳招商蛇口国际邮轮母港有限公司</t>
  </si>
  <si>
    <t>北京市丰台区南四环西路188号二区12号楼</t>
    <phoneticPr fontId="137" type="noConversion"/>
  </si>
  <si>
    <t>总部基地</t>
  </si>
  <si>
    <t>科技园区</t>
  </si>
  <si>
    <t>南昌成迈企业管理有限公司(内资)</t>
  </si>
  <si>
    <t>总部基地投资有限公司</t>
  </si>
  <si>
    <t>北京市朝阳区南新园26号楼3层301、302、303</t>
    <phoneticPr fontId="137" type="noConversion"/>
  </si>
  <si>
    <t>南新园</t>
  </si>
  <si>
    <t>十里河</t>
  </si>
  <si>
    <t>首实建设有限公司(内资)</t>
  </si>
  <si>
    <t>CSD商务广场1#、5#商务办公楼2-5层</t>
    <phoneticPr fontId="137" type="noConversion"/>
  </si>
  <si>
    <t>CSD商务广场1#、5#商务办公楼2-5层</t>
  </si>
  <si>
    <t>执行人北京美泉宫饭店管理有限公司名下位于北京市海淀区西四环北路125号1幢房产</t>
    <phoneticPr fontId="137" type="noConversion"/>
  </si>
  <si>
    <t>北京美泉宫饭店</t>
  </si>
  <si>
    <t>海淀区</t>
  </si>
  <si>
    <t>酒店</t>
  </si>
  <si>
    <t>北京泰恒新景商贸有限公司(内资)</t>
  </si>
  <si>
    <t>北京美泉宫饭店管理有限公司</t>
  </si>
  <si>
    <t>宇达创意中心创意产业园区105号独栋</t>
    <phoneticPr fontId="137" type="noConversion"/>
  </si>
  <si>
    <t>宇达创意中心</t>
  </si>
  <si>
    <t>双桥</t>
  </si>
  <si>
    <t>北京九台集团</t>
  </si>
  <si>
    <t>北京市大兴区兴丰大街三段87号-1至6层全部</t>
    <phoneticPr fontId="137" type="noConversion"/>
  </si>
  <si>
    <t>北京市大兴区兴丰大街三段87号</t>
  </si>
  <si>
    <t>大兴区</t>
  </si>
  <si>
    <t>王磊(内资)</t>
  </si>
  <si>
    <t>高淑荣</t>
  </si>
  <si>
    <t>总部基地二区1号楼</t>
    <phoneticPr fontId="137" type="noConversion"/>
  </si>
  <si>
    <t>自如公寓(内资)</t>
  </si>
  <si>
    <t>景枫立嘉置业</t>
  </si>
  <si>
    <t>总部基地二区11号楼</t>
    <phoneticPr fontId="137" type="noConversion"/>
  </si>
  <si>
    <t>中光致远（厦门）企业管理有限公司(内资)</t>
  </si>
  <si>
    <t>北京中关村丰台园道丰科技商务园建设发展有限公司</t>
  </si>
  <si>
    <t>北京金融街国际酒店</t>
    <phoneticPr fontId="137" type="noConversion"/>
  </si>
  <si>
    <t>北京金融街国际酒店</t>
  </si>
  <si>
    <t>工银国际控股有限公司(外资)</t>
  </si>
  <si>
    <t>首创置业股份有限公司</t>
  </si>
  <si>
    <t>世茂广场</t>
    <phoneticPr fontId="137" type="noConversion"/>
  </si>
  <si>
    <t>世茂广场</t>
  </si>
  <si>
    <t>东直门</t>
  </si>
  <si>
    <t>北京卓睿物业管理有限公司(内资)</t>
  </si>
  <si>
    <t>北京财富时代置业有限公司,北京百鼎新世纪商业管理有限公司</t>
  </si>
  <si>
    <t>北京经开·国际企业大道Ⅲ</t>
  </si>
  <si>
    <t>北京博睿宏远数据科技股份有限公司上海分公司(内资)</t>
  </si>
  <si>
    <t>北京经开光谷置业有限公司</t>
  </si>
  <si>
    <t>首开万科翡翠四季</t>
    <phoneticPr fontId="137" type="noConversion"/>
  </si>
  <si>
    <t>首开万科翡翠四季</t>
  </si>
  <si>
    <t>平安普惠投资咨询有限公司(内资)</t>
  </si>
  <si>
    <t>北京友泰房地产开发有限公司</t>
  </si>
  <si>
    <t>中关村软件园10号楼</t>
    <phoneticPr fontId="137" type="noConversion"/>
  </si>
  <si>
    <t>中关村软件园</t>
  </si>
  <si>
    <t>佳杰科技（中国）有限公司(内资)</t>
  </si>
  <si>
    <t>永旺融合信息系统有限公司</t>
  </si>
  <si>
    <t>国永融通大楼</t>
    <phoneticPr fontId="137" type="noConversion"/>
  </si>
  <si>
    <t>国永融通大楼</t>
  </si>
  <si>
    <t>北京伟仕佳杰云创科技有限公司(内资)</t>
  </si>
  <si>
    <t>北京一中院</t>
  </si>
  <si>
    <t>北京通用时代大厦BC座</t>
    <phoneticPr fontId="137" type="noConversion"/>
  </si>
  <si>
    <t>通用时代中心</t>
  </si>
  <si>
    <t>丽泽桥</t>
  </si>
  <si>
    <t>中国人寿(内资)</t>
  </si>
  <si>
    <t>中国通用技术（集团）控股有限责任公司</t>
  </si>
  <si>
    <t>京杭广场写字楼</t>
    <phoneticPr fontId="137" type="noConversion"/>
  </si>
  <si>
    <t>京杭广场写字楼</t>
  </si>
  <si>
    <t>北京城市副中心投资建设集团有限公司(内资),上海爱琴海商业集团股份有限公司(内资)</t>
  </si>
  <si>
    <t>绿城中国控股有限公司</t>
  </si>
  <si>
    <t>北京市西城区白纸坊西街22号-1层107、1层1-2、2层1-6</t>
    <phoneticPr fontId="137" type="noConversion"/>
  </si>
  <si>
    <t>都市晴园</t>
  </si>
  <si>
    <t>宣武</t>
  </si>
  <si>
    <t>广安门</t>
  </si>
  <si>
    <t>中开盛世（北京）房地产经济有限公司(内资)</t>
  </si>
  <si>
    <t>天津益鑫象商贸有限公司</t>
  </si>
  <si>
    <t>北京市海淀区阜成路115号1号楼1层101</t>
    <phoneticPr fontId="137" type="noConversion"/>
  </si>
  <si>
    <t>北京印象</t>
  </si>
  <si>
    <t>定慧寺</t>
  </si>
  <si>
    <t>北京壹博仕健康管理有限公司(内资)</t>
  </si>
  <si>
    <t>顺峰饮食酒店管理股份有限公司</t>
  </si>
  <si>
    <t>中坤大厦</t>
    <phoneticPr fontId="137" type="noConversion"/>
  </si>
  <si>
    <t>中坤大厦</t>
  </si>
  <si>
    <t>皂君庙</t>
  </si>
  <si>
    <t>字节跳动有限公司(内资)</t>
  </si>
  <si>
    <t>北京中坤投资集团有限公司</t>
  </si>
  <si>
    <t>北京福地凰城酒店</t>
    <phoneticPr fontId="137" type="noConversion"/>
  </si>
  <si>
    <t>北京福地凰城酒店</t>
  </si>
  <si>
    <t>东城</t>
  </si>
  <si>
    <t>东四</t>
  </si>
  <si>
    <t>翰德集团有限公司(合资)</t>
  </si>
  <si>
    <t>北京市第二中级人民法院</t>
  </si>
  <si>
    <t>中关村科技园区研发大楼</t>
    <phoneticPr fontId="137" type="noConversion"/>
  </si>
  <si>
    <t>中关村科技园区研发大楼</t>
  </si>
  <si>
    <t>欧陆广场</t>
    <phoneticPr fontId="137" type="noConversion"/>
  </si>
  <si>
    <t>欧陆广场</t>
  </si>
  <si>
    <t>天竺</t>
  </si>
  <si>
    <t>天津高和股权投资基金管理有限公司(内资)</t>
  </si>
  <si>
    <t>栢城投資有限公司</t>
  </si>
  <si>
    <t>北京市丰台区右安门外大街2号院（迦南大厦）2号楼-1至12层等共计226处房地产</t>
    <phoneticPr fontId="137" type="noConversion"/>
  </si>
  <si>
    <t>迦南公寓</t>
  </si>
  <si>
    <t>北京乘风共起企业管理有限公司(内资)</t>
  </si>
  <si>
    <t>北京市溪水花园物业管理有限公司</t>
  </si>
  <si>
    <t>兴创国际中心B座</t>
    <phoneticPr fontId="137" type="noConversion"/>
  </si>
  <si>
    <t>兴创国际中心</t>
  </si>
  <si>
    <t>北京文投集团子公司(内资)</t>
  </si>
  <si>
    <t>兴创投资有限公司</t>
  </si>
  <si>
    <t>中关村时代广场（中关村购物中心）</t>
    <phoneticPr fontId="137" type="noConversion"/>
  </si>
  <si>
    <t>中关村时代广场（中关村购物中心）</t>
  </si>
  <si>
    <t>光大安石(北京)资产管理有限公司(内资)</t>
  </si>
  <si>
    <t>北京光耀东方投资管理有限公司</t>
  </si>
  <si>
    <t>银网中心</t>
    <phoneticPr fontId="137" type="noConversion"/>
  </si>
  <si>
    <t>银网中心</t>
  </si>
  <si>
    <t>知春路</t>
  </si>
  <si>
    <t>凯德商用广场</t>
    <phoneticPr fontId="137" type="noConversion"/>
  </si>
  <si>
    <t>凯德商用广场</t>
  </si>
  <si>
    <t>沙坪坝</t>
  </si>
  <si>
    <t>广州市万普投资有限责任公司(内资),万科企业股份有限公司(内资)</t>
  </si>
  <si>
    <t>凯德商用产业有限公司</t>
  </si>
  <si>
    <t>电子城IT产业园401号楼</t>
    <phoneticPr fontId="137" type="noConversion"/>
  </si>
  <si>
    <t>电子城IT产业园</t>
  </si>
  <si>
    <t>酒仙桥</t>
  </si>
  <si>
    <t>ABB</t>
  </si>
  <si>
    <t>电子城集团</t>
  </si>
  <si>
    <t>北京市西城区莲花池东路1号楼2幢</t>
    <phoneticPr fontId="137" type="noConversion"/>
  </si>
  <si>
    <t>华铁集团大厦</t>
  </si>
  <si>
    <t>北京市海淀区紫竹院路116号3层A座商业A02</t>
    <phoneticPr fontId="137" type="noConversion"/>
  </si>
  <si>
    <t>嘉豪国际中心商铺</t>
  </si>
  <si>
    <t>曙光</t>
  </si>
  <si>
    <t>淮安振耀建筑劳务有限公司(内资)</t>
  </si>
  <si>
    <t>北京硕格科技有限公司100%股权</t>
    <phoneticPr fontId="137" type="noConversion"/>
  </si>
  <si>
    <t>天竺园三街8号院3号楼</t>
  </si>
  <si>
    <t>数据中心</t>
  </si>
  <si>
    <t>人民网股份有限公司(内资)</t>
  </si>
  <si>
    <t>蓝汛欣润科技(北京)有限公司</t>
  </si>
  <si>
    <t>北京市海淀区花园东路15号9层2901、2902、2903、2905、2906、2907</t>
    <phoneticPr fontId="137" type="noConversion"/>
  </si>
  <si>
    <t>泰兴大厦写字楼</t>
  </si>
  <si>
    <t>新一城购物中心</t>
    <phoneticPr fontId="137" type="noConversion"/>
  </si>
  <si>
    <t>新一城购物中心</t>
  </si>
  <si>
    <t>平安信托有限责任公司(内资)</t>
  </si>
  <si>
    <t>河南中泽置业有限公司,郑州中海金程投资咨询有限公司</t>
  </si>
  <si>
    <t>U-SHOW悦秀城</t>
    <phoneticPr fontId="137" type="noConversion"/>
  </si>
  <si>
    <t>U-SHOW悦秀城</t>
  </si>
  <si>
    <t>方庄</t>
  </si>
  <si>
    <t>颢腾投资管理有限公司(外资),新加坡政府投资有限公司(外资),AEW GLOBAL GROUP(外资)</t>
  </si>
  <si>
    <t>深圳鹏润集团有限公司</t>
  </si>
  <si>
    <t>盛世博瑞服务式公寓</t>
    <phoneticPr fontId="137" type="noConversion"/>
  </si>
  <si>
    <t>雅诗阁国际公寓</t>
  </si>
  <si>
    <t>国贸</t>
  </si>
  <si>
    <t>公寓</t>
  </si>
  <si>
    <t>鼎一投资(内资)</t>
  </si>
  <si>
    <t>信威大厦</t>
    <phoneticPr fontId="137" type="noConversion"/>
  </si>
  <si>
    <t>信威大厦</t>
  </si>
  <si>
    <t>科大讯飞(内资)</t>
  </si>
  <si>
    <t>江西省南昌市中级人民法院</t>
  </si>
  <si>
    <t>安贞凯德广场</t>
    <phoneticPr fontId="137" type="noConversion"/>
  </si>
  <si>
    <t>安贞凯德广场</t>
  </si>
  <si>
    <t>远洋地产控股有限公司(外资)</t>
  </si>
  <si>
    <t>北京华联商厦股份有限公司</t>
  </si>
  <si>
    <t>酒仙桥10号楼C3座、B座</t>
    <phoneticPr fontId="137" type="noConversion"/>
  </si>
  <si>
    <t>酒仙桥10号楼C3座、B座</t>
  </si>
  <si>
    <t>东易日盛家居装饰集团股份有限公司(内资)</t>
  </si>
  <si>
    <t>北京电子城有限责任公司</t>
  </si>
  <si>
    <t>北苑路158号项目</t>
    <phoneticPr fontId="137" type="noConversion"/>
  </si>
  <si>
    <t>北苑路158号项目</t>
  </si>
  <si>
    <t>翰同（北京）投资管理有限公司</t>
  </si>
  <si>
    <t>爱立信通讯大厦</t>
    <phoneticPr fontId="137" type="noConversion"/>
  </si>
  <si>
    <t>爱立信通讯大厦</t>
  </si>
  <si>
    <t>北京中关村科技发展(控股)股份有限公司(内资)</t>
  </si>
  <si>
    <t>电子城科技园C3-B</t>
    <phoneticPr fontId="137" type="noConversion"/>
  </si>
  <si>
    <t>电子城科技园C3-B</t>
  </si>
  <si>
    <t>北京电子城高科技集团股份有限公司</t>
  </si>
  <si>
    <t>中关村软件园一期万集空间</t>
    <phoneticPr fontId="137" type="noConversion"/>
  </si>
  <si>
    <t>北京万集科技股份有限公司(内资)</t>
  </si>
  <si>
    <t>北京立腾阳光科技发展有限公司</t>
  </si>
  <si>
    <t>朝阳区 阜通东大街1号院3号楼15层2单元121811</t>
    <phoneticPr fontId="137" type="noConversion"/>
  </si>
  <si>
    <t>望京SOHO</t>
  </si>
  <si>
    <t>北京市朝阳区阜通东大街1号院6号楼17层1单元212006</t>
    <phoneticPr fontId="137" type="noConversion"/>
  </si>
  <si>
    <t>程远大厦A栋</t>
    <phoneticPr fontId="137" type="noConversion"/>
  </si>
  <si>
    <t>程远大厦A栋</t>
  </si>
  <si>
    <t>西三旗</t>
  </si>
  <si>
    <t>河南省景瑞控股有限责任公司(内资)</t>
  </si>
  <si>
    <t>北京中根金道商业管理中心(有限合伙)</t>
  </si>
  <si>
    <t>北京市朝阳区朝新嘉园东里六区1号楼1至2层114</t>
    <phoneticPr fontId="137" type="noConversion"/>
  </si>
  <si>
    <t>朝阳新城</t>
  </si>
  <si>
    <t>东坝</t>
  </si>
  <si>
    <t>李玲</t>
  </si>
  <si>
    <t>曾兴亮</t>
  </si>
  <si>
    <t>北京五环大酒店</t>
    <phoneticPr fontId="137" type="noConversion"/>
  </si>
  <si>
    <t>北京五环大酒店</t>
  </si>
  <si>
    <t>北京亮视医院管理发展有限公司(内资)</t>
  </si>
  <si>
    <t>北京五环酒店管理有限公司</t>
  </si>
  <si>
    <t>北京苏宁生活广场</t>
    <phoneticPr fontId="137" type="noConversion"/>
  </si>
  <si>
    <t>苏宁生活广场</t>
  </si>
  <si>
    <t>四惠</t>
  </si>
  <si>
    <t>凯德置地（中国）投资有限公司(外资)</t>
  </si>
  <si>
    <t>北京苏宁置业有限公司</t>
  </si>
  <si>
    <t>电子城科技园C2-A座</t>
    <phoneticPr fontId="137" type="noConversion"/>
  </si>
  <si>
    <t>电子城科技园C2-A座</t>
  </si>
  <si>
    <t>中南红文化集团股份有限公司(外资)</t>
  </si>
  <si>
    <t>电子城科技园C2-B</t>
    <phoneticPr fontId="137" type="noConversion"/>
  </si>
  <si>
    <t>电子城科技园C2-B</t>
  </si>
  <si>
    <t>某1科技公司(内资)</t>
  </si>
  <si>
    <t>公园1872底商</t>
    <phoneticPr fontId="137" type="noConversion"/>
  </si>
  <si>
    <t>公园1872底商</t>
  </si>
  <si>
    <t>东八里庄</t>
  </si>
  <si>
    <t>个人</t>
  </si>
  <si>
    <t>招商局蛇口工业区控股股份有限公司</t>
  </si>
  <si>
    <t>乐融大厦（原乐视大厦）</t>
    <phoneticPr fontId="137" type="noConversion"/>
  </si>
  <si>
    <t>乐融大厦</t>
  </si>
  <si>
    <t>朝阳公园</t>
  </si>
  <si>
    <t>北京衡盈物业管理有限公司(内资)</t>
  </si>
  <si>
    <t>北京宏城鑫泰置业有限公司</t>
  </si>
  <si>
    <t>优士阁大厦</t>
    <phoneticPr fontId="137" type="noConversion"/>
  </si>
  <si>
    <t>优士阁写字楼</t>
  </si>
  <si>
    <t>双井</t>
  </si>
  <si>
    <t>艺星整形(内资)</t>
  </si>
  <si>
    <t>华润置地</t>
  </si>
  <si>
    <t>豪成大厦（7套房产）</t>
    <phoneticPr fontId="137" type="noConversion"/>
  </si>
  <si>
    <t>豪成大厦（7套房产）</t>
  </si>
  <si>
    <t>北京紫东四方科贸有限公司(内资)</t>
  </si>
  <si>
    <t>北京中关村科技发展(控股)股份有限公司</t>
  </si>
  <si>
    <t>北京市海淀区海淀北二街8号4层516房产</t>
    <phoneticPr fontId="137" type="noConversion"/>
  </si>
  <si>
    <t>中关村SOHO</t>
  </si>
  <si>
    <t>北京市海淀区北四环西路9号16层1609（329.49㎡）</t>
    <phoneticPr fontId="137" type="noConversion"/>
  </si>
  <si>
    <t>北三环西路</t>
  </si>
  <si>
    <t>北京市海淀区北四环西路9号16层1609</t>
    <phoneticPr fontId="137" type="noConversion"/>
  </si>
  <si>
    <t>银谷大厦</t>
  </si>
  <si>
    <t>五道口</t>
  </si>
  <si>
    <t>中科声龙科技发展（北京）有限公司(内资)</t>
  </si>
  <si>
    <t>北京文通科技有限公司</t>
  </si>
  <si>
    <t>华联购物中心</t>
    <phoneticPr fontId="137" type="noConversion"/>
  </si>
  <si>
    <t>华联购物中心</t>
  </si>
  <si>
    <t>上海锦和投资集团有限公司(内资)</t>
  </si>
  <si>
    <t>北京华联集团投资控股有限公司</t>
  </si>
  <si>
    <t>北京市朝阳区朝阳门外大街甲6号17层2座1702房产</t>
    <phoneticPr fontId="137" type="noConversion"/>
  </si>
  <si>
    <t>万通中心</t>
  </si>
  <si>
    <t>CBD</t>
  </si>
  <si>
    <t>四弘物业管理（北京）有限公司(内资)</t>
  </si>
  <si>
    <t>招商花园里5号楼</t>
    <phoneticPr fontId="137" type="noConversion"/>
  </si>
  <si>
    <t>IT产业园D3</t>
    <phoneticPr fontId="137" type="noConversion"/>
  </si>
  <si>
    <t>中国工业互联网研究院(内资)</t>
  </si>
  <si>
    <t>家和超市</t>
    <phoneticPr fontId="137" type="noConversion"/>
  </si>
  <si>
    <t>家和新天地购物中心</t>
  </si>
  <si>
    <t>瀚同资本(内资)</t>
  </si>
  <si>
    <t>八大处控股</t>
  </si>
  <si>
    <t>远洋未来广场</t>
    <phoneticPr fontId="137" type="noConversion"/>
  </si>
  <si>
    <t>远洋未来广场购物中心</t>
  </si>
  <si>
    <t>亚运村小营</t>
  </si>
  <si>
    <t>北京居然之家家居连锁有限公司(内资)</t>
  </si>
  <si>
    <t>北京睿鸿商业管理有限公司</t>
  </si>
  <si>
    <t>北京阳光大厦</t>
    <phoneticPr fontId="137" type="noConversion"/>
  </si>
  <si>
    <t>阳光大厦</t>
  </si>
  <si>
    <t>车公庄</t>
  </si>
  <si>
    <t>大业信托有限责任公司(内资)</t>
  </si>
  <si>
    <t>西北旺新村购物中心</t>
    <phoneticPr fontId="137" type="noConversion"/>
  </si>
  <si>
    <t>西北旺新村购物中心</t>
  </si>
  <si>
    <t>北京澜鑫置业有限公司(内资)</t>
  </si>
  <si>
    <t>冠城大通股份有限公司,北京德成置地房地产开发有限公司</t>
  </si>
  <si>
    <t>智谷大厦</t>
    <phoneticPr fontId="137" type="noConversion"/>
  </si>
  <si>
    <t>G-PARK龙湖·云域</t>
  </si>
  <si>
    <t>温泉镇</t>
  </si>
  <si>
    <t>浪潮软件(内资)</t>
  </si>
  <si>
    <t>龙湖</t>
  </si>
  <si>
    <t>数字科技大厦</t>
    <phoneticPr fontId="137" type="noConversion"/>
  </si>
  <si>
    <t>数字科技大厦</t>
  </si>
  <si>
    <t>华夏银行(内资)</t>
  </si>
  <si>
    <t>北京首侨创新置业有限公司</t>
  </si>
  <si>
    <t>北京远洋锐中心项目</t>
    <phoneticPr fontId="137" type="noConversion"/>
  </si>
  <si>
    <t>远洋锐中心项目</t>
  </si>
  <si>
    <t>中国平安人寿保险股份有限公司(内资)</t>
  </si>
  <si>
    <t>远洋控股集团（中国）有限公司</t>
  </si>
  <si>
    <t>G-PARK龙湖·云域</t>
    <phoneticPr fontId="137" type="noConversion"/>
  </si>
  <si>
    <t>浪潮软件股份有限公司(内资)</t>
  </si>
  <si>
    <t>重庆龙湖地产发展有限公司</t>
  </si>
  <si>
    <t>博瑞大厦</t>
    <phoneticPr fontId="137" type="noConversion"/>
  </si>
  <si>
    <t>博瑞大厦</t>
  </si>
  <si>
    <t>团结湖</t>
  </si>
  <si>
    <t>凯德商用(内资)</t>
  </si>
  <si>
    <t>厦门国际银行</t>
  </si>
  <si>
    <t>工联科创中心1号楼8-10层</t>
    <phoneticPr fontId="137" type="noConversion"/>
  </si>
  <si>
    <t>工联科创中心</t>
  </si>
  <si>
    <t>北京东土科技股份有限公司(内资)</t>
  </si>
  <si>
    <t>北京中关村工业互联网产业发展有限公司</t>
  </si>
  <si>
    <t>比如世界购物中心</t>
    <phoneticPr fontId="137" type="noConversion"/>
  </si>
  <si>
    <t>比如世界购物中心</t>
  </si>
  <si>
    <t>翰德集团有限公司(内资)</t>
  </si>
  <si>
    <t>中国民生银行股份有限公司</t>
  </si>
  <si>
    <t>华润有巢公寓（三元桥）</t>
    <phoneticPr fontId="137" type="noConversion"/>
  </si>
  <si>
    <t>凤凰城三期</t>
  </si>
  <si>
    <t>三元桥</t>
  </si>
  <si>
    <t>建信住房租赁基金(内资)</t>
  </si>
  <si>
    <t>北京诺富特三元酒店（宜必思北京三元桥酒店）</t>
    <phoneticPr fontId="137" type="noConversion"/>
  </si>
  <si>
    <t>北京诺富特三元酒店（宜必思北京三元桥酒店）</t>
  </si>
  <si>
    <t>北京首旅酒店(集团)股份有限公司(合资),云从科技集团股份有限公司(内资)</t>
  </si>
  <si>
    <t>腾飞科技股份有限公司</t>
  </si>
  <si>
    <t>北京市朝阳区朝阳门外大街甲6号5层1座502</t>
    <phoneticPr fontId="137" type="noConversion"/>
  </si>
  <si>
    <t>朝阳区</t>
  </si>
  <si>
    <t>北京市朝阳区朝阳门外大街甲6号5层1座501</t>
    <phoneticPr fontId="137" type="noConversion"/>
  </si>
  <si>
    <t>北京翰阳智慧科技有限公司(内资)</t>
  </si>
  <si>
    <t>李俊文</t>
  </si>
  <si>
    <t>华熙LIVE中心</t>
    <phoneticPr fontId="137" type="noConversion"/>
  </si>
  <si>
    <t>华熙LIVE中心</t>
  </si>
  <si>
    <t>五棵松</t>
  </si>
  <si>
    <t>旭輝控股 （集團） 有限公司(外资)</t>
  </si>
  <si>
    <t>民航房地产开发有限公司</t>
  </si>
  <si>
    <t>盘古大观5号办公楼</t>
    <phoneticPr fontId="137" type="noConversion"/>
  </si>
  <si>
    <t>盘古大观5号办公楼</t>
  </si>
  <si>
    <t>北京金隅集团股份有限公司(合资)</t>
  </si>
  <si>
    <t>北京盘古氏投资有限公司</t>
  </si>
  <si>
    <t>上海锦和商业经营管理股份有限公司(内资)</t>
  </si>
  <si>
    <t>翰德集团</t>
  </si>
  <si>
    <t>丽泽金融商务区 D-03/04地块</t>
    <phoneticPr fontId="137" type="noConversion"/>
  </si>
  <si>
    <t>丽泽金融商务区 D-03/04地块</t>
  </si>
  <si>
    <t>华夏幸福基业股份有限公司</t>
  </si>
  <si>
    <t>华夏幸福创新中心</t>
    <phoneticPr fontId="137" type="noConversion"/>
  </si>
  <si>
    <t>华夏幸福创新中心</t>
  </si>
  <si>
    <t>丰台科技园</t>
  </si>
  <si>
    <t>京通罗斯福广场</t>
    <phoneticPr fontId="137" type="noConversion"/>
  </si>
  <si>
    <t>京通罗斯福广场</t>
  </si>
  <si>
    <t>九棵树</t>
  </si>
  <si>
    <t>领展房地产咨询(上海)有限公司(外资)</t>
  </si>
  <si>
    <t>新加坡德坤资产管理有限公司</t>
  </si>
  <si>
    <t>光耀东方中心B1-L4</t>
    <phoneticPr fontId="137" type="noConversion"/>
  </si>
  <si>
    <t>光耀东方中心</t>
  </si>
  <si>
    <t>航天桥</t>
  </si>
  <si>
    <t>海德股份(内资)</t>
  </si>
  <si>
    <t>光耀东方集团</t>
  </si>
  <si>
    <t>中关村西三旗(金隅)科技园项目中的T7研发设计楼地上1-5 层</t>
    <phoneticPr fontId="137" type="noConversion"/>
  </si>
  <si>
    <t>金隅科技园一期</t>
  </si>
  <si>
    <t>北京天智航医疗科技股份有限公司(内资)</t>
  </si>
  <si>
    <t>北京金隅创新科技孵化器有限公司</t>
  </si>
  <si>
    <t>中关村西三旗(金隅)科技园项目T5研发设计楼地上1-7层</t>
    <phoneticPr fontId="137" type="noConversion"/>
  </si>
  <si>
    <t>拓尔思信息技术股份有限公司(内资)</t>
  </si>
  <si>
    <t>方舟大厦</t>
    <phoneticPr fontId="137" type="noConversion"/>
  </si>
  <si>
    <t>方舟大厦</t>
  </si>
  <si>
    <t>霸菱亚洲投资有限公司(外资)</t>
  </si>
  <si>
    <t>新加坡丰树管理咨询有限公司</t>
  </si>
  <si>
    <t>奥亚酒店</t>
    <phoneticPr fontId="137" type="noConversion"/>
  </si>
  <si>
    <t>奥亚酒店</t>
  </si>
  <si>
    <t>湖南金盘子实业集团农商营行连锁有限公司长沙锦绣家园店(内资)</t>
  </si>
  <si>
    <t>北京市兆维电子集团有限公司</t>
  </si>
  <si>
    <t>聚龙花园8A</t>
    <phoneticPr fontId="137" type="noConversion"/>
  </si>
  <si>
    <t>聚龙花园写字楼</t>
  </si>
  <si>
    <t>工体</t>
  </si>
  <si>
    <t>北京海天瑞声科技股份有限公司(内资)</t>
  </si>
  <si>
    <t>深圳市麦卢卡贸易有限公司</t>
  </si>
  <si>
    <t>北京翠宫饭店100%股权</t>
    <phoneticPr fontId="137" type="noConversion"/>
  </si>
  <si>
    <t>北京翠宫饭店</t>
  </si>
  <si>
    <t>北京京东尚科信息技术有限公司(外资)</t>
  </si>
  <si>
    <t>北京翠宫饭店有限公司</t>
  </si>
  <si>
    <t>世茂工三</t>
    <phoneticPr fontId="137" type="noConversion"/>
  </si>
  <si>
    <t>世茂工三</t>
  </si>
  <si>
    <t>三里屯</t>
  </si>
  <si>
    <t>中植集团(内资)</t>
  </si>
  <si>
    <t>乐视</t>
  </si>
  <si>
    <t>中国国际出版交流中心</t>
    <phoneticPr fontId="137" type="noConversion"/>
  </si>
  <si>
    <t>中国国际出版交流中心</t>
  </si>
  <si>
    <t>中国出版传媒股份有限公司(内资)</t>
  </si>
  <si>
    <t>大地花园酒店</t>
    <phoneticPr fontId="137" type="noConversion"/>
  </si>
  <si>
    <t>大地花园酒店</t>
  </si>
  <si>
    <t>翰同(内资)</t>
  </si>
  <si>
    <t>海淀区国资委</t>
  </si>
  <si>
    <t>电子城国际电子总部三期</t>
    <phoneticPr fontId="137" type="noConversion"/>
  </si>
  <si>
    <t>电子城国际电子总部三期</t>
  </si>
  <si>
    <t>国寿资本投资有限公司(内资)</t>
  </si>
  <si>
    <t>丰台金茂广场1号楼</t>
    <phoneticPr fontId="137" type="noConversion"/>
  </si>
  <si>
    <t>北京丰台金茂广场</t>
  </si>
  <si>
    <t>金茂</t>
  </si>
  <si>
    <t>鹰腾大厦</t>
    <phoneticPr fontId="137" type="noConversion"/>
  </si>
  <si>
    <t>鹰腾大厦</t>
  </si>
  <si>
    <t>华鹰润金(内资)</t>
  </si>
  <si>
    <t>德胜国际中心</t>
    <phoneticPr fontId="137" type="noConversion"/>
  </si>
  <si>
    <t>德胜国际中心</t>
  </si>
  <si>
    <t>凯龙股权投资管理（上海）有限公司(外资)</t>
  </si>
  <si>
    <t>金融街控股股份有限公司</t>
  </si>
  <si>
    <t>太极傲天项目</t>
    <phoneticPr fontId="137" type="noConversion"/>
  </si>
  <si>
    <t>太极傲天项目</t>
  </si>
  <si>
    <t>天融信科技集团股份有限公司(内资)</t>
  </si>
  <si>
    <t>北京傲天动联技术有限公司</t>
  </si>
  <si>
    <t>都汇大厦</t>
    <phoneticPr fontId="137" type="noConversion"/>
  </si>
  <si>
    <t>冠城大厦（太阳宫大厦）</t>
  </si>
  <si>
    <t>太阳宫</t>
  </si>
  <si>
    <t>冠城大通股份有限公司</t>
  </si>
  <si>
    <t>上地NEO办公空间</t>
    <phoneticPr fontId="137" type="noConversion"/>
  </si>
  <si>
    <t>上地NEO办公空间</t>
  </si>
  <si>
    <t>吉寶（中國）有限公司(外资)</t>
  </si>
  <si>
    <t>宁波佳晟悦城投资管理中心(有限合伙),北京翰合投资管理有限公司</t>
  </si>
  <si>
    <t>八达岭奥特莱斯</t>
    <phoneticPr fontId="137" type="noConversion"/>
  </si>
  <si>
    <t>八达岭奥特莱斯</t>
  </si>
  <si>
    <t>北京华联大信商业管理有限公司(内资)</t>
  </si>
  <si>
    <t>南通凯宝农副产品有限公司</t>
  </si>
  <si>
    <t>上东今旅酒店</t>
    <phoneticPr fontId="137" type="noConversion"/>
  </si>
  <si>
    <t>上东今旅酒店</t>
  </si>
  <si>
    <t>四川云远景甜餐饮管理有限公司(内资)</t>
  </si>
  <si>
    <t>阳光城集团股份有限公司,新加坡政府投资有限公司</t>
  </si>
  <si>
    <t>新光大中心2号楼</t>
    <phoneticPr fontId="137" type="noConversion"/>
  </si>
  <si>
    <t>新光大中心2号楼</t>
  </si>
  <si>
    <t>北关</t>
  </si>
  <si>
    <t>中国邮政储蓄银行(内资)</t>
  </si>
  <si>
    <t>光大安石(北京)资产管理有限公司</t>
  </si>
  <si>
    <t>盈都大厦D座</t>
    <phoneticPr fontId="137" type="noConversion"/>
  </si>
  <si>
    <t>盈都大厦D座</t>
  </si>
  <si>
    <t>普洛斯投资（上海）有限公司(外资)</t>
  </si>
  <si>
    <t>恒泰弘泽-华远盈都商业资产支持专项计划</t>
  </si>
  <si>
    <t>北京工体3号</t>
    <phoneticPr fontId="137" type="noConversion"/>
  </si>
  <si>
    <t>北京工体3号</t>
  </si>
  <si>
    <t>上海世茂投资管理有限公司(外资)</t>
  </si>
  <si>
    <t>中海晟融(北京)资本管理集团有限公司</t>
  </si>
  <si>
    <t>海航大厦</t>
    <phoneticPr fontId="137" type="noConversion"/>
  </si>
  <si>
    <t>海航大厦</t>
  </si>
  <si>
    <t>燕莎</t>
  </si>
  <si>
    <t>凤凰嘴街1号院1号楼/长城金融大厦1号楼</t>
    <phoneticPr fontId="137" type="noConversion"/>
  </si>
  <si>
    <t>凤凰嘴街1号院1号楼/长城金融大厦1号楼</t>
  </si>
  <si>
    <t>中国通信服务股份有限公司(内资)</t>
  </si>
  <si>
    <t>长城国富置业有限公司,中国长城资产管理股份有限公司</t>
  </si>
  <si>
    <t>建国路86号院1号楼27层2701、28层2801</t>
    <phoneticPr fontId="137" type="noConversion"/>
  </si>
  <si>
    <t>佳兆业广场写字楼</t>
  </si>
  <si>
    <t>上海的益商贸有限公司(内资)</t>
  </si>
  <si>
    <t>北京耀辉置业有限公司</t>
  </si>
  <si>
    <t>世界侨商中心2号、3号楼</t>
    <phoneticPr fontId="137" type="noConversion"/>
  </si>
  <si>
    <t>世界侨商中心</t>
  </si>
  <si>
    <t>通州北苑</t>
  </si>
  <si>
    <t>华夏保险(内资)</t>
  </si>
  <si>
    <t>峯汇国际中心1号楼</t>
    <phoneticPr fontId="137" type="noConversion"/>
  </si>
  <si>
    <t>珠江·峯汇国际</t>
  </si>
  <si>
    <t>沙河</t>
  </si>
  <si>
    <t>北京海科融通支付服务有限公司(内资)</t>
  </si>
  <si>
    <t>珠江地产</t>
  </si>
  <si>
    <t>京西大悦城6号楼</t>
    <phoneticPr fontId="137" type="noConversion"/>
  </si>
  <si>
    <t>京西大悦城</t>
  </si>
  <si>
    <t>大悦城控股集团股份,北京华远集团有限公司</t>
  </si>
  <si>
    <t>北京诺德中心</t>
    <phoneticPr fontId="137" type="noConversion"/>
  </si>
  <si>
    <t>北京诺德中心</t>
  </si>
  <si>
    <t>丰台区</t>
  </si>
  <si>
    <t>通州富力中心</t>
    <phoneticPr fontId="137" type="noConversion"/>
  </si>
  <si>
    <t>通州富力中心</t>
  </si>
  <si>
    <t>武夷花园</t>
  </si>
  <si>
    <t>天安财险(内资)</t>
  </si>
  <si>
    <t>北京朝阳区创远路28号院1号楼</t>
    <phoneticPr fontId="137" type="noConversion"/>
  </si>
  <si>
    <t>望京·华樾中心</t>
  </si>
  <si>
    <t>来广营</t>
  </si>
  <si>
    <t>乐华娱乐(内资)</t>
  </si>
  <si>
    <t>北京金开连泰</t>
  </si>
  <si>
    <t>西大望路42号院6号楼-1至1层6-3\6-2</t>
    <phoneticPr fontId="137" type="noConversion"/>
  </si>
  <si>
    <t>西大望路12号院</t>
  </si>
  <si>
    <t>北京鸿坤新业房地产开发有限公司</t>
  </si>
  <si>
    <t>碧生源大厦（玲珑天地D座）</t>
    <phoneticPr fontId="137" type="noConversion"/>
  </si>
  <si>
    <t>碧生源大厦（玲珑天地D座）</t>
  </si>
  <si>
    <t>四季青</t>
  </si>
  <si>
    <t>吉宝湖畔(无锡)房地产开发有限公司(外资)</t>
  </si>
  <si>
    <t>北京畅升商务咨询有限公司</t>
  </si>
  <si>
    <t>远洋山水</t>
    <phoneticPr fontId="137" type="noConversion"/>
  </si>
  <si>
    <t>远洋山水</t>
  </si>
  <si>
    <t>远洋集团控股有限公司(内资)</t>
  </si>
  <si>
    <t>富力万达嘉华酒店</t>
    <phoneticPr fontId="137" type="noConversion"/>
  </si>
  <si>
    <t>富力万达嘉华酒店</t>
  </si>
  <si>
    <t>北京英协置业投资有限公司(内资)</t>
  </si>
  <si>
    <t>富力集团</t>
  </si>
  <si>
    <t>成大广场</t>
    <phoneticPr fontId="137" type="noConversion"/>
  </si>
  <si>
    <t>成大广场</t>
  </si>
  <si>
    <t>运河大街</t>
  </si>
  <si>
    <t>中国长江三峡集团有限公司(内资)</t>
  </si>
  <si>
    <t>石榴置业集团股份有限公司</t>
  </si>
  <si>
    <t>汇亚大厦</t>
    <phoneticPr fontId="137" type="noConversion"/>
  </si>
  <si>
    <t>汇亚大厦</t>
  </si>
  <si>
    <t>新加坡政府投资有限公司(外资)</t>
  </si>
  <si>
    <t>合生国际大厦</t>
    <phoneticPr fontId="137" type="noConversion"/>
  </si>
  <si>
    <t>合生国际大厦</t>
  </si>
  <si>
    <t>金致投资有限公司(外资)</t>
  </si>
  <si>
    <t>合生创展(置业)有限公司,BMI Capital Partners Limited</t>
  </si>
  <si>
    <t>光彩国际中心A座</t>
    <phoneticPr fontId="137" type="noConversion"/>
  </si>
  <si>
    <t>光彩国际中心</t>
  </si>
  <si>
    <t>东单</t>
  </si>
  <si>
    <t>北京瑞海物业管理服务有限公司(内资)</t>
  </si>
  <si>
    <t>泛海控股</t>
  </si>
  <si>
    <t>通州富力中心C-01写字楼</t>
    <phoneticPr fontId="137" type="noConversion"/>
  </si>
  <si>
    <t>通州富力中心C-01写字楼</t>
  </si>
  <si>
    <t>中银集团投资有限公司(外资)</t>
  </si>
  <si>
    <t>广州富力地产股份有限公司</t>
  </si>
  <si>
    <t>北京市朝阳区东坝中路30号院4号楼1层103</t>
    <phoneticPr fontId="137" type="noConversion"/>
  </si>
  <si>
    <t>金泰丽富嘉园</t>
  </si>
  <si>
    <t>三元NEO CITIGO</t>
    <phoneticPr fontId="137" type="noConversion"/>
  </si>
  <si>
    <t>凤凰城</t>
  </si>
  <si>
    <t>安住此间(内资)</t>
  </si>
  <si>
    <t>翰同资本</t>
  </si>
  <si>
    <t>复地中心B座</t>
    <phoneticPr fontId="137" type="noConversion"/>
  </si>
  <si>
    <t>复地中心</t>
  </si>
  <si>
    <t>中国建设银行(内资)</t>
  </si>
  <si>
    <t>保利佲悦大都汇</t>
  </si>
  <si>
    <t>保利发展控股集团股份有限公司</t>
  </si>
  <si>
    <t>中弘大厦</t>
    <phoneticPr fontId="137" type="noConversion"/>
  </si>
  <si>
    <t>中弘大厦</t>
  </si>
  <si>
    <t>北京植晟云厦物业管理有限公司(内资),中国东方资产管理股份有限公司(内资)</t>
  </si>
  <si>
    <t>中弘控股股份有限公司</t>
  </si>
  <si>
    <t>迦南大厦</t>
    <phoneticPr fontId="137" type="noConversion"/>
  </si>
  <si>
    <t>迦南大厦</t>
  </si>
  <si>
    <t>右安门</t>
  </si>
  <si>
    <t>中国奥园地产集团股份有限公司</t>
  </si>
  <si>
    <t>鼎好大厦</t>
    <phoneticPr fontId="137" type="noConversion"/>
  </si>
  <si>
    <t>鼎好大厦</t>
  </si>
  <si>
    <t>凯雷投资有限公司(外资),启城商业管理(北京)有限公司(外资),颢腾投资管理有限公司(内资),瑞士合众集团(外资),中东家族财富基金(外资)</t>
  </si>
  <si>
    <t>鼎固投资股份有限公司</t>
  </si>
  <si>
    <t>中关村南大街6号中电信息大厦一层（108-112）二层（206-208）</t>
    <phoneticPr fontId="137" type="noConversion"/>
  </si>
  <si>
    <t>中电信息大厦</t>
  </si>
  <si>
    <t>北京正大新实业发展有限责任公司(内资)</t>
  </si>
  <si>
    <t>北京华信恒隆投资管理有限公司</t>
  </si>
  <si>
    <t>通州富力中心C-02写字楼</t>
    <phoneticPr fontId="137" type="noConversion"/>
  </si>
  <si>
    <t>中国建筑一局(内资)</t>
  </si>
  <si>
    <t>富力地产</t>
  </si>
  <si>
    <t>合景寰汇公馆B座1栋18层</t>
    <phoneticPr fontId="137" type="noConversion"/>
  </si>
  <si>
    <t>合景寰汇公馆</t>
  </si>
  <si>
    <t>中国农业银行(内资)</t>
  </si>
  <si>
    <t>北京恒城房地产开发有限公司</t>
  </si>
  <si>
    <t>来广营西路2号院3号楼臻园（爱朗国际幼儿园）</t>
    <phoneticPr fontId="137" type="noConversion"/>
  </si>
  <si>
    <t>来广营西路2号院3号楼臻园（爱朗国际幼儿园）</t>
  </si>
  <si>
    <t>北京广盈房地产开发有限公司</t>
  </si>
  <si>
    <t>保利佲悦大都汇</t>
    <phoneticPr fontId="137" type="noConversion"/>
  </si>
  <si>
    <t>中国三峡新能源(集团)股份有限公司(内资)</t>
  </si>
  <si>
    <t>北京茂丰置业有限公司</t>
  </si>
  <si>
    <t>北京诺德中心三期18号写字楼及其附属设施</t>
    <phoneticPr fontId="137" type="noConversion"/>
  </si>
  <si>
    <t>诺德中心</t>
  </si>
  <si>
    <t>内蒙古伊利实业集团股份有限公司(内资)</t>
  </si>
  <si>
    <t>北京诺升置业有限公司</t>
  </si>
  <si>
    <t>远洋光华国际写字楼</t>
    <phoneticPr fontId="137" type="noConversion"/>
  </si>
  <si>
    <t>远洋光华国际写字楼</t>
  </si>
  <si>
    <t>百年港大健康(深圳)有限公司(内资)</t>
  </si>
  <si>
    <t>远洋集团控股有限公司</t>
  </si>
  <si>
    <t>复地金融中心A座</t>
    <phoneticPr fontId="137" type="noConversion"/>
  </si>
  <si>
    <t>复地金融中心</t>
  </si>
  <si>
    <t>北京银行(内资)</t>
  </si>
  <si>
    <t>嘉美中心3号楼</t>
    <phoneticPr fontId="137" type="noConversion"/>
  </si>
  <si>
    <t>嘉美中心3号楼</t>
  </si>
  <si>
    <t>IDG资本投资顾问(北京)有限公司(外资)</t>
  </si>
  <si>
    <t>山西金冠达楼宇设备销售服务有限公司</t>
  </si>
  <si>
    <t>中创芯中心5号楼101、102、103号房</t>
    <phoneticPr fontId="137" type="noConversion"/>
  </si>
  <si>
    <t>中创芯中心5号楼101、102、103号房</t>
  </si>
  <si>
    <t>北京首置房地产企业管理有限公司(内资),中关村发展集团有限公司(内资),北京中关村软件园发展有限责任公司(内资)</t>
  </si>
  <si>
    <t>北京华峰测控技术股份有限公司</t>
  </si>
  <si>
    <t>友邦人寿保险有限公司(内资)</t>
  </si>
  <si>
    <t>凯德投资</t>
  </si>
  <si>
    <t>琨御府</t>
    <phoneticPr fontId="137" type="noConversion"/>
  </si>
  <si>
    <t>琨御府</t>
  </si>
  <si>
    <t>北京市基础设施投资有限公司(内资)</t>
  </si>
  <si>
    <t>京投发展股份有限公司</t>
  </si>
  <si>
    <t>朝阳慧忠北里309号楼1层113号房产</t>
    <phoneticPr fontId="137" type="noConversion"/>
  </si>
  <si>
    <t>天创世缘写字楼</t>
  </si>
  <si>
    <t>亚运村</t>
  </si>
  <si>
    <t>新华文化大厦</t>
    <phoneticPr fontId="137" type="noConversion"/>
  </si>
  <si>
    <t>新华文化大厦</t>
  </si>
  <si>
    <t>交道口</t>
  </si>
  <si>
    <t>深圳市润海兴业投资有限公司,鑫隆投资有限公司</t>
  </si>
  <si>
    <t>金茂广场7号楼</t>
    <phoneticPr fontId="137" type="noConversion"/>
  </si>
  <si>
    <t>金茂广场7号楼</t>
  </si>
  <si>
    <t>内蒙古电力（集团）有限责任公司(内资)</t>
  </si>
  <si>
    <t>中国金茂（集团）有限公司</t>
  </si>
  <si>
    <t>中兴大厦</t>
    <phoneticPr fontId="137" type="noConversion"/>
  </si>
  <si>
    <t>中兴大厦</t>
  </si>
  <si>
    <t>牡丹园</t>
  </si>
  <si>
    <t>华润置地(北京)股份有限公司(合资)</t>
  </si>
  <si>
    <t>中兴通讯股份有限公司</t>
  </si>
  <si>
    <t>华熙LIVE·五棵松50%股权</t>
    <phoneticPr fontId="137" type="noConversion"/>
  </si>
  <si>
    <t>华熙LIVE·五棵松</t>
  </si>
  <si>
    <t>旭辉集团股份有限公司(内资)</t>
  </si>
  <si>
    <t>天津卓新咨询服务有限公司(legal entity),芜湖策华企业管理合伙企业(有限合伙)</t>
  </si>
  <si>
    <t>北京淘汇新天购物中心</t>
    <phoneticPr fontId="137" type="noConversion"/>
  </si>
  <si>
    <t>北京淘汇新天购物中心</t>
  </si>
  <si>
    <t>灯市口</t>
  </si>
  <si>
    <t>汇贯南丰投资管理有限公司</t>
  </si>
  <si>
    <t>北京市朝阳区辛庄一街9号楼1至2层101及104配套商业，-1层-101、-104及-105戊类库房</t>
    <phoneticPr fontId="137" type="noConversion"/>
  </si>
  <si>
    <t>泛海国际底商</t>
  </si>
  <si>
    <t>大城县新晨商贸有限公司(内资)</t>
  </si>
  <si>
    <t>北京泛海东风置业有限公司</t>
  </si>
  <si>
    <t>启迪科技大厦D座</t>
    <phoneticPr fontId="137" type="noConversion"/>
  </si>
  <si>
    <t>启迪科技大厦D座</t>
  </si>
  <si>
    <t>北京首茂丰和企业管理有限公司(内资),北京首都开发股份有限公司(内资),北京高和翰同众赢基金（有限合伙）(内资),中国金茂（集团）有限公司(内资)</t>
  </si>
  <si>
    <t>阳光保险集团股份有限公司</t>
  </si>
  <si>
    <t>丰台金茂广场3号楼14-18f</t>
    <phoneticPr fontId="137" type="noConversion"/>
  </si>
  <si>
    <t>中信产业投资基金管理有限公司(内资)</t>
  </si>
  <si>
    <t>中兴发展有限公司</t>
  </si>
  <si>
    <t>琉璃厂东街22、24号1幢1至2层2幢1至2层3幢1至2层4幢1至2层5幢1层</t>
    <phoneticPr fontId="137" type="noConversion"/>
  </si>
  <si>
    <t>琉璃厂东街</t>
  </si>
  <si>
    <t>宣武门</t>
  </si>
  <si>
    <t>泰达时代中心</t>
    <phoneticPr fontId="137" type="noConversion"/>
  </si>
  <si>
    <t>泰达时代中心</t>
  </si>
  <si>
    <t>E ZIKOO智慧谷（101、201-202）</t>
    <phoneticPr fontId="137" type="noConversion"/>
  </si>
  <si>
    <t>E_ZIKOO智慧谷</t>
  </si>
  <si>
    <t>西北旺</t>
  </si>
  <si>
    <t>百得利控股有限公司(内资)</t>
  </si>
  <si>
    <t>北京恒合悦兴置业有限公司</t>
  </si>
  <si>
    <t>通用时代中心</t>
    <phoneticPr fontId="137" type="noConversion"/>
  </si>
  <si>
    <t>中国教育出版传媒集团有限公司(内资)</t>
  </si>
  <si>
    <t>北京通用时代房地产开发有限公司</t>
  </si>
  <si>
    <t>传世大厦</t>
    <phoneticPr fontId="137" type="noConversion"/>
  </si>
  <si>
    <t>传世大厦</t>
  </si>
  <si>
    <t>远洋控股集团(中国)有限公司(外资)</t>
  </si>
  <si>
    <t>中国银行股份有限公司</t>
  </si>
  <si>
    <t>盈科中心（太平洋世纪广场）</t>
    <phoneticPr fontId="137" type="noConversion"/>
  </si>
  <si>
    <t>盈科中心（太平洋世纪广场）</t>
  </si>
  <si>
    <t>愿景明德(北京)控股集团有限公司(内资)</t>
  </si>
  <si>
    <t>GAW CAPITAL ASSET MANAGEMENT (HK) LIMITED</t>
  </si>
  <si>
    <t>万科时代中心45%股权</t>
    <phoneticPr fontId="137" type="noConversion"/>
  </si>
  <si>
    <t>万科时代中心45%股权</t>
  </si>
  <si>
    <t>GIC Holdings Limited(外资)</t>
  </si>
  <si>
    <t>万科企业股份有限公司</t>
  </si>
  <si>
    <t>金融街中心</t>
    <phoneticPr fontId="137" type="noConversion"/>
  </si>
  <si>
    <t>金融街中心</t>
  </si>
  <si>
    <t>金融街</t>
  </si>
  <si>
    <t>金融街控股股份有限公司(内资),金融街(北京)置地有限公司(内资)</t>
  </si>
  <si>
    <t>双子座大厦</t>
    <phoneticPr fontId="137" type="noConversion"/>
  </si>
  <si>
    <t>双子座大厦</t>
  </si>
  <si>
    <t>建国门</t>
  </si>
  <si>
    <t>LG电子株式会社</t>
  </si>
  <si>
    <t>北京市朝阳区小武基村甲8号5号院</t>
    <phoneticPr fontId="137" type="noConversion"/>
  </si>
  <si>
    <t>北京市朝阳区小武基村甲8号5号院</t>
  </si>
  <si>
    <t>中创联合国际贸易有限公司(内资)</t>
  </si>
  <si>
    <t>山水文园投资集团有限责任公司</t>
  </si>
  <si>
    <t>新华联大厦</t>
    <phoneticPr fontId="137" type="noConversion"/>
  </si>
  <si>
    <t>新华联大厦</t>
  </si>
  <si>
    <t>重庆麦维斯房地产经纪有限公司(内资)</t>
  </si>
  <si>
    <t>新华联控股有限公司</t>
  </si>
  <si>
    <t>方恒时尚中心</t>
    <phoneticPr fontId="137" type="noConversion"/>
  </si>
  <si>
    <t>方恒时尚中心</t>
  </si>
  <si>
    <t>百安居项目49%股权</t>
    <phoneticPr fontId="137" type="noConversion"/>
  </si>
  <si>
    <t>百安居项目49%股权</t>
  </si>
  <si>
    <t>专业卖场</t>
  </si>
  <si>
    <t>保利发展控股集团股份有限公司(合资)</t>
  </si>
  <si>
    <t>东方文化艺术中心</t>
    <phoneticPr fontId="137" type="noConversion"/>
  </si>
  <si>
    <t>东方文化艺术中心</t>
  </si>
  <si>
    <t>安定门</t>
  </si>
  <si>
    <t>北京弘毅远方投资顾问有限公司(外资),AEW GLOBAL GROUP(外资)</t>
  </si>
  <si>
    <t>合生创展(置业)有限公司</t>
  </si>
  <si>
    <t>朝阳门</t>
  </si>
  <si>
    <t>北京弘毅远方投资顾问有限公司(外资),爱尔威亚(北京)装饰有限公司(内资)</t>
  </si>
  <si>
    <t>北京顺旅水上公园投资发展有限公司</t>
  </si>
  <si>
    <t>万科时代中心叁元</t>
    <phoneticPr fontId="137" type="noConversion"/>
  </si>
  <si>
    <t>万科时代中心叁元</t>
  </si>
  <si>
    <t>中信保诚人寿保险有限公司(内资)</t>
  </si>
  <si>
    <t>万厚（珠海）资本投资管理有限公司</t>
  </si>
  <si>
    <t>远洋光华国际</t>
    <phoneticPr fontId="137" type="noConversion"/>
  </si>
  <si>
    <t>Sino-Ocean Prime Office Partners I(外资),GIC</t>
  </si>
  <si>
    <t>迅荣创富有限公司,远洋控股集团（中国）有限公司</t>
  </si>
  <si>
    <t>Naga上院</t>
    <phoneticPr fontId="137" type="noConversion"/>
  </si>
  <si>
    <t>Naga上院</t>
  </si>
  <si>
    <t>迁安市九江线材有限责任公司(内资)</t>
  </si>
  <si>
    <t>河南省景瑞控股有限责任公司</t>
  </si>
  <si>
    <t>北京SK大厦（原凯德大厦）</t>
    <phoneticPr fontId="137" type="noConversion"/>
  </si>
  <si>
    <t>北京SK大厦（原凯德大厦）</t>
  </si>
  <si>
    <t>和谐健康保险股份有限公司(内资)</t>
  </si>
  <si>
    <t>SK集团</t>
  </si>
  <si>
    <t>丽思卡尔顿酒店</t>
    <phoneticPr fontId="137" type="noConversion"/>
  </si>
  <si>
    <t>金融街公寓商业楼</t>
  </si>
  <si>
    <t>北京金融街投资（集团）有限公司(内资)</t>
  </si>
  <si>
    <t>北京市朝阳区朝阳路139号院3号楼23层2701室</t>
    <phoneticPr fontId="137" type="noConversion"/>
  </si>
  <si>
    <t>首创禧瑞都</t>
  </si>
  <si>
    <t>东大桥</t>
  </si>
  <si>
    <t>容宇（北京）贸易有限公司</t>
  </si>
  <si>
    <t>天银大厦</t>
    <phoneticPr fontId="137" type="noConversion"/>
  </si>
  <si>
    <t>天银大厦</t>
  </si>
  <si>
    <t>中国工商银行股份有限公司(内资)</t>
  </si>
  <si>
    <t>北京市发改委</t>
  </si>
  <si>
    <t>金融街月坛中心</t>
    <phoneticPr fontId="137" type="noConversion"/>
  </si>
  <si>
    <t>金融街月坛中心</t>
  </si>
  <si>
    <t>月坛</t>
  </si>
  <si>
    <t>金融街（月坛）中心</t>
    <phoneticPr fontId="137" type="noConversion"/>
  </si>
  <si>
    <t>金融街（月坛）中心</t>
  </si>
  <si>
    <t>某金融机构(内资)</t>
  </si>
  <si>
    <t>北京市朝阳区朝阳路139号院4号楼22层1单元2602室</t>
    <phoneticPr fontId="137" type="noConversion"/>
  </si>
  <si>
    <t>北京十三号数据中心</t>
    <phoneticPr fontId="137" type="noConversion"/>
  </si>
  <si>
    <t>北京十三号数据中心</t>
  </si>
  <si>
    <t>万国数据服务有限公司(内资),中国中信集团有限公司(内资)</t>
  </si>
  <si>
    <t>腾龙数据(北京)科技发展有限公司</t>
  </si>
  <si>
    <t>位于北京市东城区东四十二条15号商业房地产及增建地下室、采光顶</t>
    <phoneticPr fontId="137" type="noConversion"/>
  </si>
  <si>
    <t>东四十二条15号</t>
  </si>
  <si>
    <t>东城区</t>
  </si>
  <si>
    <t>北京君道成投资咨询有限公司(内资)</t>
  </si>
  <si>
    <t>中国抽纱交流中心</t>
    <phoneticPr fontId="137" type="noConversion"/>
  </si>
  <si>
    <t>惠新大厦</t>
  </si>
  <si>
    <t>芍药居</t>
  </si>
  <si>
    <t>招商公路(内资)</t>
  </si>
  <si>
    <t>中国抽纱品进出口</t>
  </si>
  <si>
    <t>北京新乐青物业管理有限公司的 70% 股权</t>
    <phoneticPr fontId="137" type="noConversion"/>
  </si>
  <si>
    <t>新派公寓</t>
  </si>
  <si>
    <t>杭州恒善企业管理有限公司(内资)</t>
  </si>
  <si>
    <t>德信中国控股有限公司</t>
  </si>
  <si>
    <t>北京市丰台区方庄南路2号5层2单元501、502、503、505、506、507、508、509、510、511、512、516、517共13套酒店用房整体拍卖</t>
    <phoneticPr fontId="137" type="noConversion"/>
  </si>
  <si>
    <t>亚胜铂第</t>
  </si>
  <si>
    <t>北京市朝阳区天畅园4号楼2层4-202、4-203、4-205至208共计6套房</t>
    <phoneticPr fontId="137" type="noConversion"/>
  </si>
  <si>
    <t>北四环西路9号16层1609</t>
    <phoneticPr fontId="137" type="noConversion"/>
  </si>
  <si>
    <t>北京顺进商务咨询有限公司70%股权</t>
    <phoneticPr fontId="137" type="noConversion"/>
  </si>
  <si>
    <t>北京华润万象城</t>
  </si>
  <si>
    <t>瑞科克拉里(外资)</t>
  </si>
  <si>
    <t>北京顺进商务咨询有限公司</t>
  </si>
  <si>
    <t>万柳华府北街9号院1号楼-1至1层102</t>
    <phoneticPr fontId="137" type="noConversion"/>
  </si>
  <si>
    <t>万柳书院</t>
  </si>
  <si>
    <t>万柳</t>
  </si>
  <si>
    <t>沈某某</t>
  </si>
  <si>
    <t>北京市顺义区安祥大街11号院69号楼-2至2层</t>
    <phoneticPr fontId="137" type="noConversion"/>
  </si>
  <si>
    <t>中粮祥云小镇商铺</t>
  </si>
  <si>
    <t>东方万国项目公司、弘源科创项目公司、弘源新时代项目公司、弘源国际项目公司（合称标的项目公司）股权</t>
    <phoneticPr fontId="137" type="noConversion"/>
  </si>
  <si>
    <t>上海东方万国企业中心,上海集电港,弘源国际中心,时代集团</t>
  </si>
  <si>
    <t>北京,北京,上海,上海</t>
  </si>
  <si>
    <t>平安人寿(内资)</t>
  </si>
  <si>
    <t>上海润安置业发展有限公司,土信置业（上海）有限公司,北京弘旭财务顾问有限公司,北京时代源创科技发展有限公司</t>
  </si>
  <si>
    <t>华远中心（北京）7#楼</t>
    <phoneticPr fontId="137" type="noConversion"/>
  </si>
  <si>
    <t>华远中心</t>
  </si>
  <si>
    <t>西直门</t>
  </si>
  <si>
    <t>外文出版社(内资)</t>
  </si>
  <si>
    <t>华远地产</t>
  </si>
  <si>
    <t>北京以太物业开发有限公司100%股权</t>
    <phoneticPr fontId="137" type="noConversion"/>
  </si>
  <si>
    <t>北京以太广场在建工程项目</t>
  </si>
  <si>
    <t>CBD Aether Center Ltd.(外资)</t>
  </si>
  <si>
    <t>药谷一号</t>
    <phoneticPr fontId="137" type="noConversion"/>
  </si>
  <si>
    <t>药谷一号</t>
  </si>
  <si>
    <t>CBC康桥资本(外资)</t>
  </si>
  <si>
    <t>北京市朝阳区观唐东路1号院5-905幢-1至2层</t>
    <phoneticPr fontId="137" type="noConversion"/>
  </si>
  <si>
    <t>观唐花园</t>
  </si>
  <si>
    <t>山西阳坡泉煤炭销售有限公司(内资)</t>
  </si>
  <si>
    <t>北京中国人寿金融中心10%股权</t>
    <phoneticPr fontId="137" type="noConversion"/>
  </si>
  <si>
    <t>中国人寿金融中心</t>
  </si>
  <si>
    <t>国寿启航壹期（天津）股权投资基金合夥企业(内资),国寿置业投资管理有限公司(内资)</t>
  </si>
  <si>
    <t>上海崇远企业管理咨询有限公司及目标公司</t>
  </si>
  <si>
    <t>冠华大厦</t>
    <phoneticPr fontId="137" type="noConversion"/>
  </si>
  <si>
    <t>冠华大厦</t>
  </si>
  <si>
    <t>中国电信股份有限公司(内资)</t>
  </si>
  <si>
    <t>华润置地有限公司</t>
  </si>
  <si>
    <t>北京招商局航华科贸中心23.67%股权</t>
    <phoneticPr fontId="137" type="noConversion"/>
  </si>
  <si>
    <t>北京招商局航华科贸中心</t>
  </si>
  <si>
    <t>拟成交</t>
  </si>
  <si>
    <t>招商商业房托(内资)</t>
  </si>
  <si>
    <t>北京海洋馆16%股权交易</t>
    <phoneticPr fontId="137" type="noConversion"/>
  </si>
  <si>
    <t>北京海洋馆</t>
  </si>
  <si>
    <t>茂名石化实华股份有限公司(内资)</t>
  </si>
  <si>
    <t>北京信沃达海洋科技有限公司</t>
  </si>
  <si>
    <t>大兴中骏金辉·未来云城</t>
    <phoneticPr fontId="137" type="noConversion"/>
  </si>
  <si>
    <t>中骏金辉未来云城</t>
  </si>
  <si>
    <t>上海方隅公寓管理有限公司(内资)</t>
  </si>
  <si>
    <t>厦门中骏集团有限公司</t>
  </si>
  <si>
    <t>北京市丰台区南四环西路188号十二区6号楼及7号楼</t>
    <phoneticPr fontId="137" type="noConversion"/>
  </si>
  <si>
    <t>总部基地12区</t>
  </si>
  <si>
    <t>中咨资本有限公司</t>
  </si>
  <si>
    <t>金隅国际4号楼1层商业</t>
    <phoneticPr fontId="137" type="noConversion"/>
  </si>
  <si>
    <t>金隅国际</t>
  </si>
  <si>
    <t>北京金隅集团股份有限公司</t>
  </si>
  <si>
    <t>北京市大兴金惠园小区商业楼</t>
    <phoneticPr fontId="137" type="noConversion"/>
  </si>
  <si>
    <t>金惠园小区商业楼</t>
  </si>
  <si>
    <t>北京华润曙光房地产开发有限公司</t>
  </si>
  <si>
    <t>北京金融街丽思卡尔顿酒店</t>
    <phoneticPr fontId="137" type="noConversion"/>
  </si>
  <si>
    <t>北京金融街丽思卡尔顿酒店</t>
  </si>
  <si>
    <t>金融街集团(内资)</t>
  </si>
  <si>
    <t>北京金融街里兹置业有限公司,金融街</t>
  </si>
  <si>
    <t>西单商场</t>
    <phoneticPr fontId="137" type="noConversion"/>
  </si>
  <si>
    <t>西单商场</t>
  </si>
  <si>
    <t>北京华天饮食集团公司(内资)</t>
  </si>
  <si>
    <t>首商集团</t>
  </si>
  <si>
    <t>首开幸福广场Ｂ座</t>
    <phoneticPr fontId="137" type="noConversion"/>
  </si>
  <si>
    <t>首开幸福广场</t>
  </si>
  <si>
    <t>北京光中装饰工程有限公司(内资)</t>
  </si>
  <si>
    <t>天津文福新天地置业有限公司</t>
  </si>
  <si>
    <t>建机商务楼</t>
    <phoneticPr fontId="137" type="noConversion"/>
  </si>
  <si>
    <t>建机商务楼</t>
  </si>
  <si>
    <t>北京建机资产经营有限公司</t>
  </si>
  <si>
    <t>耀莱中心B座</t>
    <phoneticPr fontId="137" type="noConversion"/>
  </si>
  <si>
    <t>耀莱中心</t>
  </si>
  <si>
    <t>天津光传腾越置业有限公司(内资)</t>
  </si>
  <si>
    <t>北京民生金融中心</t>
    <phoneticPr fontId="137" type="noConversion"/>
  </si>
  <si>
    <t>民生金融中心</t>
  </si>
  <si>
    <t>中国太平洋保险（集团）股份有限公司(内资)</t>
  </si>
  <si>
    <t>泛海控股股份有限公司</t>
  </si>
  <si>
    <t>昌平区沙河镇七里渠南北村开发项目7#办公楼1201、1301、277 个车位及其他配套设施</t>
    <phoneticPr fontId="137" type="noConversion"/>
  </si>
  <si>
    <t>昌平区沙河镇七里渠南北村开发项目7#办公楼</t>
  </si>
  <si>
    <t>北京石头世纪科技股份有限公司(内资)</t>
  </si>
  <si>
    <t>北京紫麟置业有限公司</t>
  </si>
  <si>
    <t>丰台科技园东区三期</t>
    <phoneticPr fontId="137" type="noConversion"/>
  </si>
  <si>
    <t>北京丰台科技园投资控股有限公司(内资),北京丰科世纪科技孵化器有限公司(内资)</t>
  </si>
  <si>
    <t>廊坊京御房地产开发有限公司</t>
  </si>
  <si>
    <t>西华府大厦及西贵园项目办公、部分商业用房及车位</t>
    <phoneticPr fontId="137" type="noConversion"/>
  </si>
  <si>
    <t>西华府大厦及西贵园项目办公、部分商业用房及车位</t>
  </si>
  <si>
    <t>北京市基础设施投资有限公司（原北京地铁集团有限责任公司）(内资)</t>
  </si>
  <si>
    <t>北京京投银泰置业有限公司</t>
  </si>
  <si>
    <t>世纪财富中心75%股权交易</t>
    <phoneticPr fontId="137" type="noConversion"/>
  </si>
  <si>
    <t>世纪财富中心</t>
  </si>
  <si>
    <t>卓越商企服務集團有限公司</t>
  </si>
  <si>
    <t>北京环球财富物业管理有限公司</t>
  </si>
  <si>
    <t>平安收购莱佛士城投资组合交易</t>
    <phoneticPr fontId="137" type="noConversion"/>
  </si>
  <si>
    <t>上海来福士广场,上海长宁来福士广场,北京来福士广场,宁波来福士广场,宁波来福士广场(商业),成都来福士广场,杭州来福士广场</t>
  </si>
  <si>
    <t>上海,宁波,上海,成都,成都,上海,杭州,宁波,上海,北京,北京</t>
  </si>
  <si>
    <t>平安人寿保险(内资)</t>
  </si>
  <si>
    <t>凯德集团,首都采购计划投资委员会</t>
  </si>
  <si>
    <t>天圆祥泰大厦45.42%股权</t>
    <phoneticPr fontId="137" type="noConversion"/>
  </si>
  <si>
    <t>天圆祥泰大厦</t>
  </si>
  <si>
    <t>中融国际信托有限公司(内资)</t>
  </si>
  <si>
    <t>北京天圆泰德投资有限公司,北京尊胜房地产开发有限公司</t>
  </si>
  <si>
    <t>SOHO中国54.93%股权</t>
    <phoneticPr fontId="137" type="noConversion"/>
  </si>
  <si>
    <t>SOHO中国54.93%股权</t>
  </si>
  <si>
    <t>黑石集团(外资)</t>
  </si>
  <si>
    <t>SOHO中國有限公司</t>
  </si>
  <si>
    <t>鹏博士数据中心组合交易</t>
    <phoneticPr fontId="137" type="noConversion"/>
  </si>
  <si>
    <t>上海数据中心,佛山数据中心,广州数据中心,电信通数据中心,酒仙桥数据中心</t>
  </si>
  <si>
    <t>北京,北京,上海,广州,佛山</t>
  </si>
  <si>
    <t>深圳宝能创展置业有限公司(内资)</t>
  </si>
  <si>
    <t>鹏博士</t>
  </si>
  <si>
    <t>阿布扎比投资局购物中心投资组合交易</t>
    <phoneticPr fontId="137" type="noConversion"/>
  </si>
  <si>
    <t>上海悦荟,东原悦荟新新park,北京悦荟广场,西安悦荟广场,青岛悦荟</t>
  </si>
  <si>
    <t>北京,重庆,青岛,上海,西安</t>
  </si>
  <si>
    <t>布鲁克菲尔德资产管理(外资)</t>
  </si>
  <si>
    <t>麦格理银行,阿布扎比投资局</t>
  </si>
  <si>
    <t>钻石大厦</t>
    <phoneticPr fontId="137" type="noConversion"/>
  </si>
  <si>
    <t>钻石大厦</t>
  </si>
  <si>
    <t>ACR asset crafters(外资)</t>
  </si>
  <si>
    <t>远洋资本有限公司</t>
  </si>
  <si>
    <t>新华东街289号院1号楼（京杭府）商业</t>
    <phoneticPr fontId="137" type="noConversion"/>
  </si>
  <si>
    <t>新华东街289号院1号楼（京杭府）商业</t>
  </si>
  <si>
    <t>北京东部绿城置业有限公司</t>
  </si>
  <si>
    <t>辉盛阁国际公寓</t>
    <phoneticPr fontId="137" type="noConversion"/>
  </si>
  <si>
    <t>辉盛阁国际公寓</t>
  </si>
  <si>
    <t>TISHMAN SPEYER CHINA FUND（BARBADOS）SRL(外资)</t>
  </si>
  <si>
    <t>Fraser Group Limited</t>
  </si>
  <si>
    <t>丽泽通用大厦（通用时代中心）</t>
    <phoneticPr fontId="137" type="noConversion"/>
  </si>
  <si>
    <t>丽泽通用大厦（通用时代中心）</t>
  </si>
  <si>
    <t>人民教育出版社有限公司(内资)</t>
  </si>
  <si>
    <t>兆泰国际中心C、D座</t>
    <phoneticPr fontId="137" type="noConversion"/>
  </si>
  <si>
    <t>兆泰国际中心C、D座</t>
  </si>
  <si>
    <t>北京兆泰集团股份有限公司</t>
  </si>
  <si>
    <t>中关村大厦14层</t>
    <phoneticPr fontId="137" type="noConversion"/>
  </si>
  <si>
    <t>中关村大厦</t>
  </si>
  <si>
    <t>北京银河寻宝科技有限公司(内资)</t>
  </si>
  <si>
    <t>太古里北区15号楼部分资产</t>
    <phoneticPr fontId="137" type="noConversion"/>
  </si>
  <si>
    <t>太古里北区15号楼</t>
  </si>
  <si>
    <t>文旅商业</t>
  </si>
  <si>
    <t>北京安业物业管理有限公司(内资)</t>
  </si>
  <si>
    <t>北京耀辉国际城（北京长安8号）</t>
    <phoneticPr fontId="137" type="noConversion"/>
  </si>
  <si>
    <t>北京耀辉国际城（北京长安8号）</t>
  </si>
  <si>
    <t>佳兆業集團控股有限公司(外资)</t>
  </si>
  <si>
    <t>高捷投資有限公司,升晴投资有限公司,北京诚义豪泰投资管理有限公司</t>
  </si>
  <si>
    <t>丁章胡同5号-1至1层101房产</t>
    <phoneticPr fontId="137" type="noConversion"/>
  </si>
  <si>
    <t>丁章胡同5号-1至1层101房产</t>
  </si>
  <si>
    <t>中国证券登记结算有限责任公司</t>
  </si>
  <si>
    <t>中关村移动智能服务创新园（上地·元中心）</t>
    <phoneticPr fontId="137" type="noConversion"/>
  </si>
  <si>
    <t>中关村移动智能服务创新园（上地·元中心）</t>
  </si>
  <si>
    <t>西二旗</t>
  </si>
  <si>
    <t>北京快手科技有限公司(内资)</t>
  </si>
  <si>
    <t>北京首农信息产业投资有限公司</t>
  </si>
  <si>
    <t>旺座中心写字楼</t>
    <phoneticPr fontId="137" type="noConversion"/>
  </si>
  <si>
    <t>旺座中心写字楼</t>
  </si>
  <si>
    <t>北京百祥商贸有限公司(内资)</t>
  </si>
  <si>
    <t>北京第三中级人民法院</t>
  </si>
  <si>
    <t>吉运集团办公大楼</t>
    <phoneticPr fontId="137" type="noConversion"/>
  </si>
  <si>
    <t>吉运集团办公大楼</t>
  </si>
  <si>
    <t>北京恒业佳荣物业有限公司(内资)</t>
  </si>
  <si>
    <t>昌平某商务园区物业</t>
    <phoneticPr fontId="137" type="noConversion"/>
  </si>
  <si>
    <t>昌平某商务园区物业</t>
  </si>
  <si>
    <t>某网游公司(内资)</t>
  </si>
  <si>
    <t>金融街万科丰科中心</t>
    <phoneticPr fontId="137" type="noConversion"/>
  </si>
  <si>
    <t>金融街万科丰科中心</t>
  </si>
  <si>
    <t>中信长安置业(北京)有限公司,北京万科企业有限公司,北京金丰融晟投资管理有限公司</t>
  </si>
  <si>
    <t>北京世纪华侨城旅游主题社区商业中心</t>
    <phoneticPr fontId="137" type="noConversion"/>
  </si>
  <si>
    <t>北京世纪华侨城旅游主题社区商业中心</t>
  </si>
  <si>
    <t>北京世纪华侨城实业有限公司</t>
  </si>
  <si>
    <t>北京通州综合发展项目（信德中心二期）</t>
    <phoneticPr fontId="137" type="noConversion"/>
  </si>
  <si>
    <t>北京通州综合发展项目（信德中心二期）</t>
  </si>
  <si>
    <t>鹏瑞利(成都)实业有限公司(外资),顺丰控股有限公司(外资)</t>
  </si>
  <si>
    <t>崇新发展有限公司</t>
  </si>
  <si>
    <t>电子城·IT产业园304号楼1至7层1单元101房产</t>
    <phoneticPr fontId="137" type="noConversion"/>
  </si>
  <si>
    <t>电子城·IT产业园</t>
  </si>
  <si>
    <t>北京市朝阳区机关后勤服务中心</t>
  </si>
  <si>
    <t>北汽福田汽车股份有限公司怀柔重型机械工厂房屋、土地使用权和设备等相关资产</t>
    <phoneticPr fontId="137" type="noConversion"/>
  </si>
  <si>
    <t>北汽福田汽车股份有限公司怀柔重型机械工厂房屋、土地使用权和设备等相关资产</t>
  </si>
  <si>
    <t>北汽福田汽车股份有限公司</t>
  </si>
  <si>
    <t>中关村环保科技示范园8层06号综合用房</t>
    <phoneticPr fontId="137" type="noConversion"/>
  </si>
  <si>
    <t>科贸电子城</t>
  </si>
  <si>
    <t>中信信托有限责任公司</t>
  </si>
  <si>
    <t>中关村环保科技示范园7号院4号楼</t>
    <phoneticPr fontId="137" type="noConversion"/>
  </si>
  <si>
    <t>中关村环保科技示范园</t>
  </si>
  <si>
    <t>北京市计算中心</t>
  </si>
  <si>
    <t>北京十四号数据中心</t>
    <phoneticPr fontId="137" type="noConversion"/>
  </si>
  <si>
    <t>北京十四号数据中心</t>
  </si>
  <si>
    <t>万国数据服务有限公司(内资),中信产业投资基金管理有限公司(内资)</t>
  </si>
  <si>
    <t>中信产业投资基金管理有限公司</t>
  </si>
  <si>
    <t>佑安中心</t>
    <phoneticPr fontId="137" type="noConversion"/>
  </si>
  <si>
    <t>佑安中心</t>
  </si>
  <si>
    <t>姚家园路住宅区某物业发展项目</t>
    <phoneticPr fontId="137" type="noConversion"/>
  </si>
  <si>
    <t>姚家园路住宅区某物业发展项目</t>
  </si>
  <si>
    <t>华润置地(北京)股份有限公司(内资)</t>
  </si>
  <si>
    <t>华润(集团)有限公司</t>
  </si>
  <si>
    <t>华润置地项目组合交易</t>
    <phoneticPr fontId="137" type="noConversion"/>
  </si>
  <si>
    <t>北京项目,华润万象汇,宁波项目,沈阳项目</t>
  </si>
  <si>
    <t>沈阳,宁波,北京,深圳</t>
  </si>
  <si>
    <t>华润置地(深圳)股份有限公司(内资)</t>
  </si>
  <si>
    <t>昌平办公楼</t>
    <phoneticPr fontId="137" type="noConversion"/>
  </si>
  <si>
    <t>昌平办公楼</t>
  </si>
  <si>
    <t>环球投资有限公司(外资)</t>
  </si>
  <si>
    <t>爱琴海购物中心</t>
    <phoneticPr fontId="137" type="noConversion"/>
  </si>
  <si>
    <t>爱琴海购物中心</t>
  </si>
  <si>
    <t>天津高和平信投资合伙企业(有限合伙)(内资)</t>
  </si>
  <si>
    <t>北京双全房地产开发有限公司</t>
  </si>
  <si>
    <t>融新科技组合交易</t>
    <phoneticPr fontId="137" type="noConversion"/>
  </si>
  <si>
    <t>融新科技中心</t>
  </si>
  <si>
    <t>首峰资金管理有限公司(外资),安联不动产设立合资公司(外资)</t>
  </si>
  <si>
    <t>东久中国</t>
  </si>
  <si>
    <t>总部基地二区8号楼1-12层房地产及附属车位</t>
    <phoneticPr fontId="137" type="noConversion"/>
  </si>
  <si>
    <t>中成进出口股份有限公司</t>
  </si>
  <si>
    <t>光华路SOHO 3Q</t>
    <phoneticPr fontId="137" type="noConversion"/>
  </si>
  <si>
    <t>光华路SOHO 3Q</t>
  </si>
  <si>
    <t>深圳市筑梦之星科技有限公司(内资)</t>
  </si>
  <si>
    <t>江苏苏豪国际集团股份有限公司</t>
  </si>
  <si>
    <t>食宝街</t>
    <phoneticPr fontId="137" type="noConversion"/>
  </si>
  <si>
    <t>食宝街</t>
  </si>
  <si>
    <t>美食集合</t>
  </si>
  <si>
    <t>NCR公司工业厂房</t>
    <phoneticPr fontId="137" type="noConversion"/>
  </si>
  <si>
    <t>NCR公司工业厂房</t>
  </si>
  <si>
    <t>北京星网工业园有限公司</t>
  </si>
  <si>
    <t>北京万科翠湖国际南区7号楼房产</t>
    <phoneticPr fontId="137" type="noConversion"/>
  </si>
  <si>
    <t>中关村翠湖科技园</t>
  </si>
  <si>
    <t>北京思特奇信息技术股份有限公司(内资)</t>
  </si>
  <si>
    <t>北京万毓房地产开发有限公司</t>
  </si>
  <si>
    <t>凯晨世贸中心</t>
    <phoneticPr fontId="137" type="noConversion"/>
  </si>
  <si>
    <t>凯晨世贸中心</t>
  </si>
  <si>
    <t>中国金茂(集团)有限公司(外资)</t>
  </si>
  <si>
    <t>赛特大厦</t>
    <phoneticPr fontId="137" type="noConversion"/>
  </si>
  <si>
    <t>赛特大厦</t>
  </si>
  <si>
    <t>碧桂园地产集团有限公司(内资)</t>
  </si>
  <si>
    <t>北京赛特商贸有限公司</t>
  </si>
  <si>
    <t>北京海航大厦</t>
    <phoneticPr fontId="137" type="noConversion"/>
  </si>
  <si>
    <t>北京海航大厦</t>
  </si>
  <si>
    <t>珠海万厚达美企业管理有限公司(内资)</t>
  </si>
  <si>
    <t>海南航空控股股份有限公司</t>
  </si>
  <si>
    <t>北京稻香四季房地产开发有限公司49.91%股权</t>
    <phoneticPr fontId="137" type="noConversion"/>
  </si>
  <si>
    <t>中粮·京西祥云</t>
  </si>
  <si>
    <t>大悦城控股集团股份有限公司(合资)</t>
  </si>
  <si>
    <t>中国五矿集团有限公司</t>
  </si>
  <si>
    <t>安贞华联项目</t>
    <phoneticPr fontId="137" type="noConversion"/>
  </si>
  <si>
    <t>华联商厦（安贞店）</t>
  </si>
  <si>
    <t>安贞</t>
  </si>
  <si>
    <t>远洋资本有限公司(内资),北京华联长山兴投资管理有限公司(内资)</t>
  </si>
  <si>
    <t>船舶重工大厦</t>
    <phoneticPr fontId="137" type="noConversion"/>
  </si>
  <si>
    <t>船舶重工大厦</t>
  </si>
  <si>
    <t>朗诗绿色地产有限公司(外资),阳光保险集团股份有限公司(内资)</t>
  </si>
  <si>
    <t>北京懋佳商业管理有限公司</t>
  </si>
  <si>
    <t>北京基汇组合交易</t>
    <phoneticPr fontId="137" type="noConversion"/>
  </si>
  <si>
    <t>太平洋世纪广场（盈科中心）</t>
  </si>
  <si>
    <t>基汇资本,合众集团</t>
  </si>
  <si>
    <t>南湖南路15号院甲3号楼及5号楼部分房产</t>
    <phoneticPr fontId="137" type="noConversion"/>
  </si>
  <si>
    <t>金隅丽港城</t>
  </si>
  <si>
    <t>京天泰组合交易</t>
    <phoneticPr fontId="137" type="noConversion"/>
  </si>
  <si>
    <t>通泰大厦,龙泽苑西区25号楼</t>
  </si>
  <si>
    <t>国寿投资控股有限公司 (内资)</t>
  </si>
  <si>
    <t>京天泰公司</t>
  </si>
  <si>
    <t>火神庙国际商业中心</t>
    <phoneticPr fontId="137" type="noConversion"/>
  </si>
  <si>
    <t>火神庙国际商业中心</t>
  </si>
  <si>
    <t>北京金色时枫房地产开发有限公司</t>
  </si>
  <si>
    <t>北京世茂大厦</t>
    <phoneticPr fontId="137" type="noConversion"/>
  </si>
  <si>
    <t>北京世茂大厦</t>
  </si>
  <si>
    <t>万通新世界广场12F B12</t>
    <phoneticPr fontId="137" type="noConversion"/>
  </si>
  <si>
    <t>万通新世界广场</t>
  </si>
  <si>
    <t>西城区</t>
  </si>
  <si>
    <t>阜成门</t>
  </si>
  <si>
    <t>中国能源建设集团财务有限公司</t>
  </si>
  <si>
    <t>北京市西城区西直门外大街18号楼12层2单元1505等10套办公房地产</t>
    <phoneticPr fontId="137" type="noConversion"/>
  </si>
  <si>
    <t>金贸大厦</t>
  </si>
  <si>
    <t>福建中烟工业有限责任公司</t>
  </si>
  <si>
    <t>中国招商局蛇口组合交易</t>
    <phoneticPr fontId="137" type="noConversion"/>
  </si>
  <si>
    <t>上海招商大厦,上海招商局广场,北京招商局大厦</t>
  </si>
  <si>
    <t>上海,北京,上海</t>
  </si>
  <si>
    <t>PAG(太盟投资集团)(外资)</t>
  </si>
  <si>
    <t>招商局蛇口</t>
  </si>
  <si>
    <t>北京通州一期</t>
    <phoneticPr fontId="137" type="noConversion"/>
  </si>
  <si>
    <t>北京通州一期</t>
  </si>
  <si>
    <t>上海常年房产经纪事务所(内资)</t>
  </si>
  <si>
    <t>北京通州二期</t>
    <phoneticPr fontId="137" type="noConversion"/>
  </si>
  <si>
    <t>北京通州二期</t>
  </si>
  <si>
    <t>北京银泰中心(建国门外大街店)1号楼10层1101至1109号</t>
    <phoneticPr fontId="137" type="noConversion"/>
  </si>
  <si>
    <t>北京银泰中心(建国门外大街店)</t>
  </si>
  <si>
    <t>中国精密机械进出口有限公司</t>
  </si>
  <si>
    <t>中关村鼎好大厦B座14层房地产</t>
    <phoneticPr fontId="137" type="noConversion"/>
  </si>
  <si>
    <t>中关村鼎好大厦</t>
  </si>
  <si>
    <t>高鸿恒昌科技有限公司</t>
  </si>
  <si>
    <t>北京京客隆超市</t>
    <phoneticPr fontId="137" type="noConversion"/>
  </si>
  <si>
    <t>北京京客隆超市</t>
  </si>
  <si>
    <t>超市</t>
  </si>
  <si>
    <t>北京京客隆商业集团股份有限公司(内资)</t>
  </si>
  <si>
    <t>北京首联律师事务所</t>
  </si>
  <si>
    <t>北京西城区西直门外大街18号金贸大厦5单元及附属设备和20个地下车位使用权</t>
    <phoneticPr fontId="137" type="noConversion"/>
  </si>
  <si>
    <t>上海王宝和大酒店有限公司</t>
  </si>
  <si>
    <t>金贸大厦2单元2层11套商住楼及配套设施</t>
    <phoneticPr fontId="137" type="noConversion"/>
  </si>
  <si>
    <t>中国银行组合交易</t>
    <phoneticPr fontId="137" type="noConversion"/>
  </si>
  <si>
    <t>上海大宁商业广场,上海畅星大厦,北京钻石大厦,成都华敏翰尊大厦,硅谷亮城4号楼</t>
  </si>
  <si>
    <t>北京,上海,成都,上海,北京</t>
  </si>
  <si>
    <t>远洋集团(合资)</t>
  </si>
  <si>
    <t>中国银行</t>
  </si>
  <si>
    <t>北京SKP</t>
    <phoneticPr fontId="137" type="noConversion"/>
  </si>
  <si>
    <t>北京SKP</t>
  </si>
  <si>
    <t>北京国华置业有限公司(合资),北京华联集团(内资)</t>
  </si>
  <si>
    <t>西单新一代商城</t>
    <phoneticPr fontId="6" type="noConversion"/>
  </si>
  <si>
    <t>正常</t>
  </si>
  <si>
    <t>现状用途</t>
    <phoneticPr fontId="33" type="noConversion"/>
  </si>
  <si>
    <t>40-50</t>
    <phoneticPr fontId="33" type="noConversion"/>
  </si>
  <si>
    <t>30-40</t>
    <phoneticPr fontId="33" type="noConversion"/>
  </si>
  <si>
    <t>20-30</t>
    <phoneticPr fontId="33" type="noConversion"/>
  </si>
  <si>
    <t>办公</t>
    <phoneticPr fontId="33" type="noConversion"/>
  </si>
  <si>
    <t>较好</t>
    <phoneticPr fontId="33" type="noConversion"/>
  </si>
  <si>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</si>
  <si>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</si>
  <si>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</si>
  <si>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</si>
  <si>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</si>
  <si>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</si>
  <si>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</si>
  <si>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毛坯</t>
    <phoneticPr fontId="33" type="noConversion"/>
  </si>
  <si>
    <t>六通</t>
  </si>
  <si>
    <t>地下占比</t>
    <phoneticPr fontId="33" type="noConversion"/>
  </si>
  <si>
    <t>0-5%</t>
    <phoneticPr fontId="33" type="noConversion"/>
  </si>
  <si>
    <t>5-10%</t>
    <phoneticPr fontId="33" type="noConversion"/>
  </si>
  <si>
    <t>10-15%</t>
    <phoneticPr fontId="33" type="noConversion"/>
  </si>
  <si>
    <t>15-20%</t>
    <phoneticPr fontId="33" type="noConversion"/>
  </si>
  <si>
    <t>20-30%</t>
    <phoneticPr fontId="33" type="noConversion"/>
  </si>
  <si>
    <t>项目模式</t>
  </si>
  <si>
    <t>售价</t>
  </si>
  <si>
    <t>凯德·星贸</t>
    <phoneticPr fontId="137" type="noConversion"/>
  </si>
  <si>
    <t>保利佲悦大都汇2号楼</t>
    <phoneticPr fontId="137" type="noConversion"/>
  </si>
  <si>
    <t>综合楼</t>
  </si>
  <si>
    <t>综合楼</t>
    <phoneticPr fontId="10" type="noConversion"/>
  </si>
  <si>
    <t>总价</t>
  </si>
  <si>
    <t>同一抵押权人同一抵押物续贷</t>
  </si>
  <si>
    <t>商务金融用地</t>
  </si>
  <si>
    <t>估价对象容积率</t>
  </si>
  <si>
    <t>容积率修正</t>
  </si>
  <si>
    <t>较差</t>
  </si>
  <si>
    <r>
      <t>2023</t>
    </r>
    <r>
      <rPr>
        <sz val="10"/>
        <color indexed="8"/>
        <rFont val="宋体"/>
        <family val="3"/>
        <charset val="134"/>
      </rPr>
      <t>年</t>
    </r>
    <phoneticPr fontId="11" type="noConversion"/>
  </si>
  <si>
    <r>
      <t>2022</t>
    </r>
    <r>
      <rPr>
        <sz val="10"/>
        <color indexed="8"/>
        <rFont val="宋体"/>
        <family val="3"/>
        <charset val="134"/>
      </rPr>
      <t>年</t>
    </r>
    <phoneticPr fontId="11" type="noConversion"/>
  </si>
  <si>
    <t>办公</t>
    <phoneticPr fontId="33" type="noConversion"/>
  </si>
  <si>
    <t>保利佲悦大都汇</t>
    <phoneticPr fontId="137" type="noConversion"/>
  </si>
  <si>
    <t>博瑞大厦</t>
    <phoneticPr fontId="137" type="noConversion"/>
  </si>
  <si>
    <t>北京丰台金茂广场</t>
    <phoneticPr fontId="137" type="noConversion"/>
  </si>
  <si>
    <t>西单新一代商城</t>
    <phoneticPr fontId="6" type="noConversion"/>
  </si>
  <si>
    <r>
      <t>2020</t>
    </r>
    <r>
      <rPr>
        <sz val="11"/>
        <rFont val="宋体"/>
        <family val="3"/>
        <charset val="134"/>
      </rPr>
      <t>年</t>
    </r>
    <phoneticPr fontId="34" type="noConversion"/>
  </si>
  <si>
    <r>
      <t>2019</t>
    </r>
    <r>
      <rPr>
        <sz val="11"/>
        <rFont val="宋体"/>
        <family val="3"/>
        <charset val="134"/>
      </rPr>
      <t>年</t>
    </r>
    <phoneticPr fontId="34" type="noConversion"/>
  </si>
  <si>
    <t>40-50</t>
    <phoneticPr fontId="34" type="noConversion"/>
  </si>
  <si>
    <t>博瑞大厦</t>
    <phoneticPr fontId="137" type="noConversion"/>
  </si>
  <si>
    <t>较好</t>
    <phoneticPr fontId="34" type="noConversion"/>
  </si>
  <si>
    <t>较好</t>
    <phoneticPr fontId="27" type="noConversion"/>
  </si>
  <si>
    <t>标准写字楼</t>
  </si>
  <si>
    <t>标准写字楼</t>
    <phoneticPr fontId="34" type="noConversion"/>
  </si>
  <si>
    <t>钢混</t>
    <phoneticPr fontId="34" type="noConversion"/>
  </si>
  <si>
    <t>精装修</t>
    <phoneticPr fontId="34" type="noConversion"/>
  </si>
  <si>
    <t>普通装修</t>
    <phoneticPr fontId="34" type="noConversion"/>
  </si>
  <si>
    <t>简单装修</t>
    <phoneticPr fontId="34" type="noConversion"/>
  </si>
  <si>
    <t>毛坯</t>
    <phoneticPr fontId="34" type="noConversion"/>
  </si>
  <si>
    <t>专业物业管理</t>
  </si>
  <si>
    <t>专业物业管理</t>
    <phoneticPr fontId="34" type="noConversion"/>
  </si>
  <si>
    <t>普通物业管理</t>
    <phoneticPr fontId="34" type="noConversion"/>
  </si>
  <si>
    <t>地下占比</t>
    <phoneticPr fontId="34" type="noConversion"/>
  </si>
  <si>
    <t>0-5%</t>
  </si>
  <si>
    <t>5-10%</t>
  </si>
  <si>
    <t>10-15%</t>
  </si>
  <si>
    <t>15-20%</t>
  </si>
  <si>
    <t>20-30%</t>
  </si>
  <si>
    <t>比较法-办公</t>
  </si>
  <si>
    <t>收益法</t>
  </si>
  <si>
    <t>收益比率</t>
  </si>
  <si>
    <t>好</t>
    <phoneticPr fontId="34" type="noConversion"/>
  </si>
  <si>
    <t>较好</t>
    <phoneticPr fontId="34" type="noConversion"/>
  </si>
  <si>
    <t>一般</t>
    <phoneticPr fontId="34" type="noConversion"/>
  </si>
  <si>
    <r>
      <rPr>
        <b/>
        <sz val="11"/>
        <rFont val="宋体"/>
        <family val="3"/>
        <charset val="134"/>
        <scheme val="minor"/>
      </rPr>
      <t>2022年上海大宗交易</t>
    </r>
  </si>
  <si>
    <t>项目</t>
    <phoneticPr fontId="6" type="noConversion"/>
  </si>
  <si>
    <t>城市</t>
    <phoneticPr fontId="6" type="noConversion"/>
  </si>
  <si>
    <t>行政区</t>
    <phoneticPr fontId="6" type="noConversion"/>
  </si>
  <si>
    <t>物业类型</t>
    <phoneticPr fontId="6" type="noConversion"/>
  </si>
  <si>
    <t>计价面积（平方米）</t>
    <phoneticPr fontId="6" type="noConversion"/>
  </si>
  <si>
    <t>季度</t>
    <phoneticPr fontId="6" type="noConversion"/>
  </si>
  <si>
    <t>年份</t>
    <phoneticPr fontId="6" type="noConversion"/>
  </si>
  <si>
    <t>卖方</t>
    <phoneticPr fontId="6" type="noConversion"/>
  </si>
  <si>
    <t>买房</t>
    <phoneticPr fontId="6" type="noConversion"/>
  </si>
  <si>
    <t>总价（百万元）</t>
    <phoneticPr fontId="6" type="noConversion"/>
  </si>
  <si>
    <t>单价（元/平方米）</t>
    <phoneticPr fontId="6" type="noConversion"/>
  </si>
  <si>
    <t>交易方式</t>
    <phoneticPr fontId="6" type="noConversion"/>
  </si>
  <si>
    <t>西康路608</t>
  </si>
  <si>
    <t>上海</t>
  </si>
  <si>
    <t>静安区</t>
  </si>
  <si>
    <t>零售</t>
  </si>
  <si>
    <t>Q1</t>
  </si>
  <si>
    <t>MSREF</t>
  </si>
  <si>
    <t>建业实业</t>
  </si>
  <si>
    <t>境外股权</t>
  </si>
  <si>
    <t>国浩长风城6号楼B座</t>
  </si>
  <si>
    <t>普陀区</t>
  </si>
  <si>
    <t>国浩</t>
  </si>
  <si>
    <t>罗普特科技集团</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</si>
  <si>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</si>
  <si>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</si>
  <si>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</si>
  <si>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</si>
  <si>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</si>
  <si>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</si>
  <si>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</si>
  <si>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</si>
  <si>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</si>
  <si>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</si>
  <si>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</si>
  <si>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</si>
  <si>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</si>
  <si>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</si>
  <si>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</si>
  <si>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</si>
  <si>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</si>
  <si>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</si>
  <si>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</si>
  <si>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</si>
  <si>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</si>
  <si>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</si>
  <si>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</si>
  <si>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</si>
  <si>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</si>
  <si>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</si>
  <si>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</si>
  <si>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</si>
  <si>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</si>
  <si>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</si>
  <si>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</si>
  <si>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</si>
  <si>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</si>
  <si>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</si>
  <si>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</si>
  <si>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</si>
  <si>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</si>
  <si>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</si>
  <si>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</si>
  <si>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</si>
  <si>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</si>
  <si>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</si>
  <si>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</si>
  <si>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</si>
  <si>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</si>
  <si>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</si>
  <si>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</si>
  <si>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</si>
  <si>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</si>
  <si>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</si>
  <si>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</si>
  <si>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</si>
  <si>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</si>
  <si>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</si>
  <si>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</si>
  <si>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</si>
  <si>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</si>
  <si>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</si>
  <si>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</si>
  <si>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</si>
  <si>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</si>
  <si>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</si>
  <si>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</si>
  <si>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</si>
  <si>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</si>
  <si>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</si>
  <si>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</si>
  <si>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</si>
  <si>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</si>
  <si>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</si>
  <si>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</si>
  <si>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</si>
  <si>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</si>
  <si>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</si>
  <si>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</si>
  <si>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</si>
  <si>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</si>
  <si>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</si>
  <si>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</si>
  <si>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</si>
  <si>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</si>
  <si>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</si>
  <si>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</si>
  <si>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</si>
  <si>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</si>
  <si>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</si>
  <si>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</si>
  <si>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</si>
  <si>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</si>
  <si>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</si>
  <si>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</si>
  <si>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</si>
  <si>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</si>
  <si>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雅居乐物业</t>
  </si>
  <si>
    <t>嘉誉天荟A/B座&amp;4号楼</t>
    <phoneticPr fontId="6"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</si>
  <si>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</si>
  <si>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</si>
  <si>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</si>
  <si>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</si>
  <si>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</si>
  <si>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</si>
  <si>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</si>
  <si>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</si>
  <si>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</si>
  <si>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</si>
  <si>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</si>
  <si>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</si>
  <si>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</si>
  <si>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</si>
  <si>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</si>
  <si>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</si>
  <si>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</si>
  <si>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</si>
  <si>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</si>
  <si>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</si>
  <si>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</si>
  <si>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</si>
  <si>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</si>
  <si>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</si>
  <si>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</si>
  <si>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</si>
  <si>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</si>
  <si>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</si>
  <si>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</si>
  <si>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</si>
  <si>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</si>
  <si>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</si>
  <si>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</si>
  <si>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</si>
  <si>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</si>
  <si>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</si>
  <si>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</si>
  <si>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</si>
  <si>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</si>
  <si>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</si>
  <si>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</si>
  <si>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</si>
  <si>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</si>
  <si>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</si>
  <si>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</si>
  <si>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</si>
  <si>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</si>
  <si>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</si>
  <si>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</si>
  <si>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</si>
  <si>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</si>
  <si>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</si>
  <si>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</si>
  <si>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</si>
  <si>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</si>
  <si>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</si>
  <si>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</si>
  <si>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</si>
  <si>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</si>
  <si>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</si>
  <si>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</si>
  <si>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</si>
  <si>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</si>
  <si>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</si>
  <si>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</si>
  <si>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</si>
  <si>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</si>
  <si>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</si>
  <si>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</si>
  <si>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</si>
  <si>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</si>
  <si>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</si>
  <si>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</si>
  <si>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</si>
  <si>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</si>
  <si>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</si>
  <si>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</si>
  <si>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</si>
  <si>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</si>
  <si>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</si>
  <si>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</si>
  <si>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</si>
  <si>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</si>
  <si>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</si>
  <si>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</si>
  <si>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</si>
  <si>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</si>
  <si>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</si>
  <si>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</si>
  <si>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</si>
  <si>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</si>
  <si>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</si>
  <si>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</si>
  <si>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</si>
  <si>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</si>
  <si>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</si>
  <si>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</si>
  <si>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</si>
  <si>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</si>
  <si>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</si>
  <si>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</si>
  <si>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</si>
  <si>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</si>
  <si>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</si>
  <si>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</si>
  <si>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</si>
  <si>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</si>
  <si>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</si>
  <si>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</si>
  <si>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</si>
  <si>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</si>
  <si>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</si>
  <si>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</si>
  <si>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</si>
  <si>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</si>
  <si>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</si>
  <si>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</si>
  <si>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</si>
  <si>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</si>
  <si>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</si>
  <si>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</si>
  <si>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</si>
  <si>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</si>
  <si>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</si>
  <si>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</si>
  <si>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</si>
  <si>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</si>
  <si>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</si>
  <si>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</si>
  <si>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</si>
  <si>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</si>
  <si>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</si>
  <si>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</si>
  <si>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</si>
  <si>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</si>
  <si>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</si>
  <si>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</si>
  <si>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</si>
  <si>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</si>
  <si>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</si>
  <si>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</si>
  <si>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</si>
  <si>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</si>
  <si>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</si>
  <si>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</si>
  <si>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</si>
  <si>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</si>
  <si>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</si>
  <si>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</si>
  <si>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</si>
  <si>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</si>
  <si>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t>北京远洋锐中心34.5%股权</t>
    <phoneticPr fontId="137" type="noConversion"/>
  </si>
  <si>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</si>
  <si>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</si>
  <si>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</si>
  <si>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</si>
  <si>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6"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</si>
  <si>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</si>
  <si>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</si>
  <si>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</si>
  <si>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</si>
  <si>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6"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</si>
  <si>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</si>
  <si>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</si>
  <si>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</si>
  <si>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</si>
  <si>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</si>
  <si>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</si>
  <si>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</si>
  <si>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</si>
  <si>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</si>
  <si>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</si>
  <si>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6"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</si>
  <si>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</si>
  <si>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</si>
  <si>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</si>
  <si>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</si>
  <si>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</si>
  <si>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</si>
  <si>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</si>
  <si>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</si>
  <si>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</si>
  <si>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</si>
  <si>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phoneticPr fontId="137" type="noConversion"/>
  </si>
  <si>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</si>
  <si>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</si>
  <si>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</si>
  <si>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</si>
  <si>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</si>
  <si>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</si>
  <si>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</si>
  <si>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</si>
  <si>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6"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</si>
  <si>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</si>
  <si>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</si>
  <si>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6"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</si>
  <si>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</si>
  <si>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</si>
  <si>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</si>
  <si>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</si>
  <si>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</si>
  <si>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</si>
  <si>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6"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</si>
  <si>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</si>
  <si>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</si>
  <si>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</si>
  <si>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</si>
  <si>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</si>
  <si>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</si>
  <si>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</si>
  <si>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</si>
  <si>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</si>
  <si>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</si>
  <si>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</si>
  <si>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</si>
  <si>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</si>
  <si>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</si>
  <si>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</si>
  <si>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</si>
  <si>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</si>
  <si>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t>中国金融出版社中心</t>
    <phoneticPr fontId="137" type="noConversion"/>
  </si>
  <si>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</si>
  <si>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</si>
  <si>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</si>
  <si>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</si>
  <si>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</si>
  <si>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t>聚龙花园</t>
    <phoneticPr fontId="137" type="noConversion"/>
  </si>
  <si>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</si>
  <si>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</si>
  <si>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</si>
  <si>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</si>
  <si>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</si>
  <si>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</si>
  <si>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</si>
  <si>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</si>
  <si>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</si>
  <si>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</si>
  <si>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</si>
  <si>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</si>
  <si>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</si>
  <si>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</si>
  <si>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</si>
  <si>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</si>
  <si>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</si>
  <si>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</si>
  <si>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</si>
  <si>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</si>
  <si>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</si>
  <si>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</si>
  <si>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</si>
  <si>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</si>
  <si>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</si>
  <si>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</si>
  <si>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</si>
  <si>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</si>
  <si>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</si>
  <si>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</si>
  <si>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</si>
  <si>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</si>
  <si>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</si>
  <si>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</si>
  <si>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</si>
  <si>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</si>
  <si>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</si>
  <si>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</si>
  <si>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</si>
  <si>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</si>
  <si>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</si>
  <si>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</si>
  <si>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</si>
  <si>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</si>
  <si>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</si>
  <si>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</si>
  <si>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</si>
  <si>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</si>
  <si>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</si>
  <si>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</si>
  <si>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</si>
  <si>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</si>
  <si>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</si>
  <si>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</si>
  <si>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</si>
  <si>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</si>
  <si>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</si>
  <si>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</si>
  <si>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</si>
  <si>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</si>
  <si>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</si>
  <si>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</si>
  <si>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</si>
  <si>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</si>
  <si>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</si>
  <si>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</si>
  <si>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</si>
  <si>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</si>
  <si>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</si>
  <si>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</si>
  <si>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</si>
  <si>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</si>
  <si>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</si>
  <si>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</si>
  <si>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</si>
  <si>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</si>
  <si>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</si>
  <si>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</si>
  <si>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</si>
  <si>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</si>
  <si>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</si>
  <si>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</si>
  <si>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</si>
  <si>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</si>
  <si>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</si>
  <si>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</si>
  <si>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</si>
  <si>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</si>
  <si>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</si>
  <si>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</si>
  <si>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</si>
  <si>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</si>
  <si>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</si>
  <si>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</si>
  <si>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</si>
  <si>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</si>
  <si>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</si>
  <si>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</si>
  <si>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</si>
  <si>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</si>
  <si>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</si>
  <si>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</si>
  <si>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</si>
  <si>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</si>
  <si>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</si>
  <si>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</si>
  <si>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</si>
  <si>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</si>
  <si>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</si>
  <si>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</si>
  <si>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</si>
  <si>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</si>
  <si>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</si>
  <si>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</si>
  <si>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</si>
  <si>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</si>
  <si>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</si>
  <si>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</si>
  <si>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</si>
  <si>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</si>
  <si>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</si>
  <si>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</si>
  <si>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</si>
  <si>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</si>
  <si>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</si>
  <si>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</si>
  <si>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</si>
  <si>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</si>
  <si>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</si>
  <si>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</si>
  <si>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</si>
  <si>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</si>
  <si>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</si>
  <si>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</si>
  <si>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</si>
  <si>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</si>
  <si>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</si>
  <si>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</si>
  <si>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面积</t>
    <phoneticPr fontId="137" type="noConversion"/>
  </si>
  <si>
    <t>金额</t>
    <phoneticPr fontId="137" type="noConversion"/>
  </si>
  <si>
    <t>单价</t>
    <phoneticPr fontId="137" type="noConversion"/>
  </si>
  <si>
    <r>
      <t>2012</t>
    </r>
    <r>
      <rPr>
        <sz val="11"/>
        <rFont val="宋体"/>
        <family val="3"/>
        <charset val="134"/>
      </rPr>
      <t>年</t>
    </r>
    <phoneticPr fontId="34" type="noConversion"/>
  </si>
  <si>
    <t>一般</t>
    <phoneticPr fontId="34" type="noConversion"/>
  </si>
  <si>
    <t>办公</t>
    <phoneticPr fontId="10" type="noConversion"/>
  </si>
  <si>
    <t>商业</t>
    <phoneticPr fontId="10" type="noConversion"/>
  </si>
  <si>
    <t>车库</t>
    <phoneticPr fontId="10" type="noConversion"/>
  </si>
  <si>
    <t>面积</t>
    <phoneticPr fontId="10" type="noConversion"/>
  </si>
  <si>
    <t>单价</t>
    <phoneticPr fontId="10" type="noConversion"/>
  </si>
  <si>
    <t>总价</t>
    <phoneticPr fontId="10" type="noConversion"/>
  </si>
  <si>
    <t>办公</t>
    <phoneticPr fontId="34" type="noConversion"/>
  </si>
  <si>
    <t>综合</t>
    <phoneticPr fontId="34" type="noConversion"/>
  </si>
  <si>
    <t>现状用途</t>
    <phoneticPr fontId="1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</si>
</sst>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8" fillId="0" borderId="0">
      <alignment vertical="center"/>
    </xf>
    <xf numFmtId="0" fontId="98" fillId="0" borderId="0"/>
    <xf numFmtId="0" fontId="98" fillId="0" borderId="0">
      <alignment vertical="center"/>
    </xf>
    <xf numFmtId="0" fontId="39"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5" fillId="0" borderId="0">
      <alignment vertical="center"/>
    </xf>
    <xf numFmtId="0" fontId="98" fillId="0" borderId="0">
      <alignment vertical="center"/>
    </xf>
    <xf numFmtId="0" fontId="4" fillId="0" borderId="0">
      <alignment vertical="center"/>
    </xf>
    <xf numFmtId="0" fontId="162" fillId="0" borderId="0"/>
    <xf numFmtId="0" fontId="4" fillId="0" borderId="0">
      <alignment vertical="center"/>
    </xf>
    <xf numFmtId="9" fontId="39" fillId="0" borderId="0" applyFont="0" applyFill="0" applyBorder="0" applyAlignment="0" applyProtection="0">
      <alignment vertical="center"/>
    </xf>
    <xf numFmtId="0" fontId="98" fillId="0" borderId="0">
      <alignment vertical="center"/>
    </xf>
    <xf numFmtId="0" fontId="4" fillId="0" borderId="0">
      <alignment vertical="center"/>
    </xf>
    <xf numFmtId="9" fontId="248" fillId="0" borderId="0" applyFont="0" applyFill="0" applyBorder="0" applyAlignment="0" applyProtection="0">
      <alignment vertical="center"/>
    </xf>
    <xf numFmtId="192" fontId="98" fillId="0" borderId="0">
      <alignment vertical="center"/>
    </xf>
    <xf numFmtId="0" fontId="3" fillId="0" borderId="0">
      <alignment vertical="center"/>
    </xf>
    <xf numFmtId="0" fontId="272" fillId="0" borderId="0"/>
    <xf numFmtId="43" fontId="272" fillId="0" borderId="0" applyFont="0" applyFill="0" applyBorder="0" applyAlignment="0" applyProtection="0">
      <alignment vertical="center"/>
    </xf>
    <xf numFmtId="0" fontId="1" fillId="0" borderId="0">
      <alignment vertical="center"/>
    </xf>
  </cellStyleXfs>
  <cellXfs count="3870">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101" fillId="6" borderId="0" xfId="0" applyFont="1" applyFill="1" applyAlignment="1" applyProtection="1">
      <alignment horizontal="center" vertical="center"/>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81"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2"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18" fillId="0" borderId="0" xfId="5" applyFont="1">
      <alignment vertical="center"/>
    </xf>
    <xf numFmtId="0" fontId="98"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0" fontId="101" fillId="6" borderId="5" xfId="0" applyNumberFormat="1" applyFont="1" applyFill="1" applyBorder="1" applyProtection="1">
      <alignment vertical="center"/>
    </xf>
    <xf numFmtId="0" fontId="101"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0"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50" fillId="0" borderId="78" xfId="11" applyFont="1" applyBorder="1" applyAlignment="1" applyProtection="1">
      <alignment horizontal="left" vertical="center" wrapText="1"/>
    </xf>
    <xf numFmtId="0" fontId="150" fillId="0" borderId="87" xfId="0" applyFont="1" applyBorder="1" applyProtection="1">
      <alignment vertical="center"/>
    </xf>
    <xf numFmtId="0" fontId="150" fillId="0" borderId="44" xfId="11" applyFont="1" applyBorder="1" applyAlignment="1" applyProtection="1">
      <alignment vertical="center" wrapText="1"/>
    </xf>
    <xf numFmtId="0" fontId="150" fillId="0" borderId="44" xfId="0" applyFont="1" applyBorder="1" applyAlignment="1" applyProtection="1">
      <alignment horizontal="left" vertical="center"/>
    </xf>
    <xf numFmtId="0" fontId="150" fillId="0" borderId="83" xfId="0" applyFont="1" applyBorder="1" applyProtection="1">
      <alignment vertical="center"/>
    </xf>
    <xf numFmtId="0" fontId="150" fillId="0" borderId="1" xfId="1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0" xfId="0" applyFont="1" applyBorder="1" applyProtection="1">
      <alignment vertical="center"/>
    </xf>
    <xf numFmtId="0" fontId="150" fillId="0" borderId="78" xfId="11" applyFont="1" applyBorder="1" applyAlignment="1" applyProtection="1">
      <alignment vertical="center" wrapText="1"/>
    </xf>
    <xf numFmtId="0" fontId="150" fillId="0" borderId="78" xfId="0" applyFont="1" applyBorder="1" applyAlignment="1" applyProtection="1">
      <alignment horizontal="left" vertical="center"/>
    </xf>
    <xf numFmtId="192" fontId="150" fillId="0" borderId="78" xfId="0" applyNumberFormat="1" applyFont="1" applyBorder="1" applyAlignment="1" applyProtection="1">
      <alignment horizontal="left" vertical="center"/>
    </xf>
    <xf numFmtId="0" fontId="150" fillId="0" borderId="2" xfId="11" applyFont="1" applyBorder="1" applyAlignment="1" applyProtection="1">
      <alignment vertical="center" wrapText="1"/>
    </xf>
    <xf numFmtId="14" fontId="150" fillId="0" borderId="2" xfId="0" applyNumberFormat="1" applyFont="1" applyBorder="1" applyAlignment="1" applyProtection="1">
      <alignment horizontal="left" vertical="center"/>
    </xf>
    <xf numFmtId="0" fontId="150" fillId="0" borderId="0" xfId="0" applyFont="1" applyProtection="1">
      <alignment vertical="center"/>
    </xf>
    <xf numFmtId="14" fontId="150" fillId="0" borderId="1" xfId="0" applyNumberFormat="1" applyFont="1" applyBorder="1" applyAlignment="1" applyProtection="1">
      <alignment horizontal="left" vertical="center"/>
    </xf>
    <xf numFmtId="0" fontId="150"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2" fillId="6" borderId="1" xfId="8" applyFont="1" applyFill="1" applyBorder="1" applyAlignment="1" applyProtection="1">
      <alignment horizontal="center"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22" fillId="6" borderId="0" xfId="2" applyFont="1" applyFill="1"/>
    <xf numFmtId="0" fontId="22" fillId="6" borderId="6" xfId="2" applyFont="1" applyFill="1" applyBorder="1"/>
    <xf numFmtId="0" fontId="125" fillId="6" borderId="9" xfId="2" applyFont="1" applyFill="1" applyBorder="1" applyAlignment="1">
      <alignment horizontal="center" vertical="center" wrapText="1"/>
    </xf>
    <xf numFmtId="0" fontId="22"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25" fillId="6" borderId="1" xfId="2" applyFont="1" applyFill="1" applyBorder="1" applyAlignment="1">
      <alignment horizontal="center" vertical="center" wrapText="1"/>
    </xf>
    <xf numFmtId="0" fontId="22"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25"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55" fillId="6" borderId="0" xfId="2" applyNumberFormat="1"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2"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60" fillId="6" borderId="0" xfId="2" applyFont="1" applyFill="1" applyAlignment="1">
      <alignment vertical="center"/>
    </xf>
    <xf numFmtId="0" fontId="160" fillId="6" borderId="1" xfId="2" applyFont="1" applyFill="1" applyBorder="1" applyAlignment="1">
      <alignment horizontal="left"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3" fillId="0" borderId="1" xfId="12" applyFont="1" applyBorder="1" applyAlignment="1" applyProtection="1">
      <alignment horizontal="left" vertical="center" wrapText="1"/>
      <protection locked="0"/>
    </xf>
    <xf numFmtId="0" fontId="167"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1" fillId="0" borderId="108" xfId="0" applyNumberFormat="1" applyFont="1" applyFill="1" applyBorder="1" applyAlignment="1" applyProtection="1">
      <alignment horizontal="center" vertical="center" wrapText="1"/>
      <protection locked="0"/>
    </xf>
    <xf numFmtId="0" fontId="171"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17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4"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3"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2" fillId="6" borderId="43" xfId="0" applyNumberFormat="1" applyFont="1" applyFill="1" applyBorder="1" applyAlignment="1" applyProtection="1">
      <alignment vertical="center" wrapText="1"/>
    </xf>
    <xf numFmtId="0" fontId="167"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174" fillId="6" borderId="3" xfId="0" applyFont="1" applyFill="1" applyBorder="1" applyAlignment="1" applyProtection="1">
      <alignment horizontal="right" vertical="center" wrapText="1"/>
    </xf>
    <xf numFmtId="0" fontId="189" fillId="0" borderId="0" xfId="5" applyFont="1">
      <alignment vertical="center"/>
    </xf>
    <xf numFmtId="0" fontId="98" fillId="0" borderId="0" xfId="0" applyFont="1" applyProtection="1">
      <alignment vertical="center"/>
      <protection locked="0"/>
    </xf>
    <xf numFmtId="0" fontId="198"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9" fillId="0" borderId="0" xfId="0" applyFont="1" applyAlignment="1">
      <alignment vertical="center"/>
    </xf>
    <xf numFmtId="0" fontId="133" fillId="0" borderId="0" xfId="0" applyFont="1" applyAlignment="1">
      <alignment vertical="center" wrapText="1"/>
    </xf>
    <xf numFmtId="0" fontId="200" fillId="0" borderId="0" xfId="0" applyFont="1">
      <alignment vertical="center"/>
    </xf>
    <xf numFmtId="0" fontId="201" fillId="0" borderId="0" xfId="0" applyFont="1">
      <alignment vertical="center"/>
    </xf>
    <xf numFmtId="0" fontId="202" fillId="0" borderId="0" xfId="0" applyFont="1" applyAlignment="1" applyProtection="1">
      <alignment vertical="center" wrapText="1"/>
      <protection locked="0"/>
    </xf>
    <xf numFmtId="0" fontId="133" fillId="0" borderId="0" xfId="0" applyFont="1" applyFill="1" applyAlignment="1">
      <alignment vertical="center" wrapText="1"/>
    </xf>
    <xf numFmtId="0" fontId="199" fillId="0" borderId="0" xfId="0" applyFont="1">
      <alignment vertical="center"/>
    </xf>
    <xf numFmtId="183" fontId="133" fillId="0" borderId="0" xfId="0" applyNumberFormat="1" applyFont="1" applyAlignment="1">
      <alignment horizontal="left" vertical="center"/>
    </xf>
    <xf numFmtId="0" fontId="133" fillId="0" borderId="0" xfId="0" applyFont="1">
      <alignment vertical="center"/>
    </xf>
    <xf numFmtId="0" fontId="203" fillId="5" borderId="0" xfId="0" applyFont="1" applyFill="1" applyProtection="1">
      <alignment vertical="center"/>
      <protection locked="0"/>
    </xf>
    <xf numFmtId="0" fontId="101" fillId="0" borderId="0" xfId="0" applyFont="1" applyProtection="1">
      <alignment vertical="center"/>
      <protection locked="0"/>
    </xf>
    <xf numFmtId="0" fontId="199"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9"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7"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8" fillId="0" borderId="0" xfId="0" applyFont="1" applyProtection="1">
      <alignment vertical="center"/>
    </xf>
    <xf numFmtId="0" fontId="196" fillId="0" borderId="0" xfId="0" applyFont="1" applyBorder="1" applyAlignment="1" applyProtection="1">
      <alignment horizontal="left" vertical="center"/>
    </xf>
    <xf numFmtId="0" fontId="214"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4" fillId="0" borderId="60" xfId="0" applyFont="1" applyBorder="1" applyAlignment="1" applyProtection="1">
      <alignment horizontal="justify" vertical="center" wrapText="1"/>
    </xf>
    <xf numFmtId="0" fontId="214" fillId="0" borderId="0" xfId="0" applyFont="1" applyBorder="1" applyAlignment="1" applyProtection="1">
      <alignment horizontal="right" vertical="center" wrapText="1"/>
    </xf>
    <xf numFmtId="0" fontId="214" fillId="0" borderId="54" xfId="0" applyFont="1" applyBorder="1" applyAlignment="1" applyProtection="1">
      <alignment horizontal="justify" vertical="center" wrapText="1"/>
    </xf>
    <xf numFmtId="0" fontId="215" fillId="0" borderId="0" xfId="0" applyFont="1" applyBorder="1" applyAlignment="1" applyProtection="1">
      <alignment horizontal="center" vertical="center" wrapText="1"/>
      <protection locked="0"/>
    </xf>
    <xf numFmtId="0" fontId="199"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8" fillId="0" borderId="0" xfId="0" applyFont="1" applyBorder="1" applyProtection="1">
      <alignment vertical="center"/>
      <protection locked="0"/>
    </xf>
    <xf numFmtId="0" fontId="197" fillId="0" borderId="0" xfId="0" applyFont="1" applyBorder="1" applyProtection="1">
      <alignment vertical="center"/>
      <protection locked="0"/>
    </xf>
    <xf numFmtId="0" fontId="218" fillId="0" borderId="0" xfId="0" applyFont="1" applyProtection="1">
      <alignment vertical="center"/>
    </xf>
    <xf numFmtId="0" fontId="197" fillId="0" borderId="0" xfId="0" applyFont="1" applyProtection="1">
      <alignment vertical="center"/>
    </xf>
    <xf numFmtId="0" fontId="20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05" fillId="0" borderId="0" xfId="0" applyFont="1" applyProtection="1">
      <alignment vertical="center"/>
    </xf>
    <xf numFmtId="0" fontId="205" fillId="2" borderId="1" xfId="0" applyFont="1" applyFill="1" applyBorder="1" applyAlignment="1" applyProtection="1">
      <alignment horizontal="center" vertical="center" wrapText="1"/>
    </xf>
    <xf numFmtId="0" fontId="205" fillId="6" borderId="1" xfId="0" applyFont="1" applyFill="1" applyBorder="1" applyAlignment="1" applyProtection="1">
      <alignment horizontal="center" vertical="center" wrapText="1"/>
    </xf>
    <xf numFmtId="0" fontId="221" fillId="4" borderId="1" xfId="0" applyFont="1" applyFill="1" applyBorder="1" applyAlignment="1" applyProtection="1">
      <alignment horizontal="center" vertical="center"/>
    </xf>
    <xf numFmtId="0" fontId="222" fillId="0" borderId="1" xfId="0" applyFont="1" applyFill="1" applyBorder="1" applyAlignment="1" applyProtection="1">
      <alignment horizontal="center" vertical="center"/>
    </xf>
    <xf numFmtId="0" fontId="220" fillId="0" borderId="0" xfId="0" applyFont="1" applyProtection="1">
      <alignment vertical="center"/>
    </xf>
    <xf numFmtId="0" fontId="119"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3" fillId="0" borderId="0" xfId="0" applyFont="1" applyProtection="1">
      <alignment vertical="center"/>
    </xf>
    <xf numFmtId="0" fontId="220" fillId="0" borderId="0" xfId="0" applyFont="1" applyAlignment="1" applyProtection="1">
      <alignment horizontal="left" vertical="center"/>
    </xf>
    <xf numFmtId="176" fontId="220" fillId="0" borderId="0" xfId="0" applyNumberFormat="1" applyFont="1" applyAlignment="1" applyProtection="1">
      <alignment horizontal="left" vertical="center"/>
    </xf>
    <xf numFmtId="0" fontId="22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0" fillId="6" borderId="0" xfId="0" applyFont="1" applyFill="1" applyAlignment="1" applyProtection="1">
      <alignment horizontal="center" vertical="center" wrapText="1"/>
    </xf>
    <xf numFmtId="0" fontId="22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1"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8" fillId="6" borderId="0" xfId="0" applyFont="1" applyFill="1" applyBorder="1" applyAlignment="1" applyProtection="1">
      <alignment horizontal="left" vertical="center"/>
    </xf>
    <xf numFmtId="0" fontId="228" fillId="6" borderId="0" xfId="0" applyFont="1" applyFill="1" applyBorder="1" applyAlignment="1" applyProtection="1">
      <alignment vertical="center"/>
    </xf>
    <xf numFmtId="0" fontId="228"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7" fillId="6" borderId="1" xfId="0" applyFont="1" applyFill="1" applyBorder="1">
      <alignment vertical="center"/>
    </xf>
    <xf numFmtId="0" fontId="207"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3"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1"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1"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1" fillId="6" borderId="25" xfId="0" applyNumberFormat="1"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xf>
    <xf numFmtId="0" fontId="102" fillId="6" borderId="2"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2"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2"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2" fillId="6" borderId="0" xfId="0" applyFont="1" applyFill="1" applyProtection="1">
      <alignment vertical="center"/>
    </xf>
    <xf numFmtId="186"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6" fontId="207"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71" fillId="0" borderId="1" xfId="0" applyNumberFormat="1" applyFont="1" applyFill="1" applyBorder="1" applyAlignment="1" applyProtection="1">
      <alignment horizontal="center" vertical="center" wrapText="1"/>
      <protection locked="0"/>
    </xf>
    <xf numFmtId="0" fontId="171" fillId="0" borderId="13" xfId="0" applyNumberFormat="1" applyFont="1" applyFill="1" applyBorder="1" applyAlignment="1" applyProtection="1">
      <alignment horizontal="center" vertical="center" wrapText="1"/>
      <protection locked="0"/>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1" fillId="0" borderId="32" xfId="0" applyNumberFormat="1" applyFont="1" applyFill="1" applyBorder="1" applyAlignment="1" applyProtection="1">
      <alignment horizontal="center" vertical="center" wrapText="1"/>
      <protection locked="0"/>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2" fillId="6" borderId="1" xfId="0" applyNumberFormat="1" applyFont="1" applyFill="1" applyBorder="1" applyAlignment="1" applyProtection="1">
      <alignment horizontal="center" vertical="center" wrapText="1"/>
    </xf>
    <xf numFmtId="0" fontId="22" fillId="6" borderId="1" xfId="0" applyFont="1" applyFill="1" applyBorder="1" applyAlignment="1" applyProtection="1">
      <alignment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5" fillId="6" borderId="119" xfId="10" applyFont="1" applyFill="1" applyBorder="1" applyAlignment="1" applyProtection="1">
      <alignment horizontal="left" vertical="center"/>
    </xf>
    <xf numFmtId="0" fontId="105" fillId="0" borderId="120" xfId="9" applyFont="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5"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39"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5"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5"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16" fillId="5" borderId="0" xfId="9" applyFont="1" applyFill="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5"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177" fontId="102" fillId="0" borderId="0" xfId="9" applyNumberFormat="1" applyFont="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3" xfId="9" applyFont="1" applyFill="1" applyBorder="1" applyAlignment="1" applyProtection="1">
      <alignment horizontal="left" vertical="center" wrapText="1"/>
    </xf>
    <xf numFmtId="0" fontId="146" fillId="11" borderId="124" xfId="9" applyFont="1" applyFill="1" applyBorder="1" applyAlignment="1" applyProtection="1">
      <alignment horizontal="left" vertical="center" wrapText="1"/>
    </xf>
    <xf numFmtId="185" fontId="105" fillId="11" borderId="123" xfId="9" applyNumberFormat="1" applyFont="1" applyFill="1" applyBorder="1" applyAlignment="1" applyProtection="1">
      <alignment horizontal="left" vertical="center" wrapText="1"/>
    </xf>
    <xf numFmtId="185" fontId="105" fillId="11" borderId="129" xfId="9" applyNumberFormat="1"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5" fontId="105" fillId="11" borderId="123" xfId="9" applyNumberFormat="1" applyFont="1" applyFill="1" applyBorder="1" applyAlignment="1">
      <alignment horizontal="left" vertical="center" wrapText="1"/>
    </xf>
    <xf numFmtId="185"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5" fontId="105" fillId="11" borderId="126" xfId="9" applyNumberFormat="1" applyFont="1" applyFill="1" applyBorder="1" applyAlignment="1">
      <alignment horizontal="left" vertical="center" wrapText="1"/>
    </xf>
    <xf numFmtId="185" fontId="105" fillId="11" borderId="135" xfId="9" applyNumberFormat="1" applyFont="1" applyFill="1" applyBorder="1" applyAlignment="1">
      <alignment horizontal="left" vertical="center" wrapText="1"/>
    </xf>
    <xf numFmtId="0" fontId="102" fillId="12" borderId="123" xfId="9" applyFont="1" applyFill="1" applyBorder="1" applyAlignment="1" applyProtection="1">
      <alignment horizontal="left" vertical="center" wrapText="1"/>
    </xf>
    <xf numFmtId="0" fontId="102"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5" fontId="102" fillId="5" borderId="0" xfId="9" applyNumberFormat="1" applyFont="1" applyFill="1" applyAlignment="1">
      <alignment horizontal="left" vertical="center"/>
    </xf>
    <xf numFmtId="0" fontId="102" fillId="5" borderId="126" xfId="9" applyFont="1" applyFill="1" applyBorder="1" applyAlignment="1" applyProtection="1">
      <alignment horizontal="left" vertical="center" wrapText="1"/>
    </xf>
    <xf numFmtId="0" fontId="102" fillId="5" borderId="130" xfId="9" applyFont="1" applyFill="1" applyBorder="1" applyAlignment="1" applyProtection="1">
      <alignment horizontal="left" vertical="center" wrapText="1"/>
    </xf>
    <xf numFmtId="0" fontId="102" fillId="5" borderId="0" xfId="9" applyFont="1" applyFill="1" applyAlignment="1">
      <alignment horizontal="left" vertical="center"/>
    </xf>
    <xf numFmtId="10" fontId="102" fillId="5" borderId="121" xfId="9" applyNumberFormat="1" applyFont="1" applyFill="1" applyBorder="1" applyAlignment="1">
      <alignment horizontal="left" vertical="center"/>
    </xf>
    <xf numFmtId="10" fontId="102" fillId="5" borderId="0" xfId="9" applyNumberFormat="1" applyFont="1" applyFill="1" applyAlignment="1">
      <alignment horizontal="left" vertical="center"/>
    </xf>
    <xf numFmtId="177" fontId="102" fillId="5" borderId="0" xfId="9" applyNumberFormat="1" applyFont="1" applyFill="1" applyAlignment="1">
      <alignment horizontal="left" vertical="center"/>
    </xf>
    <xf numFmtId="10" fontId="102" fillId="5" borderId="128" xfId="9" applyNumberFormat="1" applyFont="1" applyFill="1" applyBorder="1" applyAlignment="1">
      <alignment horizontal="left" vertical="center"/>
    </xf>
    <xf numFmtId="10" fontId="102"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5" fontId="105" fillId="11" borderId="132" xfId="9" applyNumberFormat="1" applyFont="1" applyFill="1" applyBorder="1" applyAlignment="1">
      <alignment horizontal="left" vertical="center" wrapText="1"/>
    </xf>
    <xf numFmtId="185" fontId="105" fillId="11" borderId="136" xfId="9" applyNumberFormat="1" applyFont="1" applyFill="1" applyBorder="1" applyAlignment="1">
      <alignment horizontal="left" vertical="center" wrapText="1"/>
    </xf>
    <xf numFmtId="185" fontId="102" fillId="13" borderId="0" xfId="9" applyNumberFormat="1" applyFont="1" applyFill="1" applyAlignment="1">
      <alignment horizontal="left" vertical="center"/>
    </xf>
    <xf numFmtId="185"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177"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46" fillId="12" borderId="147" xfId="9" applyFont="1" applyFill="1" applyBorder="1" applyAlignment="1">
      <alignment horizontal="left" vertical="center" wrapText="1"/>
    </xf>
    <xf numFmtId="0" fontId="146" fillId="12" borderId="123" xfId="9" applyFont="1" applyFill="1" applyBorder="1" applyAlignment="1">
      <alignment horizontal="left" vertical="center" wrapText="1"/>
    </xf>
    <xf numFmtId="0" fontId="146" fillId="11" borderId="148"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2" borderId="126" xfId="9" applyFont="1" applyFill="1" applyBorder="1" applyAlignment="1">
      <alignment horizontal="left" vertical="center" wrapText="1"/>
    </xf>
    <xf numFmtId="0" fontId="146" fillId="11" borderId="149" xfId="9" applyFont="1" applyFill="1" applyBorder="1" applyAlignment="1">
      <alignment horizontal="left" vertical="center" wrapText="1"/>
    </xf>
    <xf numFmtId="0" fontId="146" fillId="11" borderId="132" xfId="9" applyFont="1" applyFill="1" applyBorder="1" applyAlignment="1">
      <alignment horizontal="left" vertical="center" wrapText="1"/>
    </xf>
    <xf numFmtId="0" fontId="132" fillId="6" borderId="0" xfId="0" applyFont="1" applyFill="1" applyAlignment="1" applyProtection="1">
      <alignment horizontal="left" vertical="center"/>
    </xf>
    <xf numFmtId="0" fontId="180" fillId="6" borderId="154" xfId="0" applyFont="1" applyFill="1" applyBorder="1" applyAlignment="1" applyProtection="1">
      <alignment horizontal="left"/>
    </xf>
    <xf numFmtId="0" fontId="104" fillId="6" borderId="154" xfId="0" applyFont="1" applyFill="1" applyBorder="1" applyAlignment="1" applyProtection="1">
      <alignment horizontal="left"/>
    </xf>
    <xf numFmtId="0" fontId="180" fillId="6" borderId="154" xfId="0" applyFont="1" applyFill="1" applyBorder="1" applyAlignment="1" applyProtection="1">
      <alignment horizontal="right"/>
    </xf>
    <xf numFmtId="0" fontId="104" fillId="7" borderId="154" xfId="0" applyFont="1" applyFill="1" applyBorder="1" applyAlignment="1" applyProtection="1">
      <protection locked="0"/>
    </xf>
    <xf numFmtId="0" fontId="104" fillId="7" borderId="154" xfId="0" applyFont="1" applyFill="1" applyBorder="1" applyAlignment="1" applyProtection="1"/>
    <xf numFmtId="0" fontId="104"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0"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1" fontId="121" fillId="0" borderId="1" xfId="5" applyNumberFormat="1" applyFont="1" applyFill="1" applyBorder="1" applyAlignment="1">
      <alignment horizontal="left" vertical="center"/>
    </xf>
    <xf numFmtId="191" fontId="241" fillId="0" borderId="5" xfId="5" applyNumberFormat="1" applyFont="1" applyFill="1" applyBorder="1" applyAlignment="1">
      <alignment horizontal="left" vertical="center"/>
    </xf>
    <xf numFmtId="0" fontId="121" fillId="0" borderId="156" xfId="5" applyFont="1" applyFill="1" applyBorder="1" applyAlignment="1">
      <alignment horizontal="left" vertical="center"/>
    </xf>
    <xf numFmtId="183" fontId="121" fillId="0" borderId="1" xfId="5" applyNumberFormat="1" applyFont="1" applyFill="1" applyBorder="1" applyAlignment="1">
      <alignment horizontal="left" vertical="center"/>
    </xf>
    <xf numFmtId="0" fontId="241" fillId="0" borderId="1" xfId="5" applyFont="1" applyFill="1" applyBorder="1" applyAlignment="1">
      <alignment horizontal="left" vertical="center"/>
    </xf>
    <xf numFmtId="191" fontId="121" fillId="0" borderId="5" xfId="5" applyNumberFormat="1" applyFont="1" applyFill="1" applyBorder="1" applyAlignment="1">
      <alignment horizontal="left" vertical="center"/>
    </xf>
    <xf numFmtId="0" fontId="241" fillId="0" borderId="0" xfId="5" applyFont="1" applyFill="1" applyAlignment="1">
      <alignment horizontal="left" vertical="center"/>
    </xf>
    <xf numFmtId="0" fontId="150"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3" fontId="121" fillId="0" borderId="5" xfId="5" applyNumberFormat="1" applyFont="1" applyFill="1" applyBorder="1" applyAlignment="1">
      <alignment horizontal="left" vertical="center"/>
    </xf>
    <xf numFmtId="0" fontId="123" fillId="0" borderId="156" xfId="5"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3" fontId="130" fillId="0" borderId="1" xfId="0" applyNumberFormat="1" applyFont="1" applyFill="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150" fillId="0" borderId="0" xfId="5" applyFont="1" applyBorder="1" applyAlignment="1">
      <alignment horizontal="left" vertical="center"/>
    </xf>
    <xf numFmtId="0" fontId="21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8" fillId="7" borderId="101" xfId="0" applyFont="1" applyFill="1" applyBorder="1" applyAlignment="1" applyProtection="1">
      <alignment vertical="center" wrapText="1"/>
      <protection locked="0"/>
    </xf>
    <xf numFmtId="0" fontId="208" fillId="7" borderId="101" xfId="0" applyNumberFormat="1" applyFont="1" applyFill="1" applyBorder="1" applyAlignment="1" applyProtection="1">
      <alignment vertical="center" wrapText="1"/>
      <protection locked="0"/>
    </xf>
    <xf numFmtId="0" fontId="208" fillId="7" borderId="102" xfId="0" applyFont="1" applyFill="1" applyBorder="1" applyAlignment="1" applyProtection="1">
      <alignment vertical="center" wrapText="1"/>
      <protection locked="0"/>
    </xf>
    <xf numFmtId="0" fontId="228" fillId="7" borderId="0" xfId="0" applyNumberFormat="1" applyFont="1" applyFill="1" applyAlignment="1" applyProtection="1">
      <alignment vertical="center"/>
      <protection locked="0"/>
    </xf>
    <xf numFmtId="0" fontId="228" fillId="7" borderId="0" xfId="0" applyFont="1" applyFill="1" applyAlignment="1" applyProtection="1">
      <alignment vertical="center"/>
      <protection locked="0"/>
    </xf>
    <xf numFmtId="0" fontId="22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1"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1"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1"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1"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8" fillId="7" borderId="0" xfId="0" applyFont="1" applyFill="1" applyBorder="1" applyAlignment="1" applyProtection="1">
      <alignment vertical="center" wrapText="1"/>
      <protection locked="0"/>
    </xf>
    <xf numFmtId="0" fontId="208" fillId="7" borderId="0" xfId="0" applyNumberFormat="1" applyFont="1" applyFill="1" applyBorder="1" applyAlignment="1" applyProtection="1">
      <alignment vertical="center" wrapText="1"/>
      <protection locked="0"/>
    </xf>
    <xf numFmtId="0" fontId="208" fillId="7" borderId="35" xfId="0" applyNumberFormat="1" applyFont="1" applyFill="1" applyBorder="1" applyAlignment="1" applyProtection="1">
      <alignment vertical="center" wrapText="1"/>
      <protection locked="0"/>
    </xf>
    <xf numFmtId="0" fontId="228" fillId="7" borderId="0" xfId="0" applyFont="1" applyFill="1" applyAlignment="1" applyProtection="1">
      <alignment vertical="center" wrapText="1"/>
      <protection locked="0"/>
    </xf>
    <xf numFmtId="0" fontId="22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3" fillId="6" borderId="1" xfId="12" applyFont="1" applyFill="1" applyBorder="1" applyAlignment="1" applyProtection="1">
      <alignment horizontal="left" vertical="center" wrapText="1"/>
    </xf>
    <xf numFmtId="0" fontId="162" fillId="0" borderId="0" xfId="12" applyAlignment="1" applyProtection="1">
      <alignment horizontal="left"/>
      <protection locked="0"/>
    </xf>
    <xf numFmtId="14" fontId="163" fillId="6" borderId="1" xfId="12" applyNumberFormat="1" applyFont="1" applyFill="1" applyBorder="1" applyAlignment="1" applyProtection="1">
      <alignment horizontal="left" vertical="center" wrapText="1"/>
    </xf>
    <xf numFmtId="0" fontId="162" fillId="6" borderId="1" xfId="12" applyFill="1" applyBorder="1" applyAlignment="1" applyProtection="1">
      <alignment horizontal="left" vertical="center"/>
    </xf>
    <xf numFmtId="0" fontId="163"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3" fillId="0" borderId="13" xfId="12" applyFont="1" applyFill="1" applyBorder="1" applyAlignment="1" applyProtection="1">
      <alignment horizontal="left" vertical="center" wrapText="1"/>
      <protection locked="0"/>
    </xf>
    <xf numFmtId="0" fontId="162" fillId="0" borderId="1" xfId="12" applyBorder="1" applyAlignment="1" applyProtection="1">
      <alignment horizontal="left"/>
      <protection locked="0"/>
    </xf>
    <xf numFmtId="0" fontId="163"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0"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0"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7"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3" fontId="171"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3" fontId="171" fillId="0" borderId="21" xfId="0" applyNumberFormat="1" applyFont="1" applyFill="1" applyBorder="1" applyAlignment="1" applyProtection="1">
      <alignment vertical="center" shrinkToFit="1"/>
      <protection locked="0"/>
    </xf>
    <xf numFmtId="0" fontId="171" fillId="0" borderId="24" xfId="0" applyFont="1" applyFill="1" applyBorder="1" applyAlignment="1" applyProtection="1">
      <alignment vertical="center" wrapText="1"/>
      <protection locked="0"/>
    </xf>
    <xf numFmtId="0" fontId="171"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1" fillId="0" borderId="79" xfId="0" applyFont="1" applyFill="1" applyBorder="1" applyAlignment="1" applyProtection="1">
      <alignment vertical="center" wrapText="1"/>
      <protection locked="0"/>
    </xf>
    <xf numFmtId="0" fontId="171"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1"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3" fillId="12" borderId="0" xfId="12" applyFont="1" applyFill="1" applyBorder="1" applyAlignment="1" applyProtection="1">
      <alignment horizontal="left" vertical="center" wrapText="1"/>
      <protection locked="0"/>
    </xf>
    <xf numFmtId="0" fontId="162" fillId="12" borderId="0" xfId="12" applyFill="1" applyBorder="1" applyAlignment="1" applyProtection="1">
      <alignment horizontal="left"/>
      <protection locked="0"/>
    </xf>
    <xf numFmtId="0" fontId="162" fillId="12" borderId="0" xfId="12" applyFill="1" applyAlignment="1" applyProtection="1">
      <alignment horizontal="left"/>
      <protection locked="0"/>
    </xf>
    <xf numFmtId="0" fontId="180"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7"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8"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8"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3"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2"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0" fillId="6" borderId="1" xfId="2" applyFont="1" applyFill="1" applyBorder="1" applyAlignment="1">
      <alignment horizontal="left" vertical="center" wrapText="1"/>
    </xf>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4" fontId="160" fillId="6" borderId="1" xfId="2" applyNumberFormat="1" applyFont="1" applyFill="1" applyBorder="1" applyAlignment="1">
      <alignment horizontal="center" vertical="center" wrapText="1"/>
    </xf>
    <xf numFmtId="0" fontId="160"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4" fillId="6" borderId="1" xfId="2" applyNumberFormat="1" applyFont="1" applyFill="1" applyBorder="1" applyAlignment="1">
      <alignment horizontal="center"/>
    </xf>
    <xf numFmtId="0" fontId="98"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6" fillId="0" borderId="0" xfId="4" applyFont="1" applyAlignment="1" applyProtection="1">
      <alignment horizontal="left"/>
      <protection locked="0"/>
    </xf>
    <xf numFmtId="0" fontId="245"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6" fillId="0" borderId="0" xfId="4" applyFont="1" applyAlignment="1">
      <alignment horizontal="left"/>
    </xf>
    <xf numFmtId="185"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2"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2"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2"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2"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5"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5" fontId="57" fillId="6" borderId="71" xfId="4" applyNumberFormat="1" applyFont="1" applyFill="1" applyBorder="1" applyAlignment="1">
      <alignment horizontal="left" vertical="center"/>
    </xf>
    <xf numFmtId="185"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5"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5"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5"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6" fillId="0" borderId="5" xfId="4" applyFont="1" applyFill="1" applyBorder="1" applyAlignment="1" applyProtection="1">
      <alignment horizontal="left" vertical="center"/>
      <protection locked="0"/>
    </xf>
    <xf numFmtId="0" fontId="246" fillId="0" borderId="158" xfId="4" applyFont="1" applyFill="1" applyBorder="1" applyAlignment="1" applyProtection="1">
      <alignment horizontal="left" vertical="center"/>
      <protection locked="0"/>
    </xf>
    <xf numFmtId="0" fontId="246"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5" fontId="56" fillId="6" borderId="5" xfId="4" applyNumberFormat="1" applyFont="1" applyFill="1" applyBorder="1" applyAlignment="1">
      <alignment horizontal="left" vertical="center"/>
    </xf>
    <xf numFmtId="185" fontId="56" fillId="6" borderId="158" xfId="4" applyNumberFormat="1" applyFont="1" applyFill="1" applyBorder="1" applyAlignment="1">
      <alignment horizontal="left" vertical="center"/>
    </xf>
    <xf numFmtId="185"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5"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2"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2" fillId="0" borderId="0" xfId="4" applyFont="1" applyFill="1" applyAlignment="1" applyProtection="1">
      <alignment horizontal="left"/>
      <protection locked="0"/>
    </xf>
    <xf numFmtId="0" fontId="6" fillId="0" borderId="0" xfId="4" applyFont="1" applyFill="1" applyAlignment="1" applyProtection="1">
      <alignment horizontal="left"/>
      <protection locked="0"/>
    </xf>
    <xf numFmtId="0" fontId="245" fillId="0" borderId="0" xfId="4" applyFont="1" applyAlignment="1" applyProtection="1">
      <alignment horizontal="left" vertical="center"/>
      <protection locked="0"/>
    </xf>
    <xf numFmtId="0" fontId="245" fillId="0" borderId="0" xfId="4" applyFont="1" applyAlignment="1">
      <alignment horizontal="left"/>
    </xf>
    <xf numFmtId="0" fontId="83"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102" fillId="6" borderId="11" xfId="0" applyFont="1" applyFill="1" applyBorder="1" applyAlignment="1" applyProtection="1">
      <alignment vertical="center"/>
    </xf>
    <xf numFmtId="0" fontId="102" fillId="6" borderId="14" xfId="0" applyFont="1" applyFill="1" applyBorder="1" applyAlignment="1" applyProtection="1">
      <alignment vertical="center"/>
    </xf>
    <xf numFmtId="0" fontId="102" fillId="6" borderId="41" xfId="0" applyFont="1" applyFill="1" applyBorder="1" applyAlignment="1" applyProtection="1">
      <alignment vertical="center"/>
    </xf>
    <xf numFmtId="0" fontId="0" fillId="0" borderId="0" xfId="0" applyNumberFormat="1">
      <alignment vertical="center"/>
    </xf>
    <xf numFmtId="0" fontId="102" fillId="6" borderId="1" xfId="0" applyFont="1" applyFill="1" applyBorder="1" applyAlignment="1" applyProtection="1">
      <alignment horizontal="lef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11"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9" fillId="6" borderId="23" xfId="0" applyFont="1" applyFill="1" applyBorder="1" applyAlignment="1" applyProtection="1">
      <alignment horizontal="left" vertical="center"/>
    </xf>
    <xf numFmtId="0" fontId="249" fillId="6" borderId="1" xfId="0" applyFont="1" applyFill="1" applyBorder="1" applyAlignment="1" applyProtection="1">
      <alignment horizontal="left" vertical="center"/>
    </xf>
    <xf numFmtId="0" fontId="249" fillId="6" borderId="24" xfId="0" applyFont="1" applyFill="1" applyBorder="1" applyAlignment="1" applyProtection="1">
      <alignment horizontal="left" vertical="center"/>
    </xf>
    <xf numFmtId="0" fontId="249" fillId="0" borderId="1" xfId="0" applyFont="1" applyBorder="1" applyAlignment="1" applyProtection="1">
      <alignment horizontal="left" vertical="center"/>
      <protection locked="0"/>
    </xf>
    <xf numFmtId="9" fontId="249" fillId="0" borderId="1" xfId="0" applyNumberFormat="1" applyFont="1" applyBorder="1" applyAlignment="1" applyProtection="1">
      <alignment horizontal="left" vertical="center"/>
      <protection locked="0"/>
    </xf>
    <xf numFmtId="0" fontId="249" fillId="6" borderId="18" xfId="0" applyFont="1" applyFill="1" applyBorder="1" applyAlignment="1" applyProtection="1">
      <alignment horizontal="left" vertical="center"/>
    </xf>
    <xf numFmtId="0" fontId="249" fillId="6" borderId="0" xfId="0" applyFont="1" applyFill="1" applyBorder="1" applyAlignment="1" applyProtection="1">
      <alignment horizontal="left" vertical="center"/>
    </xf>
    <xf numFmtId="0" fontId="249" fillId="6" borderId="56" xfId="0" applyFont="1" applyFill="1" applyBorder="1" applyAlignment="1" applyProtection="1">
      <alignment horizontal="left" vertical="center"/>
    </xf>
    <xf numFmtId="0" fontId="249" fillId="6" borderId="18" xfId="0" applyFont="1" applyFill="1" applyBorder="1" applyAlignment="1" applyProtection="1">
      <alignment horizontal="left"/>
    </xf>
    <xf numFmtId="0" fontId="249" fillId="6" borderId="0" xfId="0" applyFont="1" applyFill="1" applyBorder="1" applyAlignment="1" applyProtection="1">
      <alignment horizontal="left"/>
    </xf>
    <xf numFmtId="0" fontId="249" fillId="6" borderId="56" xfId="0" applyFont="1" applyFill="1" applyBorder="1" applyAlignment="1" applyProtection="1">
      <alignment horizontal="left"/>
    </xf>
    <xf numFmtId="0" fontId="249" fillId="6" borderId="23" xfId="0" applyFont="1" applyFill="1" applyBorder="1" applyAlignment="1" applyProtection="1">
      <alignment horizontal="left"/>
    </xf>
    <xf numFmtId="0" fontId="249" fillId="20" borderId="1" xfId="0" applyFont="1" applyFill="1" applyBorder="1" applyAlignment="1" applyProtection="1">
      <alignment horizontal="left"/>
    </xf>
    <xf numFmtId="0" fontId="249" fillId="6" borderId="1" xfId="0" applyFont="1" applyFill="1" applyBorder="1" applyAlignment="1" applyProtection="1">
      <alignment horizontal="left"/>
    </xf>
    <xf numFmtId="0" fontId="249" fillId="6" borderId="5" xfId="0" applyFont="1" applyFill="1" applyBorder="1" applyAlignment="1" applyProtection="1">
      <alignment horizontal="left"/>
    </xf>
    <xf numFmtId="0" fontId="249" fillId="6" borderId="54" xfId="0" applyFont="1" applyFill="1" applyBorder="1" applyAlignment="1" applyProtection="1">
      <alignment horizontal="left"/>
    </xf>
    <xf numFmtId="0" fontId="249" fillId="6" borderId="48" xfId="0" applyFont="1" applyFill="1" applyBorder="1" applyAlignment="1" applyProtection="1">
      <alignment horizontal="left"/>
    </xf>
    <xf numFmtId="9" fontId="249" fillId="6" borderId="1" xfId="0" applyNumberFormat="1" applyFont="1" applyFill="1" applyBorder="1" applyAlignment="1" applyProtection="1">
      <alignment horizontal="left"/>
    </xf>
    <xf numFmtId="0" fontId="249" fillId="6" borderId="25" xfId="0" applyFont="1" applyFill="1" applyBorder="1" applyAlignment="1" applyProtection="1">
      <alignment horizontal="left"/>
    </xf>
    <xf numFmtId="0" fontId="249" fillId="20" borderId="32" xfId="0" applyFont="1" applyFill="1" applyBorder="1" applyAlignment="1" applyProtection="1">
      <alignment horizontal="left"/>
    </xf>
    <xf numFmtId="0" fontId="249" fillId="6" borderId="32" xfId="0" applyFont="1" applyFill="1" applyBorder="1" applyAlignment="1" applyProtection="1">
      <alignment horizontal="left"/>
    </xf>
    <xf numFmtId="0" fontId="249" fillId="6" borderId="47" xfId="0" applyFont="1" applyFill="1" applyBorder="1" applyAlignment="1" applyProtection="1">
      <alignment horizontal="left"/>
    </xf>
    <xf numFmtId="0" fontId="249" fillId="6" borderId="43" xfId="0" applyFont="1" applyFill="1" applyBorder="1" applyAlignment="1" applyProtection="1">
      <alignment horizontal="left"/>
    </xf>
    <xf numFmtId="0" fontId="249" fillId="0" borderId="0" xfId="0" applyNumberFormat="1" applyFont="1" applyAlignment="1" applyProtection="1">
      <alignment horizontal="left" vertical="center"/>
      <protection locked="0"/>
    </xf>
    <xf numFmtId="0" fontId="80" fillId="6" borderId="1" xfId="0"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35" xfId="0"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center" vertical="center" wrapText="1"/>
      <protection locked="0"/>
    </xf>
    <xf numFmtId="177" fontId="50" fillId="6" borderId="15" xfId="0" applyNumberFormat="1" applyFont="1" applyFill="1" applyBorder="1" applyAlignment="1" applyProtection="1">
      <alignment horizontal="center" vertical="center" wrapText="1"/>
      <protection locked="0"/>
    </xf>
    <xf numFmtId="179" fontId="50" fillId="6" borderId="15" xfId="0" applyNumberFormat="1" applyFont="1" applyFill="1" applyBorder="1" applyAlignment="1" applyProtection="1">
      <alignment horizontal="center" vertical="center" wrapText="1"/>
      <protection locked="0"/>
    </xf>
    <xf numFmtId="0" fontId="80" fillId="6" borderId="1" xfId="0" applyNumberFormat="1" applyFont="1" applyFill="1" applyBorder="1" applyAlignment="1" applyProtection="1">
      <alignment horizontal="center" vertical="center" wrapText="1"/>
      <protection locked="0"/>
    </xf>
    <xf numFmtId="0" fontId="111"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9"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98"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8"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10" fillId="6" borderId="6" xfId="0" applyNumberFormat="1" applyFont="1" applyFill="1" applyBorder="1" applyAlignment="1" applyProtection="1">
      <alignment horizontal="left" vertical="center" wrapText="1"/>
    </xf>
    <xf numFmtId="0" fontId="110" fillId="6" borderId="9" xfId="0" applyNumberFormat="1" applyFont="1" applyFill="1" applyBorder="1" applyAlignment="1" applyProtection="1">
      <alignment horizontal="left" vertical="center" wrapText="1"/>
    </xf>
    <xf numFmtId="0" fontId="110" fillId="6" borderId="10" xfId="0" applyNumberFormat="1" applyFont="1" applyFill="1" applyBorder="1" applyAlignment="1" applyProtection="1">
      <alignment horizontal="left" vertical="center" wrapText="1"/>
    </xf>
    <xf numFmtId="0" fontId="110"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24" xfId="0" applyNumberFormat="1" applyFont="1" applyFill="1" applyBorder="1" applyAlignment="1" applyProtection="1">
      <alignment horizontal="left" vertical="center" wrapText="1"/>
    </xf>
    <xf numFmtId="0" fontId="110" fillId="6" borderId="11"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10" fillId="6" borderId="61" xfId="0" applyNumberFormat="1" applyFont="1" applyFill="1" applyBorder="1" applyAlignment="1" applyProtection="1">
      <alignment horizontal="left" vertical="center" wrapText="1"/>
    </xf>
    <xf numFmtId="0" fontId="223" fillId="6" borderId="6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51" fillId="0" borderId="0" xfId="0" applyNumberFormat="1" applyFont="1" applyAlignment="1" applyProtection="1">
      <alignment horizontal="left" vertical="center"/>
    </xf>
    <xf numFmtId="0" fontId="110" fillId="6" borderId="4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28" xfId="0" applyNumberFormat="1" applyFont="1" applyFill="1" applyBorder="1" applyAlignment="1" applyProtection="1">
      <alignment horizontal="left" vertical="center"/>
    </xf>
    <xf numFmtId="0" fontId="110" fillId="6" borderId="30" xfId="0" applyNumberFormat="1" applyFont="1" applyFill="1" applyBorder="1" applyAlignment="1" applyProtection="1">
      <alignment horizontal="left" vertical="center"/>
    </xf>
    <xf numFmtId="0" fontId="110" fillId="6" borderId="10" xfId="0" applyNumberFormat="1" applyFont="1" applyFill="1" applyBorder="1" applyAlignment="1" applyProtection="1">
      <alignment horizontal="left" vertical="center"/>
    </xf>
    <xf numFmtId="0" fontId="110" fillId="6" borderId="0" xfId="0" applyNumberFormat="1" applyFont="1" applyFill="1" applyBorder="1" applyAlignment="1" applyProtection="1">
      <alignment horizontal="left" vertical="center"/>
    </xf>
    <xf numFmtId="0" fontId="110" fillId="6" borderId="5"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xf>
    <xf numFmtId="0" fontId="110" fillId="6" borderId="24" xfId="0" applyNumberFormat="1" applyFont="1" applyFill="1" applyBorder="1" applyAlignment="1" applyProtection="1">
      <alignment horizontal="left" vertical="center"/>
    </xf>
    <xf numFmtId="0" fontId="110" fillId="6" borderId="33" xfId="0" applyNumberFormat="1" applyFont="1" applyFill="1" applyBorder="1" applyAlignment="1" applyProtection="1">
      <alignment horizontal="left" vertical="center"/>
    </xf>
    <xf numFmtId="0" fontId="110" fillId="6" borderId="66" xfId="0" applyNumberFormat="1" applyFont="1" applyFill="1" applyBorder="1" applyAlignment="1" applyProtection="1">
      <alignment horizontal="left" vertical="center"/>
    </xf>
    <xf numFmtId="0" fontId="110" fillId="6" borderId="49" xfId="0" applyNumberFormat="1" applyFont="1" applyFill="1" applyBorder="1" applyAlignment="1" applyProtection="1">
      <alignment horizontal="left" vertical="center"/>
    </xf>
    <xf numFmtId="0" fontId="110" fillId="6" borderId="26" xfId="0" applyNumberFormat="1" applyFont="1" applyFill="1" applyBorder="1" applyAlignment="1" applyProtection="1">
      <alignment horizontal="left" vertical="center"/>
    </xf>
    <xf numFmtId="0" fontId="110" fillId="6" borderId="84" xfId="0" applyNumberFormat="1" applyFont="1" applyFill="1" applyBorder="1" applyAlignment="1" applyProtection="1">
      <alignment horizontal="left" vertical="center"/>
    </xf>
    <xf numFmtId="0" fontId="110" fillId="6" borderId="34" xfId="0" applyNumberFormat="1" applyFont="1" applyFill="1" applyBorder="1" applyAlignment="1" applyProtection="1">
      <alignment horizontal="left" vertical="center"/>
    </xf>
    <xf numFmtId="0" fontId="110" fillId="6" borderId="70" xfId="0" applyNumberFormat="1" applyFont="1" applyFill="1" applyBorder="1" applyAlignment="1" applyProtection="1">
      <alignment horizontal="left" vertical="center"/>
    </xf>
    <xf numFmtId="0" fontId="110" fillId="6" borderId="67" xfId="0" applyNumberFormat="1" applyFont="1" applyFill="1" applyBorder="1" applyAlignment="1" applyProtection="1">
      <alignment horizontal="left" vertical="center"/>
    </xf>
    <xf numFmtId="0" fontId="110" fillId="6" borderId="1" xfId="0" applyNumberFormat="1" applyFont="1" applyFill="1" applyBorder="1" applyAlignment="1" applyProtection="1">
      <alignment horizontal="left" vertical="center"/>
    </xf>
    <xf numFmtId="0" fontId="110" fillId="0" borderId="0" xfId="0" applyNumberFormat="1" applyFont="1" applyBorder="1" applyAlignment="1" applyProtection="1">
      <alignment horizontal="left" vertical="center"/>
    </xf>
    <xf numFmtId="0" fontId="110" fillId="6" borderId="4" xfId="0" applyNumberFormat="1" applyFont="1" applyFill="1" applyBorder="1" applyAlignment="1" applyProtection="1">
      <alignment horizontal="left" vertical="center" wrapText="1"/>
    </xf>
    <xf numFmtId="0" fontId="110" fillId="6" borderId="2"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110" fillId="6" borderId="3" xfId="0" applyNumberFormat="1" applyFont="1" applyFill="1" applyBorder="1" applyAlignment="1" applyProtection="1">
      <alignment horizontal="left" vertical="center" wrapText="1"/>
    </xf>
    <xf numFmtId="0" fontId="110" fillId="6" borderId="2" xfId="0" applyNumberFormat="1" applyFont="1" applyFill="1" applyBorder="1" applyAlignment="1" applyProtection="1">
      <alignment horizontal="left" vertical="center"/>
    </xf>
    <xf numFmtId="0" fontId="110" fillId="6" borderId="0" xfId="0" applyNumberFormat="1" applyFont="1" applyFill="1" applyAlignment="1" applyProtection="1">
      <alignment horizontal="left" vertical="center"/>
    </xf>
    <xf numFmtId="0" fontId="115" fillId="6" borderId="60" xfId="0" applyNumberFormat="1" applyFont="1" applyFill="1" applyBorder="1" applyAlignment="1" applyProtection="1">
      <alignment horizontal="left" vertical="center"/>
    </xf>
    <xf numFmtId="176" fontId="252" fillId="0" borderId="0" xfId="3" applyNumberFormat="1" applyFont="1" applyBorder="1" applyAlignment="1" applyProtection="1">
      <alignment horizontal="left" vertical="center"/>
    </xf>
    <xf numFmtId="176" fontId="253" fillId="6" borderId="6" xfId="3" applyNumberFormat="1" applyFont="1" applyFill="1" applyBorder="1" applyAlignment="1" applyProtection="1">
      <alignment horizontal="left" vertical="center"/>
    </xf>
    <xf numFmtId="176" fontId="253" fillId="6" borderId="9" xfId="3" applyNumberFormat="1" applyFont="1" applyFill="1" applyBorder="1" applyAlignment="1" applyProtection="1">
      <alignment horizontal="left" vertical="center"/>
    </xf>
    <xf numFmtId="176" fontId="253" fillId="6" borderId="9" xfId="3" applyNumberFormat="1" applyFont="1" applyFill="1" applyBorder="1" applyAlignment="1" applyProtection="1">
      <alignment horizontal="left" vertical="center" wrapText="1"/>
    </xf>
    <xf numFmtId="176" fontId="253" fillId="6" borderId="17" xfId="3" applyNumberFormat="1" applyFont="1" applyFill="1" applyBorder="1" applyAlignment="1" applyProtection="1">
      <alignment horizontal="left" vertical="center"/>
    </xf>
    <xf numFmtId="176" fontId="253" fillId="6" borderId="62" xfId="3" applyNumberFormat="1" applyFont="1" applyFill="1" applyBorder="1" applyAlignment="1" applyProtection="1">
      <alignment horizontal="left" vertical="center"/>
    </xf>
    <xf numFmtId="176" fontId="253" fillId="6" borderId="23" xfId="3" applyNumberFormat="1" applyFont="1" applyFill="1" applyBorder="1" applyAlignment="1" applyProtection="1">
      <alignment horizontal="left" vertical="center"/>
    </xf>
    <xf numFmtId="176" fontId="254" fillId="6" borderId="1" xfId="3" applyNumberFormat="1" applyFont="1" applyFill="1" applyBorder="1" applyAlignment="1" applyProtection="1">
      <alignment horizontal="left" vertical="center"/>
    </xf>
    <xf numFmtId="176" fontId="254" fillId="6" borderId="24" xfId="3" applyNumberFormat="1" applyFont="1" applyFill="1" applyBorder="1" applyAlignment="1" applyProtection="1">
      <alignment horizontal="left" vertical="center"/>
    </xf>
    <xf numFmtId="176" fontId="253" fillId="6" borderId="23" xfId="3" applyNumberFormat="1" applyFont="1" applyFill="1" applyBorder="1" applyAlignment="1" applyProtection="1">
      <alignment horizontal="left" vertical="center" wrapText="1"/>
    </xf>
    <xf numFmtId="176" fontId="253" fillId="6" borderId="25" xfId="3" applyNumberFormat="1" applyFont="1" applyFill="1" applyBorder="1" applyAlignment="1" applyProtection="1">
      <alignment horizontal="left" vertical="center" wrapText="1"/>
    </xf>
    <xf numFmtId="176" fontId="254" fillId="6" borderId="32" xfId="3" applyNumberFormat="1" applyFont="1" applyFill="1" applyBorder="1" applyAlignment="1" applyProtection="1">
      <alignment horizontal="left" vertical="center"/>
    </xf>
    <xf numFmtId="176" fontId="254" fillId="6" borderId="49" xfId="3" applyNumberFormat="1" applyFont="1" applyFill="1" applyBorder="1" applyAlignment="1" applyProtection="1">
      <alignment horizontal="left" vertical="center"/>
    </xf>
    <xf numFmtId="176" fontId="251" fillId="0" borderId="0" xfId="0" applyNumberFormat="1" applyFont="1" applyAlignment="1" applyProtection="1">
      <alignment horizontal="left" vertical="center"/>
    </xf>
    <xf numFmtId="176" fontId="249" fillId="0" borderId="0" xfId="0" applyNumberFormat="1" applyFont="1" applyAlignment="1" applyProtection="1">
      <alignment horizontal="left" vertical="center"/>
    </xf>
    <xf numFmtId="176" fontId="249" fillId="6" borderId="1" xfId="0" applyNumberFormat="1" applyFont="1" applyFill="1" applyBorder="1" applyAlignment="1" applyProtection="1">
      <alignment horizontal="left" vertical="center"/>
    </xf>
    <xf numFmtId="0" fontId="105" fillId="0" borderId="119" xfId="9" applyNumberFormat="1" applyFont="1" applyBorder="1" applyAlignment="1" applyProtection="1">
      <alignment horizontal="left" vertical="center"/>
    </xf>
    <xf numFmtId="0" fontId="105" fillId="6" borderId="120" xfId="9" applyNumberFormat="1" applyFont="1" applyFill="1" applyBorder="1" applyAlignment="1" applyProtection="1">
      <alignment horizontal="left" vertical="center"/>
    </xf>
    <xf numFmtId="0" fontId="105" fillId="6" borderId="119" xfId="9" applyNumberFormat="1" applyFont="1" applyFill="1" applyBorder="1" applyAlignment="1" applyProtection="1">
      <alignment horizontal="left" vertical="center"/>
    </xf>
    <xf numFmtId="0" fontId="100" fillId="6" borderId="119" xfId="10" applyNumberFormat="1" applyFont="1" applyFill="1" applyBorder="1" applyAlignment="1" applyProtection="1">
      <alignment horizontal="left" vertical="center"/>
    </xf>
    <xf numFmtId="0" fontId="25" fillId="6" borderId="119" xfId="10" applyNumberFormat="1" applyFont="1" applyFill="1" applyBorder="1" applyAlignment="1" applyProtection="1">
      <alignment horizontal="left" vertical="center"/>
    </xf>
    <xf numFmtId="0" fontId="105" fillId="17" borderId="119" xfId="9" applyNumberFormat="1" applyFont="1" applyFill="1" applyBorder="1" applyAlignment="1" applyProtection="1">
      <alignment horizontal="left" vertical="center"/>
    </xf>
    <xf numFmtId="0" fontId="255" fillId="15" borderId="0" xfId="9" applyNumberFormat="1" applyFont="1" applyFill="1" applyAlignment="1" applyProtection="1">
      <alignment horizontal="left" vertical="center"/>
    </xf>
    <xf numFmtId="0" fontId="246" fillId="15" borderId="121" xfId="9" applyNumberFormat="1" applyFont="1" applyFill="1" applyBorder="1" applyAlignment="1" applyProtection="1">
      <alignment horizontal="left" vertical="center"/>
    </xf>
    <xf numFmtId="0" fontId="246" fillId="15" borderId="0" xfId="9" applyNumberFormat="1" applyFont="1" applyFill="1" applyBorder="1" applyAlignment="1" applyProtection="1">
      <alignment horizontal="left" vertical="center"/>
    </xf>
    <xf numFmtId="0" fontId="246" fillId="17" borderId="0" xfId="9" applyNumberFormat="1" applyFont="1" applyFill="1" applyAlignment="1" applyProtection="1">
      <alignment horizontal="left" vertical="center"/>
    </xf>
    <xf numFmtId="10" fontId="246" fillId="15" borderId="121" xfId="9" applyNumberFormat="1" applyFont="1" applyFill="1" applyBorder="1" applyAlignment="1" applyProtection="1">
      <alignment horizontal="left" vertical="center"/>
    </xf>
    <xf numFmtId="10" fontId="246" fillId="15" borderId="0" xfId="9" applyNumberFormat="1" applyFont="1" applyFill="1" applyAlignment="1" applyProtection="1">
      <alignment horizontal="left" vertical="center"/>
    </xf>
    <xf numFmtId="0" fontId="171" fillId="15" borderId="0" xfId="9" applyNumberFormat="1" applyFont="1" applyFill="1" applyAlignment="1" applyProtection="1">
      <alignment horizontal="left" vertical="center"/>
    </xf>
    <xf numFmtId="0" fontId="171" fillId="15" borderId="163" xfId="9" applyNumberFormat="1" applyFont="1" applyFill="1" applyBorder="1" applyAlignment="1" applyProtection="1">
      <alignment horizontal="left" vertical="center"/>
    </xf>
    <xf numFmtId="10" fontId="171" fillId="15" borderId="0" xfId="9" applyNumberFormat="1" applyFont="1" applyFill="1" applyAlignment="1" applyProtection="1">
      <alignment horizontal="left" vertical="center"/>
    </xf>
    <xf numFmtId="10" fontId="171" fillId="15" borderId="163" xfId="9" applyNumberFormat="1" applyFont="1" applyFill="1" applyBorder="1" applyAlignment="1" applyProtection="1">
      <alignment horizontal="left" vertical="center"/>
    </xf>
    <xf numFmtId="10" fontId="171" fillId="15" borderId="164" xfId="9" applyNumberFormat="1" applyFont="1" applyFill="1" applyBorder="1" applyAlignment="1" applyProtection="1">
      <alignment horizontal="left" vertical="center"/>
    </xf>
    <xf numFmtId="10" fontId="171" fillId="15" borderId="165" xfId="9" applyNumberFormat="1" applyFont="1" applyFill="1" applyBorder="1" applyAlignment="1" applyProtection="1">
      <alignment horizontal="left" vertical="center"/>
    </xf>
    <xf numFmtId="0" fontId="246" fillId="15" borderId="0" xfId="9" applyNumberFormat="1" applyFont="1" applyFill="1" applyAlignment="1" applyProtection="1">
      <alignment horizontal="left" vertical="center"/>
    </xf>
    <xf numFmtId="0" fontId="105" fillId="0" borderId="0" xfId="9" applyNumberFormat="1" applyFont="1" applyFill="1" applyAlignment="1" applyProtection="1">
      <alignment horizontal="left" vertical="center"/>
    </xf>
    <xf numFmtId="0" fontId="105" fillId="0" borderId="121" xfId="9" applyNumberFormat="1" applyFont="1" applyFill="1" applyBorder="1" applyAlignment="1" applyProtection="1">
      <alignment horizontal="left" vertical="center"/>
    </xf>
    <xf numFmtId="0" fontId="105" fillId="0" borderId="0" xfId="9" applyNumberFormat="1" applyFont="1" applyFill="1" applyBorder="1" applyAlignment="1" applyProtection="1">
      <alignment horizontal="left" vertical="center"/>
    </xf>
    <xf numFmtId="0" fontId="105" fillId="17" borderId="0" xfId="9" applyNumberFormat="1" applyFont="1" applyFill="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0" fontId="102" fillId="0" borderId="0" xfId="9" applyNumberFormat="1" applyFont="1" applyAlignment="1" applyProtection="1">
      <alignment horizontal="left" vertical="center"/>
    </xf>
    <xf numFmtId="0" fontId="102" fillId="0" borderId="163" xfId="9" applyNumberFormat="1" applyFont="1" applyBorder="1" applyAlignment="1" applyProtection="1">
      <alignment horizontal="left" vertical="center"/>
    </xf>
    <xf numFmtId="0" fontId="102" fillId="0" borderId="164" xfId="9" applyNumberFormat="1" applyFont="1" applyBorder="1" applyAlignment="1" applyProtection="1">
      <alignment horizontal="left" vertical="center"/>
    </xf>
    <xf numFmtId="0" fontId="102" fillId="0" borderId="165" xfId="9" applyNumberFormat="1"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3" xfId="9" applyNumberFormat="1" applyFont="1" applyBorder="1" applyAlignment="1" applyProtection="1">
      <alignment horizontal="left" vertical="center"/>
    </xf>
    <xf numFmtId="10" fontId="102" fillId="0" borderId="164" xfId="9" applyNumberFormat="1" applyFont="1" applyBorder="1" applyAlignment="1" applyProtection="1">
      <alignment horizontal="left" vertical="center"/>
    </xf>
    <xf numFmtId="10" fontId="102" fillId="0" borderId="165" xfId="9" applyNumberFormat="1" applyFont="1" applyBorder="1" applyAlignment="1" applyProtection="1">
      <alignment horizontal="left" vertical="center"/>
    </xf>
    <xf numFmtId="0" fontId="56" fillId="6" borderId="1" xfId="9" applyNumberFormat="1" applyFont="1" applyFill="1" applyBorder="1" applyAlignment="1" applyProtection="1">
      <alignment horizontal="left" vertical="center" wrapText="1"/>
    </xf>
    <xf numFmtId="0" fontId="146" fillId="11" borderId="125" xfId="9" applyNumberFormat="1" applyFont="1" applyFill="1" applyBorder="1" applyAlignment="1" applyProtection="1">
      <alignment horizontal="left" vertical="center" wrapText="1"/>
    </xf>
    <xf numFmtId="0" fontId="146" fillId="12" borderId="126" xfId="9" applyNumberFormat="1" applyFont="1" applyFill="1" applyBorder="1" applyAlignment="1" applyProtection="1">
      <alignment horizontal="left" vertical="center" wrapText="1"/>
    </xf>
    <xf numFmtId="0" fontId="146" fillId="12" borderId="126" xfId="16" applyNumberFormat="1" applyFont="1" applyFill="1" applyBorder="1" applyAlignment="1" applyProtection="1">
      <alignment horizontal="left" vertical="center" wrapText="1"/>
    </xf>
    <xf numFmtId="0" fontId="146" fillId="12" borderId="130" xfId="16" applyNumberFormat="1" applyFont="1" applyFill="1" applyBorder="1" applyAlignment="1" applyProtection="1">
      <alignment horizontal="left" vertical="center" wrapText="1"/>
    </xf>
    <xf numFmtId="0" fontId="102" fillId="17" borderId="0" xfId="9" applyNumberFormat="1" applyFont="1" applyFill="1" applyAlignment="1" applyProtection="1">
      <alignment horizontal="left" vertical="center"/>
    </xf>
    <xf numFmtId="10" fontId="102" fillId="0" borderId="121" xfId="9" applyNumberFormat="1" applyFont="1" applyBorder="1" applyAlignment="1" applyProtection="1">
      <alignment horizontal="left" vertical="center"/>
    </xf>
    <xf numFmtId="0" fontId="102" fillId="0" borderId="0" xfId="9" applyNumberFormat="1" applyFont="1" applyFill="1" applyAlignment="1" applyProtection="1">
      <alignment horizontal="left" vertical="center"/>
    </xf>
    <xf numFmtId="10" fontId="102" fillId="0" borderId="0" xfId="9" applyNumberFormat="1" applyFont="1" applyFill="1" applyAlignment="1" applyProtection="1">
      <alignment horizontal="left" vertical="center"/>
    </xf>
    <xf numFmtId="0" fontId="147" fillId="13" borderId="0" xfId="9" applyNumberFormat="1" applyFont="1" applyFill="1" applyAlignment="1" applyProtection="1">
      <alignment horizontal="left" vertical="center"/>
    </xf>
    <xf numFmtId="0" fontId="57" fillId="21" borderId="1" xfId="9" applyNumberFormat="1" applyFont="1" applyFill="1" applyBorder="1" applyAlignment="1" applyProtection="1">
      <alignment horizontal="left" vertical="center" wrapText="1"/>
    </xf>
    <xf numFmtId="0" fontId="256" fillId="21" borderId="125" xfId="9" applyNumberFormat="1" applyFont="1" applyFill="1" applyBorder="1" applyAlignment="1" applyProtection="1">
      <alignment horizontal="left" vertical="center" wrapText="1"/>
    </xf>
    <xf numFmtId="0" fontId="256" fillId="21" borderId="126" xfId="9" applyNumberFormat="1" applyFont="1" applyFill="1" applyBorder="1" applyAlignment="1" applyProtection="1">
      <alignment horizontal="left" vertical="center" wrapText="1"/>
    </xf>
    <xf numFmtId="0" fontId="256" fillId="21" borderId="126" xfId="16" applyNumberFormat="1" applyFont="1" applyFill="1" applyBorder="1" applyAlignment="1" applyProtection="1">
      <alignment horizontal="left" vertical="center" wrapText="1"/>
    </xf>
    <xf numFmtId="0" fontId="256" fillId="21" borderId="135" xfId="16" applyNumberFormat="1" applyFont="1" applyFill="1" applyBorder="1" applyAlignment="1" applyProtection="1">
      <alignment horizontal="left" vertical="center" wrapText="1"/>
    </xf>
    <xf numFmtId="0" fontId="256" fillId="21" borderId="130" xfId="16" applyNumberFormat="1" applyFont="1" applyFill="1" applyBorder="1" applyAlignment="1" applyProtection="1">
      <alignment horizontal="left" vertical="center" wrapText="1"/>
    </xf>
    <xf numFmtId="0" fontId="105" fillId="21" borderId="0" xfId="9" applyNumberFormat="1"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0" fontId="147" fillId="21" borderId="0" xfId="9" applyNumberFormat="1" applyFont="1" applyFill="1" applyAlignment="1" applyProtection="1">
      <alignment horizontal="left" vertical="center"/>
    </xf>
    <xf numFmtId="0" fontId="146" fillId="12" borderId="135" xfId="16" applyNumberFormat="1" applyFont="1" applyFill="1" applyBorder="1" applyAlignment="1" applyProtection="1">
      <alignment horizontal="left" vertical="center" wrapText="1"/>
    </xf>
    <xf numFmtId="0" fontId="56" fillId="18" borderId="166" xfId="9" applyNumberFormat="1" applyFont="1" applyFill="1" applyBorder="1" applyAlignment="1" applyProtection="1">
      <alignment horizontal="left" vertical="center" wrapText="1"/>
    </xf>
    <xf numFmtId="0" fontId="146" fillId="18" borderId="167" xfId="9" applyNumberFormat="1" applyFont="1" applyFill="1" applyBorder="1" applyAlignment="1" applyProtection="1">
      <alignment horizontal="left" vertical="center" wrapText="1"/>
    </xf>
    <xf numFmtId="0" fontId="146" fillId="18" borderId="168" xfId="9" applyNumberFormat="1" applyFont="1" applyFill="1" applyBorder="1" applyAlignment="1" applyProtection="1">
      <alignment horizontal="left" vertical="center" wrapText="1"/>
    </xf>
    <xf numFmtId="0" fontId="146" fillId="18" borderId="168" xfId="16" applyNumberFormat="1" applyFont="1" applyFill="1" applyBorder="1" applyAlignment="1" applyProtection="1">
      <alignment horizontal="left" vertical="center" wrapText="1"/>
    </xf>
    <xf numFmtId="0" fontId="146" fillId="18" borderId="169" xfId="16" applyNumberFormat="1" applyFont="1" applyFill="1" applyBorder="1" applyAlignment="1" applyProtection="1">
      <alignment horizontal="left" vertical="center" wrapText="1"/>
    </xf>
    <xf numFmtId="0" fontId="146" fillId="18" borderId="170" xfId="16" applyNumberFormat="1" applyFont="1" applyFill="1" applyBorder="1" applyAlignment="1" applyProtection="1">
      <alignment horizontal="left" vertical="center" wrapText="1"/>
    </xf>
    <xf numFmtId="0" fontId="102" fillId="17" borderId="171" xfId="9" applyNumberFormat="1" applyFont="1" applyFill="1" applyBorder="1" applyAlignment="1" applyProtection="1">
      <alignment horizontal="left" vertical="center"/>
    </xf>
    <xf numFmtId="10" fontId="102" fillId="18" borderId="172" xfId="9" applyNumberFormat="1" applyFont="1" applyFill="1" applyBorder="1" applyAlignment="1" applyProtection="1">
      <alignment horizontal="left" vertical="center"/>
    </xf>
    <xf numFmtId="10" fontId="102" fillId="18" borderId="171" xfId="9" applyNumberFormat="1" applyFont="1" applyFill="1" applyBorder="1" applyAlignment="1" applyProtection="1">
      <alignment horizontal="left" vertical="center"/>
    </xf>
    <xf numFmtId="0" fontId="102" fillId="18" borderId="171" xfId="9" applyNumberFormat="1" applyFont="1" applyFill="1" applyBorder="1" applyAlignment="1" applyProtection="1">
      <alignment horizontal="left" vertical="center"/>
    </xf>
    <xf numFmtId="0" fontId="147" fillId="18" borderId="171" xfId="9" applyNumberFormat="1" applyFont="1" applyFill="1" applyBorder="1" applyAlignment="1" applyProtection="1">
      <alignment horizontal="left" vertical="center"/>
    </xf>
    <xf numFmtId="0" fontId="98" fillId="0" borderId="0" xfId="0" applyNumberFormat="1" applyFont="1">
      <alignment vertical="center"/>
    </xf>
    <xf numFmtId="0" fontId="105" fillId="0" borderId="0" xfId="9" applyNumberFormat="1" applyFont="1" applyAlignment="1" applyProtection="1">
      <alignment horizontal="left" vertical="center"/>
    </xf>
    <xf numFmtId="0" fontId="144" fillId="0" borderId="0" xfId="9" applyNumberFormat="1" applyFont="1" applyAlignment="1" applyProtection="1">
      <alignment vertical="center"/>
    </xf>
    <xf numFmtId="0" fontId="105" fillId="0" borderId="0" xfId="9" applyNumberFormat="1" applyFont="1" applyAlignment="1" applyProtection="1">
      <alignment vertical="center"/>
    </xf>
    <xf numFmtId="10" fontId="102" fillId="0" borderId="163" xfId="9" applyNumberFormat="1" applyFont="1" applyFill="1" applyBorder="1" applyAlignment="1" applyProtection="1">
      <alignment horizontal="left" vertical="center"/>
    </xf>
    <xf numFmtId="10" fontId="102" fillId="0" borderId="165" xfId="9" applyNumberFormat="1" applyFont="1" applyFill="1" applyBorder="1" applyAlignment="1" applyProtection="1">
      <alignment horizontal="left" vertical="center"/>
    </xf>
    <xf numFmtId="10" fontId="102" fillId="0" borderId="164" xfId="9" applyNumberFormat="1" applyFont="1" applyFill="1" applyBorder="1" applyAlignment="1" applyProtection="1">
      <alignment horizontal="left" vertical="center"/>
    </xf>
    <xf numFmtId="10" fontId="105" fillId="21" borderId="163" xfId="9" applyNumberFormat="1" applyFont="1" applyFill="1" applyBorder="1" applyAlignment="1" applyProtection="1">
      <alignment horizontal="left" vertical="center"/>
    </xf>
    <xf numFmtId="10" fontId="105" fillId="21" borderId="164" xfId="9" applyNumberFormat="1" applyFont="1" applyFill="1" applyBorder="1" applyAlignment="1" applyProtection="1">
      <alignment horizontal="left" vertical="center"/>
    </xf>
    <xf numFmtId="10" fontId="105" fillId="21" borderId="165" xfId="9" applyNumberFormat="1" applyFont="1" applyFill="1" applyBorder="1" applyAlignment="1" applyProtection="1">
      <alignment horizontal="left" vertical="center"/>
    </xf>
    <xf numFmtId="10" fontId="102" fillId="18" borderId="173" xfId="9" applyNumberFormat="1" applyFont="1" applyFill="1" applyBorder="1" applyAlignment="1" applyProtection="1">
      <alignment horizontal="left" vertical="center"/>
    </xf>
    <xf numFmtId="10" fontId="102" fillId="18" borderId="174" xfId="9" applyNumberFormat="1" applyFont="1" applyFill="1" applyBorder="1" applyAlignment="1" applyProtection="1">
      <alignment horizontal="left" vertical="center"/>
    </xf>
    <xf numFmtId="10" fontId="102"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9" fillId="6" borderId="18" xfId="0" applyNumberFormat="1" applyFont="1" applyFill="1" applyBorder="1" applyAlignment="1" applyProtection="1">
      <alignment horizontal="left" vertical="center"/>
    </xf>
    <xf numFmtId="0" fontId="249" fillId="6" borderId="40" xfId="0" applyNumberFormat="1" applyFont="1" applyFill="1" applyBorder="1" applyAlignment="1" applyProtection="1">
      <alignment horizontal="left" vertical="center"/>
    </xf>
    <xf numFmtId="0" fontId="249" fillId="6" borderId="17" xfId="0" applyNumberFormat="1" applyFont="1" applyFill="1" applyBorder="1" applyAlignment="1" applyProtection="1">
      <alignment horizontal="left" vertical="center"/>
    </xf>
    <xf numFmtId="0" fontId="249" fillId="6" borderId="62" xfId="0" applyNumberFormat="1" applyFont="1" applyFill="1" applyBorder="1" applyAlignment="1" applyProtection="1">
      <alignment horizontal="left" vertical="center"/>
    </xf>
    <xf numFmtId="0" fontId="249" fillId="6" borderId="0" xfId="0" applyNumberFormat="1" applyFont="1" applyFill="1" applyAlignment="1" applyProtection="1">
      <alignment horizontal="left" vertical="center"/>
    </xf>
    <xf numFmtId="0" fontId="258" fillId="6" borderId="47" xfId="0" applyNumberFormat="1" applyFont="1" applyFill="1" applyBorder="1" applyAlignment="1" applyProtection="1">
      <alignment vertical="center"/>
    </xf>
    <xf numFmtId="0" fontId="258" fillId="6" borderId="43" xfId="0" applyNumberFormat="1" applyFont="1" applyFill="1" applyBorder="1" applyAlignment="1" applyProtection="1">
      <alignment horizontal="right" vertical="center"/>
    </xf>
    <xf numFmtId="0" fontId="258" fillId="6" borderId="9" xfId="0" applyNumberFormat="1" applyFont="1" applyFill="1" applyBorder="1" applyAlignment="1" applyProtection="1">
      <alignment horizontal="left" vertical="center" wrapText="1"/>
    </xf>
    <xf numFmtId="0" fontId="259" fillId="6" borderId="19" xfId="0" applyNumberFormat="1" applyFont="1" applyFill="1" applyBorder="1" applyAlignment="1" applyProtection="1">
      <alignment horizontal="left" vertical="center"/>
    </xf>
    <xf numFmtId="0" fontId="257" fillId="6" borderId="28" xfId="0" applyNumberFormat="1" applyFont="1" applyFill="1" applyBorder="1" applyAlignment="1" applyProtection="1">
      <alignment horizontal="left" vertical="center"/>
    </xf>
    <xf numFmtId="0" fontId="259" fillId="6" borderId="18" xfId="0" applyNumberFormat="1" applyFont="1" applyFill="1" applyBorder="1" applyAlignment="1" applyProtection="1">
      <alignment horizontal="left" vertical="center"/>
    </xf>
    <xf numFmtId="0" fontId="258" fillId="6" borderId="1" xfId="0" applyNumberFormat="1" applyFont="1" applyFill="1" applyBorder="1" applyAlignment="1" applyProtection="1">
      <alignment horizontal="left" vertical="center" wrapText="1"/>
    </xf>
    <xf numFmtId="0" fontId="258" fillId="6" borderId="2" xfId="0" applyNumberFormat="1" applyFont="1" applyFill="1" applyBorder="1" applyAlignment="1" applyProtection="1">
      <alignment horizontal="left" vertical="center" wrapText="1"/>
    </xf>
    <xf numFmtId="0" fontId="259" fillId="6" borderId="0" xfId="0" applyNumberFormat="1" applyFont="1" applyFill="1" applyAlignment="1" applyProtection="1">
      <alignment horizontal="left" vertical="center"/>
    </xf>
    <xf numFmtId="0" fontId="257" fillId="6" borderId="32" xfId="0" applyNumberFormat="1" applyFont="1" applyFill="1" applyBorder="1" applyAlignment="1" applyProtection="1">
      <alignment horizontal="left" vertical="center"/>
    </xf>
    <xf numFmtId="0" fontId="257" fillId="6" borderId="33" xfId="0" applyNumberFormat="1" applyFont="1" applyFill="1" applyBorder="1" applyAlignment="1" applyProtection="1">
      <alignment horizontal="left" vertical="center"/>
    </xf>
    <xf numFmtId="0" fontId="258" fillId="6" borderId="40" xfId="0" applyNumberFormat="1" applyFont="1" applyFill="1" applyBorder="1" applyAlignment="1" applyProtection="1">
      <alignment horizontal="left" vertical="center" wrapText="1"/>
    </xf>
    <xf numFmtId="0" fontId="258" fillId="6" borderId="74" xfId="0" applyNumberFormat="1" applyFont="1" applyFill="1" applyBorder="1" applyAlignment="1" applyProtection="1">
      <alignment horizontal="left" vertical="center" wrapText="1"/>
    </xf>
    <xf numFmtId="0" fontId="258" fillId="6" borderId="32" xfId="0" applyNumberFormat="1" applyFont="1" applyFill="1" applyBorder="1" applyAlignment="1" applyProtection="1">
      <alignment horizontal="left" vertical="center" wrapText="1"/>
    </xf>
    <xf numFmtId="0" fontId="258" fillId="6" borderId="14" xfId="0" applyNumberFormat="1" applyFont="1" applyFill="1" applyBorder="1" applyAlignment="1" applyProtection="1">
      <alignment horizontal="left" vertical="center" wrapText="1"/>
    </xf>
    <xf numFmtId="0" fontId="258" fillId="6" borderId="1" xfId="18" applyNumberFormat="1" applyFont="1" applyFill="1" applyBorder="1" applyAlignment="1" applyProtection="1">
      <alignment horizontal="left" vertical="center" wrapText="1"/>
    </xf>
    <xf numFmtId="0" fontId="258" fillId="6" borderId="15" xfId="0" applyNumberFormat="1" applyFont="1" applyFill="1" applyBorder="1" applyAlignment="1" applyProtection="1">
      <alignment horizontal="left" vertical="center" wrapText="1"/>
    </xf>
    <xf numFmtId="0" fontId="258" fillId="6" borderId="13" xfId="0" applyNumberFormat="1" applyFont="1" applyFill="1" applyBorder="1" applyAlignment="1" applyProtection="1">
      <alignment horizontal="left" vertical="center" wrapText="1"/>
    </xf>
    <xf numFmtId="0" fontId="258" fillId="6" borderId="10" xfId="0" applyNumberFormat="1" applyFont="1" applyFill="1" applyBorder="1" applyAlignment="1" applyProtection="1">
      <alignment horizontal="left" vertical="center" wrapText="1"/>
    </xf>
    <xf numFmtId="0" fontId="258" fillId="6" borderId="24" xfId="0" applyNumberFormat="1" applyFont="1" applyFill="1" applyBorder="1" applyAlignment="1" applyProtection="1">
      <alignment horizontal="left" vertical="center" wrapText="1"/>
    </xf>
    <xf numFmtId="0" fontId="258" fillId="6" borderId="12" xfId="0" applyNumberFormat="1" applyFont="1" applyFill="1" applyBorder="1" applyAlignment="1" applyProtection="1">
      <alignment horizontal="left" vertical="center" wrapText="1"/>
    </xf>
    <xf numFmtId="0" fontId="258" fillId="6" borderId="49" xfId="0" applyNumberFormat="1" applyFont="1" applyFill="1" applyBorder="1" applyAlignment="1" applyProtection="1">
      <alignment horizontal="left" vertical="center" wrapText="1"/>
    </xf>
    <xf numFmtId="0" fontId="258" fillId="6" borderId="61" xfId="0" applyNumberFormat="1" applyFont="1" applyFill="1" applyBorder="1" applyAlignment="1" applyProtection="1">
      <alignment horizontal="left" vertical="center" wrapText="1"/>
    </xf>
    <xf numFmtId="0" fontId="258" fillId="6" borderId="6" xfId="0" applyNumberFormat="1" applyFont="1" applyFill="1" applyBorder="1" applyAlignment="1" applyProtection="1">
      <alignment horizontal="left" vertical="center" wrapText="1"/>
    </xf>
    <xf numFmtId="0" fontId="258" fillId="6" borderId="23" xfId="0" applyNumberFormat="1" applyFont="1" applyFill="1" applyBorder="1" applyAlignment="1" applyProtection="1">
      <alignment horizontal="left" vertical="center" wrapText="1"/>
    </xf>
    <xf numFmtId="0" fontId="258"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4" fillId="6" borderId="0" xfId="0" applyFont="1" applyFill="1" applyAlignment="1" applyProtection="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113" fillId="6" borderId="6" xfId="0" applyFont="1" applyFill="1" applyBorder="1" applyAlignment="1" applyProtection="1">
      <alignment horizontal="left" vertical="center" wrapText="1"/>
    </xf>
    <xf numFmtId="0" fontId="261" fillId="6" borderId="9" xfId="0" applyFont="1" applyFill="1" applyBorder="1" applyAlignment="1" applyProtection="1">
      <alignment horizontal="left" vertical="center" wrapText="1"/>
    </xf>
    <xf numFmtId="10" fontId="262" fillId="6" borderId="9" xfId="0" applyNumberFormat="1" applyFont="1" applyFill="1" applyBorder="1" applyAlignment="1">
      <alignment horizontal="left" vertical="center" wrapText="1"/>
    </xf>
    <xf numFmtId="10" fontId="262" fillId="6" borderId="10" xfId="0" applyNumberFormat="1" applyFont="1" applyFill="1" applyBorder="1" applyAlignment="1">
      <alignment horizontal="left" vertical="center" wrapText="1"/>
    </xf>
    <xf numFmtId="0" fontId="113" fillId="6" borderId="23" xfId="0" applyFont="1" applyFill="1" applyBorder="1" applyAlignment="1" applyProtection="1">
      <alignment horizontal="left" vertical="center" wrapText="1"/>
    </xf>
    <xf numFmtId="0" fontId="261" fillId="6" borderId="1" xfId="0" applyFont="1" applyFill="1" applyBorder="1" applyAlignment="1" applyProtection="1">
      <alignment horizontal="left" vertical="center" wrapText="1"/>
    </xf>
    <xf numFmtId="10" fontId="262" fillId="6" borderId="1" xfId="0" applyNumberFormat="1" applyFont="1" applyFill="1" applyBorder="1" applyAlignment="1">
      <alignment horizontal="left" vertical="center" wrapText="1"/>
    </xf>
    <xf numFmtId="10" fontId="262" fillId="6" borderId="24" xfId="0" applyNumberFormat="1" applyFont="1" applyFill="1" applyBorder="1" applyAlignment="1">
      <alignment horizontal="left" vertical="center" wrapText="1"/>
    </xf>
    <xf numFmtId="0" fontId="113" fillId="6" borderId="11" xfId="0" applyFont="1" applyFill="1" applyBorder="1" applyAlignment="1" applyProtection="1">
      <alignment horizontal="left" vertical="center" wrapText="1"/>
    </xf>
    <xf numFmtId="0" fontId="261" fillId="6" borderId="13" xfId="0" applyFont="1" applyFill="1" applyBorder="1" applyAlignment="1" applyProtection="1">
      <alignment horizontal="left" vertical="center" wrapText="1"/>
    </xf>
    <xf numFmtId="10" fontId="262"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2" fillId="6" borderId="61" xfId="0" applyNumberFormat="1" applyFont="1" applyFill="1" applyBorder="1" applyAlignment="1">
      <alignment horizontal="left" vertical="center" wrapText="1"/>
    </xf>
    <xf numFmtId="0" fontId="263" fillId="6" borderId="1" xfId="0" applyFont="1" applyFill="1" applyBorder="1" applyAlignment="1">
      <alignment horizontal="left" vertical="center" wrapText="1"/>
    </xf>
    <xf numFmtId="0" fontId="263" fillId="6" borderId="13" xfId="0" applyFont="1" applyFill="1" applyBorder="1" applyAlignment="1">
      <alignment horizontal="left" vertical="center" wrapText="1"/>
    </xf>
    <xf numFmtId="0" fontId="261" fillId="6" borderId="6" xfId="0" applyFont="1" applyFill="1" applyBorder="1" applyAlignment="1" applyProtection="1">
      <alignment horizontal="left" vertical="center" wrapText="1"/>
    </xf>
    <xf numFmtId="0" fontId="261"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1" fillId="6" borderId="11" xfId="0" applyFont="1" applyFill="1" applyBorder="1" applyAlignment="1" applyProtection="1">
      <alignment horizontal="left" vertical="center" wrapText="1"/>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92" fontId="261" fillId="6" borderId="1" xfId="18" applyFont="1" applyFill="1" applyBorder="1" applyAlignment="1" applyProtection="1">
      <alignment horizontal="left" vertical="center" wrapText="1"/>
    </xf>
    <xf numFmtId="0" fontId="261" fillId="6" borderId="25" xfId="0" applyFont="1" applyFill="1" applyBorder="1" applyAlignment="1" applyProtection="1">
      <alignment horizontal="left" vertical="center" wrapText="1"/>
    </xf>
    <xf numFmtId="0" fontId="261" fillId="6" borderId="32" xfId="0" applyFont="1" applyFill="1" applyBorder="1" applyAlignment="1" applyProtection="1">
      <alignment horizontal="left" vertical="center" wrapText="1"/>
    </xf>
    <xf numFmtId="10" fontId="262" fillId="6" borderId="32" xfId="0" applyNumberFormat="1" applyFont="1" applyFill="1" applyBorder="1" applyAlignment="1">
      <alignment horizontal="left" vertical="center" wrapText="1"/>
    </xf>
    <xf numFmtId="10" fontId="262"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6" fillId="0" borderId="0" xfId="0" applyNumberFormat="1" applyFont="1" applyFill="1" applyAlignment="1">
      <alignment horizontal="left" vertical="center"/>
    </xf>
    <xf numFmtId="0" fontId="0" fillId="0" borderId="0" xfId="0" applyNumberFormat="1" applyFill="1" applyAlignment="1">
      <alignment horizontal="left" vertical="center"/>
    </xf>
    <xf numFmtId="0" fontId="98" fillId="0" borderId="0" xfId="0" applyNumberFormat="1" applyFont="1" applyFill="1" applyAlignment="1">
      <alignment horizontal="right" vertical="center"/>
    </xf>
    <xf numFmtId="0" fontId="267"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0" fontId="268" fillId="0" borderId="1" xfId="0" applyNumberFormat="1" applyFont="1" applyFill="1" applyBorder="1" applyAlignment="1">
      <alignment horizontal="left" vertical="center"/>
    </xf>
    <xf numFmtId="0" fontId="269" fillId="0" borderId="1" xfId="0" applyNumberFormat="1" applyFont="1" applyFill="1" applyBorder="1" applyAlignment="1">
      <alignment horizontal="left" vertical="center" wrapText="1"/>
    </xf>
    <xf numFmtId="49" fontId="101" fillId="6" borderId="14" xfId="0" applyNumberFormat="1" applyFont="1" applyFill="1" applyBorder="1" applyAlignment="1" applyProtection="1">
      <alignment vertical="center" wrapText="1"/>
    </xf>
    <xf numFmtId="49" fontId="56" fillId="6" borderId="14" xfId="0" applyNumberFormat="1" applyFont="1" applyFill="1" applyBorder="1" applyAlignment="1" applyProtection="1">
      <alignment vertical="center" wrapText="1"/>
    </xf>
    <xf numFmtId="0" fontId="101" fillId="6" borderId="0" xfId="0" applyNumberFormat="1" applyFont="1" applyFill="1" applyBorder="1" applyAlignment="1" applyProtection="1">
      <alignment horizontal="center" vertical="center"/>
    </xf>
    <xf numFmtId="0" fontId="101" fillId="6" borderId="0" xfId="0" applyNumberFormat="1" applyFont="1" applyFill="1" applyBorder="1" applyProtection="1">
      <alignment vertical="center"/>
    </xf>
    <xf numFmtId="10" fontId="56" fillId="6" borderId="0" xfId="0" applyNumberFormat="1" applyFont="1" applyFill="1" applyBorder="1" applyAlignment="1" applyProtection="1">
      <alignment vertical="center" wrapText="1"/>
    </xf>
    <xf numFmtId="49" fontId="56" fillId="6" borderId="12" xfId="0" applyNumberFormat="1" applyFont="1" applyFill="1" applyBorder="1" applyAlignment="1" applyProtection="1">
      <alignment vertical="center" wrapText="1"/>
    </xf>
    <xf numFmtId="49" fontId="83" fillId="6" borderId="26" xfId="0" applyNumberFormat="1" applyFont="1" applyFill="1" applyBorder="1" applyAlignment="1" applyProtection="1">
      <alignment horizontal="center" vertical="center" wrapText="1"/>
    </xf>
    <xf numFmtId="0" fontId="57" fillId="6" borderId="84" xfId="0" applyNumberFormat="1" applyFont="1" applyFill="1" applyBorder="1" applyAlignment="1" applyProtection="1">
      <alignment horizontal="left" vertical="center" wrapText="1"/>
    </xf>
    <xf numFmtId="0" fontId="56" fillId="0" borderId="34" xfId="0" applyNumberFormat="1" applyFont="1" applyFill="1" applyBorder="1" applyAlignment="1" applyProtection="1">
      <alignment horizontal="left" vertical="center" wrapText="1"/>
      <protection locked="0"/>
    </xf>
    <xf numFmtId="0" fontId="56" fillId="6" borderId="34" xfId="0" applyNumberFormat="1" applyFont="1" applyFill="1" applyBorder="1" applyAlignment="1" applyProtection="1">
      <alignment horizontal="left" vertical="center" wrapText="1"/>
    </xf>
    <xf numFmtId="0" fontId="22" fillId="6" borderId="34" xfId="0" applyNumberFormat="1" applyFont="1" applyFill="1" applyBorder="1" applyAlignment="1" applyProtection="1">
      <alignment horizontal="left" vertical="center"/>
      <protection locked="0"/>
    </xf>
    <xf numFmtId="0" fontId="56" fillId="6" borderId="64" xfId="0" applyNumberFormat="1" applyFont="1" applyFill="1" applyBorder="1" applyAlignment="1" applyProtection="1">
      <alignment horizontal="left" vertical="center"/>
      <protection locked="0"/>
    </xf>
    <xf numFmtId="0" fontId="56" fillId="6" borderId="64" xfId="0" applyNumberFormat="1" applyFont="1" applyFill="1" applyBorder="1" applyAlignment="1" applyProtection="1">
      <alignment horizontal="left" vertical="center" wrapText="1"/>
      <protection locked="0"/>
    </xf>
    <xf numFmtId="0" fontId="56" fillId="6" borderId="65" xfId="0" applyNumberFormat="1" applyFont="1" applyFill="1" applyBorder="1" applyAlignment="1" applyProtection="1">
      <alignment horizontal="left" vertical="center" wrapText="1"/>
      <protection locked="0"/>
    </xf>
    <xf numFmtId="0" fontId="56" fillId="0" borderId="1" xfId="0" applyNumberFormat="1" applyFont="1" applyFill="1" applyBorder="1" applyAlignment="1" applyProtection="1">
      <alignment horizontal="left" vertical="center"/>
      <protection locked="0"/>
    </xf>
    <xf numFmtId="0" fontId="51" fillId="6" borderId="4"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xf>
    <xf numFmtId="0" fontId="56" fillId="6" borderId="0" xfId="0" applyNumberFormat="1" applyFont="1" applyFill="1" applyBorder="1" applyAlignment="1" applyProtection="1">
      <alignment horizontal="left" vertical="center" wrapText="1"/>
    </xf>
    <xf numFmtId="0" fontId="116" fillId="6" borderId="60" xfId="0" applyNumberFormat="1" applyFont="1" applyFill="1" applyBorder="1" applyAlignment="1" applyProtection="1">
      <alignment horizontal="left" vertical="center"/>
    </xf>
    <xf numFmtId="0" fontId="116" fillId="6" borderId="71" xfId="0" applyNumberFormat="1" applyFont="1" applyFill="1" applyBorder="1" applyAlignment="1" applyProtection="1">
      <alignment horizontal="left" vertical="center"/>
    </xf>
    <xf numFmtId="0" fontId="56" fillId="0" borderId="13" xfId="0" applyNumberFormat="1" applyFont="1" applyFill="1" applyBorder="1" applyAlignment="1" applyProtection="1">
      <alignment horizontal="left" vertical="center" wrapText="1"/>
      <protection locked="0"/>
    </xf>
    <xf numFmtId="0" fontId="56" fillId="0" borderId="61" xfId="0" applyNumberFormat="1" applyFont="1" applyFill="1" applyBorder="1" applyAlignment="1" applyProtection="1">
      <alignment horizontal="left" vertical="center" wrapText="1"/>
      <protection locked="0"/>
    </xf>
    <xf numFmtId="0" fontId="102" fillId="6" borderId="15" xfId="0" applyFont="1" applyFill="1" applyBorder="1" applyAlignment="1" applyProtection="1">
      <alignment horizontal="left" vertical="center" wrapText="1"/>
    </xf>
    <xf numFmtId="0" fontId="83" fillId="6" borderId="9"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protection locked="0"/>
    </xf>
    <xf numFmtId="0" fontId="22" fillId="6" borderId="1" xfId="0" applyNumberFormat="1" applyFont="1" applyFill="1" applyBorder="1" applyAlignment="1" applyProtection="1">
      <alignment horizontal="left" vertical="center"/>
    </xf>
    <xf numFmtId="0" fontId="22" fillId="6" borderId="1" xfId="0" applyNumberFormat="1" applyFont="1" applyFill="1" applyBorder="1" applyAlignment="1" applyProtection="1">
      <alignment horizontal="left" vertical="center" wrapText="1"/>
    </xf>
    <xf numFmtId="0" fontId="57" fillId="6" borderId="2"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left" vertical="center" wrapText="1"/>
      <protection locked="0"/>
    </xf>
    <xf numFmtId="0" fontId="56" fillId="0" borderId="1" xfId="0" applyNumberFormat="1" applyFont="1" applyFill="1" applyBorder="1" applyAlignment="1" applyProtection="1">
      <alignment horizontal="left" vertical="center" wrapText="1"/>
      <protection locked="0"/>
    </xf>
    <xf numFmtId="49" fontId="83" fillId="6" borderId="6"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left" vertical="center" wrapText="1"/>
      <protection locked="0"/>
    </xf>
    <xf numFmtId="0" fontId="56" fillId="6" borderId="10" xfId="0" applyNumberFormat="1" applyFont="1" applyFill="1" applyBorder="1" applyAlignment="1" applyProtection="1">
      <alignment horizontal="left" vertical="center" wrapText="1"/>
      <protection locked="0"/>
    </xf>
    <xf numFmtId="49" fontId="101" fillId="6" borderId="23" xfId="0" applyNumberFormat="1" applyFont="1" applyFill="1" applyBorder="1" applyAlignment="1" applyProtection="1">
      <alignment vertical="center" wrapText="1"/>
    </xf>
    <xf numFmtId="0" fontId="56" fillId="6" borderId="24" xfId="0" applyNumberFormat="1" applyFont="1" applyFill="1" applyBorder="1" applyAlignment="1" applyProtection="1">
      <alignment horizontal="left" vertical="center" wrapText="1"/>
      <protection locked="0"/>
    </xf>
    <xf numFmtId="49" fontId="101" fillId="6" borderId="25" xfId="0" applyNumberFormat="1" applyFont="1" applyFill="1" applyBorder="1" applyAlignment="1" applyProtection="1">
      <alignment vertical="center" wrapText="1"/>
    </xf>
    <xf numFmtId="0" fontId="102" fillId="6" borderId="32" xfId="0"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protection locked="0"/>
    </xf>
    <xf numFmtId="0" fontId="56" fillId="0" borderId="32" xfId="0" applyNumberFormat="1" applyFont="1" applyFill="1" applyBorder="1" applyAlignment="1" applyProtection="1">
      <alignment horizontal="left" vertical="center" wrapText="1"/>
      <protection locked="0"/>
    </xf>
    <xf numFmtId="0" fontId="22" fillId="6" borderId="32" xfId="0" applyNumberFormat="1" applyFont="1" applyFill="1" applyBorder="1" applyAlignment="1" applyProtection="1">
      <alignment horizontal="left" vertical="center" wrapText="1"/>
      <protection locked="0"/>
    </xf>
    <xf numFmtId="0" fontId="56" fillId="6" borderId="49" xfId="0" applyNumberFormat="1" applyFont="1" applyFill="1" applyBorder="1" applyAlignment="1" applyProtection="1">
      <alignment horizontal="left" vertical="center" wrapText="1"/>
      <protection locked="0"/>
    </xf>
    <xf numFmtId="0" fontId="56" fillId="6" borderId="28" xfId="0" applyFont="1" applyFill="1" applyBorder="1" applyAlignment="1" applyProtection="1">
      <alignment vertical="center" wrapText="1"/>
    </xf>
    <xf numFmtId="0" fontId="56" fillId="6" borderId="30" xfId="0" applyFont="1" applyFill="1" applyBorder="1" applyAlignment="1" applyProtection="1">
      <alignment vertical="center" wrapText="1"/>
    </xf>
    <xf numFmtId="0" fontId="56" fillId="5" borderId="84" xfId="8" applyFont="1" applyFill="1" applyBorder="1" applyAlignment="1" applyProtection="1">
      <alignment horizontal="center" vertical="center" wrapText="1"/>
      <protection locked="0"/>
    </xf>
    <xf numFmtId="10" fontId="56" fillId="6" borderId="64"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80" fillId="6" borderId="5" xfId="0" applyFont="1" applyFill="1" applyBorder="1" applyAlignment="1" applyProtection="1">
      <alignment vertical="center"/>
    </xf>
    <xf numFmtId="0" fontId="22" fillId="6" borderId="20" xfId="0" applyFont="1" applyFill="1" applyBorder="1" applyAlignment="1" applyProtection="1">
      <alignment vertical="center"/>
    </xf>
    <xf numFmtId="0" fontId="56" fillId="6" borderId="24" xfId="0" applyNumberFormat="1" applyFont="1" applyFill="1" applyBorder="1" applyAlignment="1" applyProtection="1">
      <alignment horizontal="left" vertical="center" wrapText="1"/>
    </xf>
    <xf numFmtId="0" fontId="22" fillId="7" borderId="0" xfId="0" applyNumberFormat="1" applyFont="1" applyFill="1" applyAlignment="1" applyProtection="1">
      <alignment horizontal="left" vertical="center" wrapText="1"/>
    </xf>
    <xf numFmtId="0" fontId="56" fillId="7" borderId="0" xfId="0" applyNumberFormat="1" applyFont="1" applyFill="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6" borderId="23"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22" fillId="7" borderId="10" xfId="0" applyNumberFormat="1" applyFont="1" applyFill="1" applyBorder="1" applyAlignment="1" applyProtection="1">
      <alignment horizontal="left" vertical="center" wrapText="1"/>
      <protection locked="0"/>
    </xf>
    <xf numFmtId="10" fontId="56" fillId="7" borderId="49" xfId="0" applyNumberFormat="1"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6" fillId="6" borderId="32" xfId="0" applyNumberFormat="1" applyFont="1" applyFill="1" applyBorder="1" applyAlignment="1" applyProtection="1">
      <alignment horizontal="left" vertical="center" wrapText="1"/>
    </xf>
    <xf numFmtId="0" fontId="22" fillId="7" borderId="0" xfId="0" applyNumberFormat="1" applyFont="1" applyFill="1" applyAlignment="1" applyProtection="1">
      <alignment horizontal="left" vertical="center" wrapText="1"/>
      <protection locked="0"/>
    </xf>
    <xf numFmtId="0" fontId="56" fillId="6" borderId="23" xfId="0" applyNumberFormat="1" applyFont="1" applyFill="1" applyBorder="1" applyAlignment="1" applyProtection="1">
      <alignment horizontal="left" vertical="center"/>
    </xf>
    <xf numFmtId="0" fontId="61" fillId="6" borderId="1" xfId="8" applyNumberFormat="1" applyFont="1" applyFill="1" applyBorder="1" applyAlignment="1" applyProtection="1">
      <alignment horizontal="left" vertical="center" wrapText="1"/>
    </xf>
    <xf numFmtId="0" fontId="102" fillId="6" borderId="1" xfId="8" applyNumberFormat="1" applyFont="1" applyFill="1" applyBorder="1" applyAlignment="1" applyProtection="1">
      <alignment horizontal="left" vertical="center"/>
    </xf>
    <xf numFmtId="0" fontId="116" fillId="0" borderId="1" xfId="8" applyNumberFormat="1" applyFont="1" applyFill="1" applyBorder="1" applyAlignment="1" applyProtection="1">
      <alignment horizontal="left" vertical="center"/>
      <protection locked="0"/>
    </xf>
    <xf numFmtId="0" fontId="116" fillId="6" borderId="1" xfId="8" applyNumberFormat="1" applyFont="1" applyFill="1" applyBorder="1" applyAlignment="1" applyProtection="1">
      <alignment horizontal="left" vertical="center"/>
    </xf>
    <xf numFmtId="0" fontId="116" fillId="6" borderId="1" xfId="8"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9" fontId="102" fillId="6" borderId="1" xfId="17" applyFont="1" applyFill="1" applyBorder="1" applyAlignment="1" applyProtection="1">
      <alignment horizontal="left" vertical="center" wrapText="1"/>
    </xf>
    <xf numFmtId="9" fontId="102" fillId="6" borderId="32" xfId="17"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wrapText="1"/>
    </xf>
    <xf numFmtId="0" fontId="102" fillId="6" borderId="0" xfId="0" applyNumberFormat="1" applyFont="1" applyFill="1" applyBorder="1" applyAlignment="1" applyProtection="1">
      <alignment horizontal="center" vertical="center" wrapText="1"/>
    </xf>
    <xf numFmtId="0" fontId="102" fillId="5" borderId="0" xfId="0"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xf>
    <xf numFmtId="10" fontId="101" fillId="0" borderId="0" xfId="0" applyNumberFormat="1" applyFont="1" applyBorder="1" applyAlignment="1" applyProtection="1">
      <alignment horizontal="center" vertical="center"/>
      <protection locked="0"/>
    </xf>
    <xf numFmtId="10" fontId="101" fillId="6" borderId="0" xfId="0" applyNumberFormat="1" applyFont="1" applyFill="1" applyBorder="1" applyAlignment="1" applyProtection="1">
      <alignment horizontal="center" vertical="center"/>
    </xf>
    <xf numFmtId="9" fontId="102" fillId="6" borderId="0" xfId="17" applyFont="1" applyFill="1" applyBorder="1" applyAlignment="1" applyProtection="1">
      <alignment horizontal="left" vertical="center" wrapText="1"/>
    </xf>
    <xf numFmtId="10" fontId="54" fillId="6" borderId="0" xfId="0" applyNumberFormat="1" applyFont="1" applyFill="1" applyBorder="1" applyAlignment="1" applyProtection="1">
      <alignment horizontal="center" vertical="center" wrapText="1"/>
    </xf>
    <xf numFmtId="0" fontId="112" fillId="6" borderId="51" xfId="0" applyNumberFormat="1" applyFont="1" applyFill="1" applyBorder="1" applyAlignment="1" applyProtection="1">
      <alignment horizontal="left" vertical="center"/>
    </xf>
    <xf numFmtId="0" fontId="207" fillId="6" borderId="19" xfId="0" applyNumberFormat="1" applyFont="1" applyFill="1" applyBorder="1" applyAlignment="1" applyProtection="1">
      <alignment horizontal="left" vertical="center" wrapText="1"/>
    </xf>
    <xf numFmtId="0" fontId="102" fillId="6" borderId="23" xfId="0" applyNumberFormat="1" applyFont="1" applyFill="1" applyBorder="1" applyAlignment="1" applyProtection="1">
      <alignment horizontal="left" vertical="center" wrapText="1"/>
    </xf>
    <xf numFmtId="0" fontId="102" fillId="6" borderId="25" xfId="0" applyNumberFormat="1" applyFont="1" applyFill="1" applyBorder="1" applyAlignment="1" applyProtection="1">
      <alignment horizontal="left" vertical="center" wrapText="1"/>
    </xf>
    <xf numFmtId="0" fontId="116" fillId="6" borderId="5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wrapText="1"/>
    </xf>
    <xf numFmtId="0" fontId="56" fillId="6" borderId="53" xfId="0" applyNumberFormat="1" applyFont="1" applyFill="1" applyBorder="1" applyAlignment="1" applyProtection="1">
      <alignment horizontal="left" vertical="center" wrapText="1"/>
    </xf>
    <xf numFmtId="0" fontId="56" fillId="6" borderId="76" xfId="0" applyNumberFormat="1" applyFont="1" applyFill="1" applyBorder="1" applyAlignment="1" applyProtection="1">
      <alignment horizontal="left" vertical="center" wrapText="1"/>
    </xf>
    <xf numFmtId="0" fontId="171" fillId="0" borderId="1" xfId="0" applyNumberFormat="1" applyFont="1" applyFill="1" applyBorder="1" applyAlignment="1" applyProtection="1">
      <alignment horizontal="left" vertical="center" wrapText="1"/>
      <protection locked="0"/>
    </xf>
    <xf numFmtId="0" fontId="171" fillId="0" borderId="13" xfId="0" applyNumberFormat="1"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105" fillId="6" borderId="0" xfId="0" applyNumberFormat="1" applyFont="1" applyFill="1" applyAlignment="1" applyProtection="1">
      <alignment horizontal="left" vertical="center"/>
    </xf>
    <xf numFmtId="0" fontId="102" fillId="6" borderId="5" xfId="0" applyNumberFormat="1" applyFont="1" applyFill="1" applyBorder="1" applyAlignment="1" applyProtection="1">
      <alignment horizontal="left" vertical="center"/>
    </xf>
    <xf numFmtId="0" fontId="102" fillId="6" borderId="54" xfId="0" applyNumberFormat="1" applyFont="1" applyFill="1" applyBorder="1" applyAlignment="1" applyProtection="1">
      <alignment horizontal="left" vertical="center"/>
    </xf>
    <xf numFmtId="0" fontId="102" fillId="6" borderId="3" xfId="0" applyNumberFormat="1" applyFont="1" applyFill="1" applyBorder="1" applyAlignment="1" applyProtection="1">
      <alignment horizontal="left" vertical="center"/>
    </xf>
    <xf numFmtId="0" fontId="102" fillId="6" borderId="0"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xf>
    <xf numFmtId="0" fontId="116" fillId="6" borderId="1" xfId="0"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protection locked="0"/>
    </xf>
    <xf numFmtId="0" fontId="5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3"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177" fontId="131" fillId="0" borderId="1" xfId="1" applyNumberFormat="1" applyFont="1" applyFill="1" applyBorder="1" applyAlignment="1" applyProtection="1">
      <alignment vertical="center"/>
      <protection locked="0"/>
    </xf>
    <xf numFmtId="0" fontId="61" fillId="0" borderId="1" xfId="8" applyFont="1" applyFill="1" applyBorder="1" applyAlignment="1" applyProtection="1">
      <alignment horizontal="center" vertical="center" wrapText="1"/>
    </xf>
    <xf numFmtId="0" fontId="22" fillId="5" borderId="1" xfId="0" applyNumberFormat="1" applyFont="1" applyFill="1" applyBorder="1" applyAlignment="1" applyProtection="1">
      <alignment vertical="center" wrapText="1"/>
      <protection locked="0"/>
    </xf>
    <xf numFmtId="10" fontId="101" fillId="6" borderId="1" xfId="17" applyNumberFormat="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0" fillId="5" borderId="13" xfId="0" applyFont="1" applyFill="1" applyBorder="1" applyAlignment="1" applyProtection="1">
      <alignment horizontal="left" vertical="center" wrapText="1"/>
      <protection locked="0"/>
    </xf>
    <xf numFmtId="186" fontId="60" fillId="6" borderId="1" xfId="1" applyNumberFormat="1" applyFont="1" applyFill="1" applyBorder="1" applyAlignment="1" applyProtection="1">
      <alignment horizontal="right" vertical="center"/>
    </xf>
    <xf numFmtId="186" fontId="55" fillId="6" borderId="1" xfId="0" applyNumberFormat="1" applyFont="1" applyFill="1" applyBorder="1" applyAlignment="1" applyProtection="1">
      <alignment horizontal="right" vertical="center"/>
    </xf>
    <xf numFmtId="0" fontId="65" fillId="5" borderId="118" xfId="0" applyFont="1" applyFill="1" applyBorder="1" applyAlignment="1" applyProtection="1">
      <alignment vertical="center"/>
      <protection locked="0"/>
    </xf>
    <xf numFmtId="186" fontId="60" fillId="6" borderId="2" xfId="0" applyNumberFormat="1" applyFont="1" applyFill="1" applyBorder="1" applyAlignment="1" applyProtection="1">
      <alignment horizontal="right" vertical="center"/>
    </xf>
    <xf numFmtId="179" fontId="47" fillId="0" borderId="23" xfId="0" applyNumberFormat="1" applyFont="1" applyBorder="1" applyAlignment="1" applyProtection="1">
      <alignment horizontal="center" vertical="center"/>
      <protection locked="0"/>
    </xf>
    <xf numFmtId="179" fontId="50"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vertical="center"/>
      <protection locked="0"/>
    </xf>
    <xf numFmtId="0" fontId="141" fillId="7" borderId="0" xfId="0" applyFont="1" applyFill="1" applyAlignment="1" applyProtection="1">
      <protection locked="0"/>
    </xf>
    <xf numFmtId="0" fontId="80" fillId="6" borderId="0" xfId="0" applyFont="1" applyFill="1" applyAlignment="1" applyProtection="1">
      <protection locked="0"/>
    </xf>
    <xf numFmtId="0" fontId="65" fillId="5" borderId="88" xfId="0" applyFont="1" applyFill="1" applyBorder="1" applyAlignment="1" applyProtection="1">
      <alignment vertical="center"/>
      <protection locked="0"/>
    </xf>
    <xf numFmtId="176" fontId="47" fillId="0" borderId="23" xfId="0" applyNumberFormat="1" applyFont="1" applyFill="1" applyBorder="1" applyAlignment="1" applyProtection="1">
      <alignment horizontal="center" vertical="center" wrapText="1"/>
      <protection locked="0"/>
    </xf>
    <xf numFmtId="176" fontId="47" fillId="0" borderId="3" xfId="0" applyNumberFormat="1" applyFont="1" applyFill="1" applyBorder="1" applyAlignment="1" applyProtection="1">
      <alignment horizontal="center" vertical="center" wrapText="1"/>
      <protection locked="0"/>
    </xf>
    <xf numFmtId="0" fontId="146" fillId="11" borderId="125" xfId="9" applyFont="1" applyFill="1" applyBorder="1" applyAlignment="1" applyProtection="1">
      <alignment horizontal="left" vertical="center" wrapText="1"/>
    </xf>
    <xf numFmtId="0" fontId="111"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9" fillId="6" borderId="1"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xf>
    <xf numFmtId="0" fontId="163" fillId="12" borderId="1" xfId="12" applyFont="1" applyFill="1" applyBorder="1" applyAlignment="1" applyProtection="1">
      <alignment horizontal="left" vertical="center" wrapText="1"/>
      <protection locked="0"/>
    </xf>
    <xf numFmtId="9" fontId="162" fillId="12" borderId="1" xfId="12" applyNumberFormat="1" applyFill="1" applyBorder="1" applyAlignment="1" applyProtection="1">
      <alignment horizontal="left"/>
      <protection locked="0"/>
    </xf>
    <xf numFmtId="0" fontId="56" fillId="5" borderId="0" xfId="4" applyFont="1" applyFill="1" applyBorder="1" applyAlignment="1" applyProtection="1">
      <alignment vertical="center"/>
      <protection locked="0"/>
    </xf>
    <xf numFmtId="176" fontId="56" fillId="0" borderId="0" xfId="4" applyNumberFormat="1" applyFont="1" applyFill="1" applyBorder="1" applyAlignment="1" applyProtection="1">
      <protection locked="0"/>
    </xf>
    <xf numFmtId="0" fontId="162" fillId="6" borderId="1" xfId="12" applyFill="1" applyBorder="1" applyAlignment="1" applyProtection="1">
      <alignment horizontal="left"/>
    </xf>
    <xf numFmtId="0" fontId="56" fillId="5" borderId="65" xfId="0" applyFont="1" applyFill="1" applyBorder="1" applyAlignment="1" applyProtection="1">
      <alignment vertical="center" wrapText="1"/>
      <protection locked="0"/>
    </xf>
    <xf numFmtId="10" fontId="56" fillId="7" borderId="0" xfId="0" applyNumberFormat="1" applyFont="1" applyFill="1" applyAlignment="1" applyProtection="1">
      <alignment horizontal="left" vertical="center" wrapText="1"/>
      <protection locked="0"/>
    </xf>
    <xf numFmtId="0" fontId="271" fillId="0" borderId="0" xfId="9" applyNumberFormat="1" applyFont="1" applyAlignment="1" applyProtection="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67" fillId="0" borderId="0" xfId="0" applyFont="1">
      <alignment vertical="center"/>
    </xf>
    <xf numFmtId="0" fontId="267" fillId="0" borderId="43" xfId="0" applyFont="1" applyBorder="1">
      <alignment vertical="center"/>
    </xf>
    <xf numFmtId="0" fontId="0" fillId="0" borderId="1" xfId="0" applyBorder="1">
      <alignment vertical="center"/>
    </xf>
    <xf numFmtId="0" fontId="269" fillId="0" borderId="1" xfId="0" applyFont="1" applyBorder="1" applyAlignment="1">
      <alignment vertical="center" wrapText="1"/>
    </xf>
    <xf numFmtId="0" fontId="267" fillId="0" borderId="1" xfId="0" applyFont="1" applyBorder="1">
      <alignment vertical="center"/>
    </xf>
    <xf numFmtId="0" fontId="269" fillId="0" borderId="1" xfId="0" applyFont="1" applyBorder="1">
      <alignment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4" xfId="0" applyFont="1" applyFill="1" applyBorder="1" applyAlignment="1" applyProtection="1">
      <alignment vertical="center" wrapText="1"/>
      <protection locked="0"/>
    </xf>
    <xf numFmtId="0" fontId="0" fillId="0" borderId="0" xfId="0" applyProtection="1">
      <alignment vertical="center"/>
      <protection locked="0"/>
    </xf>
    <xf numFmtId="0" fontId="50" fillId="12" borderId="1" xfId="0" applyFont="1" applyFill="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82" fillId="12" borderId="1" xfId="0" applyFont="1" applyFill="1" applyBorder="1" applyAlignment="1" applyProtection="1">
      <alignment horizontal="left" vertical="center"/>
      <protection locked="0"/>
    </xf>
    <xf numFmtId="176" fontId="55" fillId="12" borderId="1" xfId="0" applyNumberFormat="1" applyFont="1" applyFill="1" applyBorder="1" applyAlignment="1" applyProtection="1">
      <alignment horizontal="left" vertical="center"/>
      <protection locked="0"/>
    </xf>
    <xf numFmtId="0" fontId="55" fillId="12" borderId="1" xfId="0" applyFont="1" applyFill="1" applyBorder="1" applyAlignment="1" applyProtection="1">
      <alignment horizontal="left" vertical="center"/>
      <protection locked="0"/>
    </xf>
    <xf numFmtId="176" fontId="50" fillId="12" borderId="1" xfId="0" applyNumberFormat="1" applyFont="1" applyFill="1" applyBorder="1" applyAlignment="1" applyProtection="1">
      <alignment horizontal="left" vertical="center"/>
      <protection locked="0"/>
    </xf>
    <xf numFmtId="0" fontId="50" fillId="12" borderId="0" xfId="0" applyFont="1" applyFill="1" applyAlignment="1" applyProtection="1">
      <alignment horizontal="left" vertical="center"/>
      <protection locked="0"/>
    </xf>
    <xf numFmtId="0" fontId="80" fillId="12" borderId="0" xfId="0" applyFont="1" applyFill="1" applyAlignment="1" applyProtection="1">
      <alignment vertical="center"/>
      <protection locked="0"/>
    </xf>
    <xf numFmtId="9" fontId="50" fillId="12"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vertical="center" wrapText="1"/>
      <protection locked="0"/>
    </xf>
    <xf numFmtId="49" fontId="225" fillId="0" borderId="24" xfId="0" applyNumberFormat="1" applyFont="1" applyFill="1" applyBorder="1" applyAlignment="1" applyProtection="1">
      <alignment vertical="center" wrapText="1"/>
      <protection locked="0"/>
    </xf>
    <xf numFmtId="0" fontId="225" fillId="0" borderId="24" xfId="0" applyFont="1" applyBorder="1" applyAlignment="1" applyProtection="1">
      <alignment vertical="center" wrapText="1"/>
      <protection locked="0"/>
    </xf>
    <xf numFmtId="0" fontId="99" fillId="0" borderId="1" xfId="19" applyFont="1" applyBorder="1" applyAlignment="1">
      <alignment horizontal="center" vertical="center" wrapText="1"/>
    </xf>
    <xf numFmtId="14" fontId="99" fillId="0" borderId="1" xfId="19" applyNumberFormat="1" applyFont="1" applyBorder="1" applyAlignment="1">
      <alignment horizontal="center" vertical="center" wrapText="1"/>
    </xf>
    <xf numFmtId="0" fontId="99" fillId="0" borderId="0" xfId="19" applyFont="1" applyAlignment="1">
      <alignment horizontal="center" vertical="center" wrapText="1"/>
    </xf>
    <xf numFmtId="0" fontId="3" fillId="0" borderId="1" xfId="19" applyBorder="1" applyAlignment="1">
      <alignment vertical="center" wrapText="1"/>
    </xf>
    <xf numFmtId="14" fontId="3" fillId="0" borderId="1" xfId="19" applyNumberFormat="1" applyBorder="1" applyAlignment="1">
      <alignment vertical="center" wrapText="1"/>
    </xf>
    <xf numFmtId="0" fontId="3" fillId="0" borderId="1" xfId="19" applyNumberFormat="1" applyBorder="1" applyAlignment="1">
      <alignment horizontal="center" vertical="center" wrapText="1"/>
    </xf>
    <xf numFmtId="0" fontId="3" fillId="0" borderId="0" xfId="19" applyAlignment="1">
      <alignment vertical="center" wrapText="1"/>
    </xf>
    <xf numFmtId="0" fontId="3" fillId="0" borderId="1" xfId="19" applyBorder="1" applyAlignment="1">
      <alignment horizontal="center" vertical="center" wrapText="1"/>
    </xf>
    <xf numFmtId="0" fontId="3" fillId="5" borderId="1" xfId="19" applyFill="1" applyBorder="1" applyAlignment="1">
      <alignment vertical="center" wrapText="1"/>
    </xf>
    <xf numFmtId="14" fontId="3" fillId="5" borderId="1" xfId="19" applyNumberFormat="1" applyFill="1" applyBorder="1" applyAlignment="1">
      <alignment vertical="center" wrapText="1"/>
    </xf>
    <xf numFmtId="0" fontId="3" fillId="5" borderId="1" xfId="19" applyNumberFormat="1" applyFill="1" applyBorder="1" applyAlignment="1">
      <alignment horizontal="center" vertical="center" wrapText="1"/>
    </xf>
    <xf numFmtId="0" fontId="3" fillId="5" borderId="0" xfId="19" applyFill="1" applyAlignment="1">
      <alignment vertical="center" wrapText="1"/>
    </xf>
    <xf numFmtId="14" fontId="3" fillId="0" borderId="0" xfId="19" applyNumberFormat="1" applyAlignment="1">
      <alignment vertical="center" wrapText="1"/>
    </xf>
    <xf numFmtId="0" fontId="3" fillId="0" borderId="0" xfId="19" applyAlignment="1">
      <alignment horizontal="center" vertical="center" wrapText="1"/>
    </xf>
    <xf numFmtId="0" fontId="131" fillId="0" borderId="51" xfId="0" applyNumberFormat="1" applyFont="1" applyFill="1" applyBorder="1" applyAlignment="1" applyProtection="1">
      <alignment horizontal="center" vertical="center" wrapText="1"/>
      <protection locked="0"/>
    </xf>
    <xf numFmtId="0" fontId="131" fillId="0" borderId="46" xfId="0" applyFont="1" applyFill="1" applyBorder="1" applyAlignment="1" applyProtection="1">
      <alignment horizontal="center" vertical="center" wrapText="1"/>
      <protection locked="0"/>
    </xf>
    <xf numFmtId="189" fontId="47" fillId="6"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1" fillId="0" borderId="41"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1" fillId="0" borderId="5" xfId="0"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3" fontId="3" fillId="5" borderId="1" xfId="19" applyNumberFormat="1" applyFill="1" applyBorder="1" applyAlignment="1">
      <alignment horizontal="center" vertical="center" wrapText="1"/>
    </xf>
    <xf numFmtId="4" fontId="3" fillId="5" borderId="1" xfId="19" applyNumberFormat="1" applyFill="1" applyBorder="1" applyAlignment="1">
      <alignment horizontal="center" vertical="center" wrapText="1"/>
    </xf>
    <xf numFmtId="0" fontId="2" fillId="5" borderId="1" xfId="19" applyFont="1" applyFill="1" applyBorder="1" applyAlignment="1">
      <alignment vertical="center" wrapText="1"/>
    </xf>
    <xf numFmtId="49" fontId="97" fillId="0" borderId="14" xfId="0" applyNumberFormat="1" applyFont="1" applyFill="1" applyBorder="1" applyAlignment="1" applyProtection="1">
      <alignment horizontal="center" vertical="center" wrapText="1"/>
      <protection locked="0"/>
    </xf>
    <xf numFmtId="3" fontId="47" fillId="0" borderId="23" xfId="0" applyNumberFormat="1" applyFont="1" applyFill="1" applyBorder="1" applyAlignment="1" applyProtection="1">
      <alignment horizontal="center" vertical="center" wrapText="1"/>
      <protection locked="0"/>
    </xf>
    <xf numFmtId="3" fontId="73" fillId="3" borderId="51" xfId="0" applyNumberFormat="1" applyFont="1" applyFill="1" applyBorder="1" applyAlignment="1" applyProtection="1">
      <alignment vertical="center" wrapText="1"/>
      <protection locked="0"/>
    </xf>
    <xf numFmtId="9" fontId="47" fillId="0" borderId="4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8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9"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wrapText="1"/>
    </xf>
    <xf numFmtId="0" fontId="64" fillId="0" borderId="54"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wrapText="1"/>
    </xf>
    <xf numFmtId="0" fontId="20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2" fontId="203" fillId="0" borderId="0" xfId="0" applyNumberFormat="1" applyFont="1" applyAlignment="1" applyProtection="1">
      <alignment horizontal="right" vertical="center"/>
      <protection locked="0"/>
    </xf>
    <xf numFmtId="0" fontId="216"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9"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9" fillId="0" borderId="0" xfId="0" applyFont="1" applyBorder="1" applyAlignment="1" applyProtection="1">
      <alignment horizontal="left" vertical="center"/>
    </xf>
    <xf numFmtId="0" fontId="19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49" fillId="6" borderId="60" xfId="0" applyNumberFormat="1"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1" fillId="0" borderId="4" xfId="0" applyNumberFormat="1" applyFont="1" applyFill="1" applyBorder="1" applyAlignment="1" applyProtection="1">
      <alignment horizontal="left" vertical="center"/>
      <protection locked="0"/>
    </xf>
    <xf numFmtId="49" fontId="171" fillId="0" borderId="54" xfId="0" applyNumberFormat="1" applyFont="1" applyFill="1" applyBorder="1" applyAlignment="1" applyProtection="1">
      <alignment horizontal="left" vertical="center"/>
      <protection locked="0"/>
    </xf>
    <xf numFmtId="49" fontId="171" fillId="0" borderId="3" xfId="0" applyNumberFormat="1" applyFont="1" applyFill="1" applyBorder="1" applyAlignment="1" applyProtection="1">
      <alignment horizontal="left" vertical="center"/>
      <protection locked="0"/>
    </xf>
    <xf numFmtId="0" fontId="171" fillId="0" borderId="5" xfId="0" applyNumberFormat="1" applyFont="1" applyBorder="1" applyAlignment="1" applyProtection="1">
      <alignment horizontal="left" vertical="center"/>
      <protection locked="0"/>
    </xf>
    <xf numFmtId="0" fontId="171" fillId="0" borderId="54" xfId="0" applyNumberFormat="1" applyFont="1" applyBorder="1" applyAlignment="1" applyProtection="1">
      <alignment horizontal="left" vertical="center"/>
      <protection locked="0"/>
    </xf>
    <xf numFmtId="0" fontId="171" fillId="0" borderId="3" xfId="0" applyNumberFormat="1" applyFont="1" applyBorder="1" applyAlignment="1" applyProtection="1">
      <alignment horizontal="left" vertical="center"/>
      <protection locked="0"/>
    </xf>
    <xf numFmtId="49" fontId="171" fillId="7" borderId="5" xfId="0" applyNumberFormat="1" applyFont="1" applyFill="1" applyBorder="1" applyAlignment="1" applyProtection="1">
      <alignment horizontal="left" vertical="center"/>
      <protection locked="0"/>
    </xf>
    <xf numFmtId="49" fontId="171" fillId="7" borderId="54" xfId="0" applyNumberFormat="1" applyFont="1" applyFill="1" applyBorder="1" applyAlignment="1" applyProtection="1">
      <alignment horizontal="left" vertical="center"/>
      <protection locked="0"/>
    </xf>
    <xf numFmtId="49" fontId="171" fillId="7" borderId="3" xfId="0" applyNumberFormat="1" applyFont="1" applyFill="1" applyBorder="1" applyAlignment="1" applyProtection="1">
      <alignment horizontal="left" vertical="center"/>
      <protection locked="0"/>
    </xf>
    <xf numFmtId="49" fontId="171" fillId="7" borderId="85" xfId="0" applyNumberFormat="1" applyFont="1" applyFill="1" applyBorder="1" applyAlignment="1" applyProtection="1">
      <alignment horizontal="left" vertical="center"/>
      <protection locked="0"/>
    </xf>
    <xf numFmtId="49" fontId="171" fillId="7" borderId="88" xfId="0" applyNumberFormat="1" applyFont="1" applyFill="1" applyBorder="1" applyAlignment="1" applyProtection="1">
      <alignment horizontal="left" vertical="center"/>
      <protection locked="0"/>
    </xf>
    <xf numFmtId="49" fontId="171" fillId="7" borderId="118"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1"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7"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7" fillId="6" borderId="5" xfId="0" applyFont="1" applyFill="1" applyBorder="1" applyAlignment="1">
      <alignment horizontal="center" vertical="center"/>
    </xf>
    <xf numFmtId="0" fontId="207"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9" fillId="0" borderId="11" xfId="0" applyFont="1" applyFill="1" applyBorder="1" applyAlignment="1" applyProtection="1">
      <alignment horizontal="center" vertical="center" wrapText="1"/>
      <protection locked="0"/>
    </xf>
    <xf numFmtId="0" fontId="169" fillId="0" borderId="61" xfId="0" applyFont="1" applyFill="1" applyBorder="1" applyAlignment="1" applyProtection="1">
      <alignment horizontal="center" vertical="center" wrapText="1"/>
      <protection locked="0"/>
    </xf>
    <xf numFmtId="0" fontId="169" fillId="0" borderId="23" xfId="0" applyFont="1" applyFill="1" applyBorder="1" applyAlignment="1" applyProtection="1">
      <alignment horizontal="center" vertical="center" wrapText="1"/>
      <protection locked="0"/>
    </xf>
    <xf numFmtId="0" fontId="16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9" fillId="0" borderId="22" xfId="0" applyFont="1" applyFill="1" applyBorder="1" applyAlignment="1" applyProtection="1">
      <alignment horizontal="center" vertical="center" wrapText="1"/>
      <protection locked="0"/>
    </xf>
    <xf numFmtId="0" fontId="169" fillId="0" borderId="46" xfId="0" applyFont="1" applyFill="1" applyBorder="1" applyAlignment="1" applyProtection="1">
      <alignment horizontal="center" vertical="center" wrapText="1"/>
      <protection locked="0"/>
    </xf>
    <xf numFmtId="0" fontId="169" fillId="0" borderId="3" xfId="0" applyFont="1" applyFill="1" applyBorder="1" applyAlignment="1" applyProtection="1">
      <alignment horizontal="center" vertical="center" wrapText="1"/>
      <protection locked="0"/>
    </xf>
    <xf numFmtId="0" fontId="16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11"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02" fillId="6" borderId="13" xfId="0" applyNumberFormat="1" applyFont="1" applyFill="1" applyBorder="1" applyAlignment="1" applyProtection="1">
      <alignment horizontal="left" vertical="center"/>
    </xf>
    <xf numFmtId="0" fontId="102" fillId="6" borderId="15" xfId="0" applyNumberFormat="1" applyFont="1" applyFill="1" applyBorder="1" applyAlignment="1" applyProtection="1">
      <alignment horizontal="left" vertical="center"/>
    </xf>
    <xf numFmtId="0" fontId="102" fillId="6" borderId="2" xfId="0"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83"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5" fillId="6" borderId="0" xfId="0" applyNumberFormat="1" applyFont="1" applyFill="1" applyAlignment="1" applyProtection="1">
      <alignment horizontal="left" vertical="center"/>
    </xf>
    <xf numFmtId="0" fontId="102" fillId="6" borderId="1" xfId="0" applyNumberFormat="1" applyFont="1" applyFill="1" applyBorder="1" applyAlignment="1" applyProtection="1">
      <alignment horizontal="left"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85"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0" fillId="6" borderId="1" xfId="0" applyNumberFormat="1" applyFont="1" applyFill="1" applyBorder="1" applyAlignment="1" applyProtection="1">
      <alignment horizontal="left" vertical="center"/>
    </xf>
    <xf numFmtId="0" fontId="110" fillId="6" borderId="13" xfId="0" applyNumberFormat="1" applyFont="1" applyFill="1" applyBorder="1" applyAlignment="1" applyProtection="1">
      <alignment horizontal="left" vertical="center"/>
    </xf>
    <xf numFmtId="0" fontId="110" fillId="6" borderId="2" xfId="0" applyNumberFormat="1" applyFont="1" applyFill="1" applyBorder="1" applyAlignment="1" applyProtection="1">
      <alignment horizontal="left" vertical="center"/>
    </xf>
    <xf numFmtId="0" fontId="110" fillId="6" borderId="15" xfId="0" applyNumberFormat="1" applyFont="1" applyFill="1" applyBorder="1" applyAlignment="1" applyProtection="1">
      <alignment horizontal="left" vertical="center"/>
    </xf>
    <xf numFmtId="0" fontId="110" fillId="6" borderId="17" xfId="0" applyNumberFormat="1" applyFont="1" applyFill="1" applyBorder="1" applyAlignment="1" applyProtection="1">
      <alignment horizontal="left" vertical="center"/>
    </xf>
    <xf numFmtId="0" fontId="110" fillId="6" borderId="74" xfId="0" applyNumberFormat="1" applyFont="1" applyFill="1" applyBorder="1" applyAlignment="1" applyProtection="1">
      <alignment horizontal="left" vertical="center"/>
    </xf>
    <xf numFmtId="0" fontId="110" fillId="6" borderId="40" xfId="0" applyNumberFormat="1" applyFont="1" applyFill="1" applyBorder="1" applyAlignment="1" applyProtection="1">
      <alignment horizontal="left" vertical="center"/>
    </xf>
    <xf numFmtId="0" fontId="110" fillId="6" borderId="14" xfId="0" applyNumberFormat="1" applyFont="1" applyFill="1" applyBorder="1" applyAlignment="1" applyProtection="1">
      <alignment horizontal="left" vertical="center"/>
    </xf>
    <xf numFmtId="0" fontId="110" fillId="6" borderId="12" xfId="0" applyNumberFormat="1" applyFont="1" applyFill="1" applyBorder="1" applyAlignment="1" applyProtection="1">
      <alignment horizontal="left" vertical="center"/>
    </xf>
    <xf numFmtId="0" fontId="110" fillId="6" borderId="6" xfId="0" applyNumberFormat="1" applyFont="1" applyFill="1" applyBorder="1" applyAlignment="1" applyProtection="1">
      <alignment horizontal="left" vertical="center"/>
    </xf>
    <xf numFmtId="0" fontId="110" fillId="6" borderId="23" xfId="0" applyNumberFormat="1" applyFont="1" applyFill="1" applyBorder="1" applyAlignment="1" applyProtection="1">
      <alignment horizontal="left" vertical="center"/>
    </xf>
    <xf numFmtId="0" fontId="110" fillId="6" borderId="25" xfId="0" applyNumberFormat="1" applyFont="1" applyFill="1" applyBorder="1" applyAlignment="1" applyProtection="1">
      <alignment horizontal="left" vertical="center"/>
    </xf>
    <xf numFmtId="0" fontId="257" fillId="6" borderId="6"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center" vertical="center"/>
    </xf>
    <xf numFmtId="0" fontId="257" fillId="6" borderId="56" xfId="0" applyNumberFormat="1" applyFont="1" applyFill="1" applyBorder="1" applyAlignment="1" applyProtection="1">
      <alignment horizontal="center" vertical="center"/>
    </xf>
    <xf numFmtId="0" fontId="124" fillId="6" borderId="0" xfId="0" applyFont="1" applyFill="1" applyAlignment="1" applyProtection="1">
      <alignment horizontal="left" vertical="center"/>
    </xf>
    <xf numFmtId="0" fontId="266" fillId="0" borderId="0" xfId="0" applyNumberFormat="1" applyFont="1" applyFill="1" applyAlignment="1">
      <alignment horizontal="center" vertical="center"/>
    </xf>
    <xf numFmtId="0" fontId="266" fillId="0" borderId="35" xfId="0" applyNumberFormat="1" applyFont="1" applyFill="1" applyBorder="1" applyAlignment="1">
      <alignment horizontal="center" vertical="center"/>
    </xf>
    <xf numFmtId="0" fontId="139" fillId="0" borderId="0" xfId="9" applyNumberFormat="1" applyFont="1" applyAlignment="1" applyProtection="1">
      <alignment horizontal="left" vertical="center"/>
    </xf>
    <xf numFmtId="0" fontId="105" fillId="0" borderId="0" xfId="9" applyNumberFormat="1"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3" xfId="9" applyFont="1" applyFill="1" applyBorder="1" applyAlignment="1" applyProtection="1">
      <alignment horizontal="left" vertical="center" wrapText="1"/>
    </xf>
    <xf numFmtId="0" fontId="273" fillId="19" borderId="60" xfId="20" applyFont="1" applyFill="1" applyBorder="1" applyAlignment="1">
      <alignment horizontal="left" vertical="center"/>
    </xf>
    <xf numFmtId="43" fontId="273" fillId="19" borderId="60" xfId="21" applyFont="1" applyFill="1" applyBorder="1" applyAlignment="1">
      <alignment horizontal="left" vertical="center"/>
    </xf>
    <xf numFmtId="0" fontId="275" fillId="22" borderId="0" xfId="20" applyFont="1" applyFill="1" applyBorder="1" applyAlignment="1">
      <alignment horizontal="left" vertical="center"/>
    </xf>
    <xf numFmtId="0" fontId="276" fillId="22" borderId="1" xfId="20" applyFont="1" applyFill="1" applyBorder="1" applyAlignment="1">
      <alignment horizontal="left" vertical="center"/>
    </xf>
    <xf numFmtId="43" fontId="276" fillId="22" borderId="1" xfId="21" applyFont="1" applyFill="1" applyBorder="1" applyAlignment="1">
      <alignment horizontal="left" vertical="center"/>
    </xf>
    <xf numFmtId="0" fontId="276" fillId="22" borderId="0" xfId="20" applyFont="1" applyFill="1" applyBorder="1" applyAlignment="1">
      <alignment horizontal="left" vertical="center"/>
    </xf>
    <xf numFmtId="0" fontId="276" fillId="5" borderId="1" xfId="20" applyFont="1" applyFill="1" applyBorder="1" applyAlignment="1">
      <alignment horizontal="left" vertical="center"/>
    </xf>
    <xf numFmtId="0" fontId="277" fillId="5" borderId="1" xfId="20" applyFont="1" applyFill="1" applyBorder="1" applyAlignment="1">
      <alignment horizontal="left" vertical="center"/>
    </xf>
    <xf numFmtId="43" fontId="276" fillId="5" borderId="1" xfId="21" applyFont="1" applyFill="1" applyBorder="1" applyAlignment="1">
      <alignment horizontal="left" vertical="center"/>
    </xf>
    <xf numFmtId="0" fontId="276" fillId="5" borderId="0" xfId="20" applyFont="1" applyFill="1" applyBorder="1" applyAlignment="1">
      <alignment horizontal="left" vertical="center"/>
    </xf>
    <xf numFmtId="0" fontId="277" fillId="22" borderId="1" xfId="20" applyFont="1" applyFill="1" applyBorder="1" applyAlignment="1">
      <alignment horizontal="left" vertical="center"/>
    </xf>
    <xf numFmtId="0" fontId="276" fillId="9" borderId="1" xfId="20" applyFont="1" applyFill="1" applyBorder="1" applyAlignment="1">
      <alignment horizontal="left" vertical="center"/>
    </xf>
    <xf numFmtId="43" fontId="276" fillId="9" borderId="1" xfId="21" applyFont="1" applyFill="1" applyBorder="1" applyAlignment="1">
      <alignment horizontal="left" vertical="center"/>
    </xf>
    <xf numFmtId="0" fontId="276" fillId="9" borderId="0" xfId="20" applyFont="1" applyFill="1" applyBorder="1" applyAlignment="1">
      <alignment horizontal="left" vertical="center"/>
    </xf>
    <xf numFmtId="43" fontId="275" fillId="22" borderId="0" xfId="20" applyNumberFormat="1" applyFont="1" applyFill="1" applyBorder="1" applyAlignment="1">
      <alignment horizontal="left" vertical="center"/>
    </xf>
    <xf numFmtId="43" fontId="275" fillId="22" borderId="0" xfId="21" applyFont="1" applyFill="1" applyBorder="1" applyAlignment="1">
      <alignment horizontal="left" vertical="center"/>
    </xf>
    <xf numFmtId="43" fontId="47" fillId="0" borderId="3" xfId="0" applyNumberFormat="1" applyFont="1" applyFill="1" applyBorder="1" applyAlignment="1" applyProtection="1">
      <alignment horizontal="center" vertical="center" wrapText="1"/>
      <protection locked="0"/>
    </xf>
    <xf numFmtId="43" fontId="73" fillId="3" borderId="20" xfId="0" applyNumberFormat="1" applyFont="1" applyFill="1" applyBorder="1" applyAlignment="1" applyProtection="1">
      <alignment vertical="center" wrapText="1"/>
      <protection locked="0"/>
    </xf>
    <xf numFmtId="0" fontId="131" fillId="0" borderId="0" xfId="0" applyFont="1" applyProtection="1">
      <alignment vertical="center"/>
      <protection locked="0"/>
    </xf>
    <xf numFmtId="0" fontId="57" fillId="6" borderId="0" xfId="0" applyNumberFormat="1" applyFont="1" applyFill="1" applyBorder="1" applyAlignment="1" applyProtection="1">
      <alignment horizontal="left" vertical="center"/>
      <protection locked="0"/>
    </xf>
    <xf numFmtId="0" fontId="0" fillId="0" borderId="15" xfId="0" applyFont="1" applyFill="1" applyBorder="1">
      <alignment vertical="center"/>
    </xf>
  </cellXfs>
  <cellStyles count="23">
    <cellStyle name="百分比" xfId="17" builtinId="5"/>
    <cellStyle name="百分比 2" xfId="14"/>
    <cellStyle name="常规" xfId="0" builtinId="0"/>
    <cellStyle name="常规 10" xfId="19"/>
    <cellStyle name="常规 10 2" xfId="20"/>
    <cellStyle name="常规 11" xfId="18"/>
    <cellStyle name="常规 12" xfId="22"/>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A/&#25253;&#21578;/2024-1-0226-&#39318;&#21019;&#22823;&#21414;/F01DYGJ1/&#26368;&#32456;-&#26410;&#20986;&#30422;&#31456;&#29256;/&#27979;&#31639;&#34920;-&#39318;&#21019;&#22823;&#21414;-&#25972;&#20307;&#32771;&#34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测绘"/>
      <sheetName val="数据-汇总表"/>
      <sheetName val="数据-取费表"/>
      <sheetName val="估价对象房地状况"/>
      <sheetName val="系统读取表"/>
      <sheetName val="结果表"/>
      <sheetName val="比较法-办公"/>
      <sheetName val="大宗案例"/>
      <sheetName val="2021年大宗"/>
      <sheetName val="成本法 (元)"/>
      <sheetName val="假设开发法"/>
      <sheetName val="收益法 (元)"/>
      <sheetName val="收益法-酒店模型"/>
      <sheetName val="比较法-住宅"/>
      <sheetName val="比较法-商业"/>
      <sheetName val="收益法-办公"/>
      <sheetName val="成本法"/>
      <sheetName val="基准地价修正"/>
      <sheetName val="收益法（汇总）"/>
      <sheetName val="收益法-车位"/>
      <sheetName val="租赁台账"/>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信息"/>
      <sheetName val="案例"/>
      <sheetName val="比较法-办公-2022"/>
      <sheetName val="2022年大宗"/>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收益法-车位</v>
          </cell>
        </row>
        <row r="20">
          <cell r="A20" t="str">
            <v>食堂</v>
          </cell>
          <cell r="B20" t="str">
            <v>收益法-办公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高层</v>
          </cell>
        </row>
        <row r="106">
          <cell r="B106" t="str">
            <v>建筑结构</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efreshError="1"/>
      <sheetData sheetId="29" refreshError="1"/>
      <sheetData sheetId="30" refreshError="1"/>
      <sheetData sheetId="31" refreshError="1"/>
      <sheetData sheetId="32" refreshError="1"/>
      <sheetData sheetId="33" refreshError="1"/>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北京市西城区堂子胡同9号-4层9-1等[20]套全部商业、配套、车库房地产抵押价值预评估</v>
      </c>
    </row>
    <row r="3" spans="1:2" s="1203" customFormat="1">
      <c r="A3" s="1201" t="s">
        <v>523</v>
      </c>
      <c r="B3" s="1202" t="str">
        <f>'预评函-封皮'!B40</f>
        <v>中国建设银行股份有限公司北京西单支行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受贵公司委托，我公司对北京市西城区堂子胡同9号-4层9-1等[20]套全部商业、配套、车库房地产抵押价值进行了预评估。</v>
      </c>
    </row>
    <row r="7" spans="1:2" s="1203" customFormat="1">
      <c r="A7" s="1201" t="s">
        <v>566</v>
      </c>
      <c r="B7" s="1202" t="str">
        <f>'预评函-1'!A7</f>
        <v>估价对象为北京市西城区堂子胡同9号-4层9-1等[20]套全部商业、配套、车库房地产，为中鸿新一代（北京）企业管理有限公司所有。根据《国有土地使用证》[]，估价对象（分摊）出让国有建设用地使用权面积为4420.58平方米，建筑面积为45192.95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4420.58平方米，规划建筑面积为45192.95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2024年8月27日（评估专业人员实地查勘之日）</v>
      </c>
    </row>
    <row r="13" spans="1:2" s="1203" customFormat="1">
      <c r="A13" s="1201" t="s">
        <v>529</v>
      </c>
      <c r="B13" s="1202" t="str">
        <f>'预评函-1'!A18</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202115</v>
      </c>
    </row>
    <row r="21" spans="1:2" s="1203" customFormat="1">
      <c r="A21" s="1201" t="s">
        <v>537</v>
      </c>
      <c r="B21" s="1202">
        <f ca="1">'预评函-2'!D7</f>
        <v>44723</v>
      </c>
    </row>
    <row r="22" spans="1:2" s="1203" customFormat="1">
      <c r="A22" s="1201" t="s">
        <v>538</v>
      </c>
      <c r="B22" s="1202" t="str">
        <f ca="1">'预评函-2'!D6</f>
        <v>贰拾亿贰仟壹佰壹拾伍万元整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202115</v>
      </c>
    </row>
    <row r="31" spans="1:2" s="1203" customFormat="1">
      <c r="A31" s="1201" t="s">
        <v>576</v>
      </c>
      <c r="B31" s="1202">
        <f ca="1">'预评函-2'!D15</f>
        <v>44723</v>
      </c>
    </row>
    <row r="32" spans="1:2" s="1203" customFormat="1">
      <c r="A32" s="1201" t="s">
        <v>543</v>
      </c>
      <c r="B32" s="1202" t="str">
        <f ca="1">'预评函-2'!D14</f>
        <v>贰拾亿贰仟壹佰壹拾伍万元整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北京市西城区堂子胡同9号-4层9-1等[20]套全部商业、配套、车库房地产</v>
      </c>
    </row>
    <row r="42" spans="1:2" s="1203" customFormat="1">
      <c r="A42" s="1201" t="s">
        <v>590</v>
      </c>
      <c r="B42" s="1202" t="str">
        <f>'预评函-3'!B2</f>
        <v>建筑面积</v>
      </c>
    </row>
    <row r="43" spans="1:2" s="1203" customFormat="1">
      <c r="A43" s="1201" t="s">
        <v>591</v>
      </c>
      <c r="B43" s="1202">
        <f>'预评函-3'!B4</f>
        <v>45192.95</v>
      </c>
    </row>
    <row r="44" spans="1:2" s="1203" customFormat="1">
      <c r="A44" s="1201" t="s">
        <v>575</v>
      </c>
      <c r="B44" s="1202" t="str">
        <f>'预评函-3'!C2</f>
        <v>(分摊)土地面积</v>
      </c>
    </row>
    <row r="45" spans="1:2" s="1203" customFormat="1">
      <c r="A45" s="1201" t="s">
        <v>547</v>
      </c>
      <c r="B45" s="1202">
        <f>'预评函-3'!C4</f>
        <v>4420.58</v>
      </c>
    </row>
    <row r="46" spans="1:2" s="1203" customFormat="1">
      <c r="A46" s="1201" t="s">
        <v>573</v>
      </c>
      <c r="B46" s="1202" t="str">
        <f>'预评函-3'!D2</f>
        <v>出让国有建设用地使用权价值</v>
      </c>
    </row>
    <row r="47" spans="1:2" s="1203" customFormat="1">
      <c r="A47" s="1201" t="s">
        <v>548</v>
      </c>
      <c r="B47" s="1202">
        <f ca="1">'预评函-3'!D4</f>
        <v>166745</v>
      </c>
    </row>
    <row r="48" spans="1:2" s="1203" customFormat="1">
      <c r="A48" s="1201" t="s">
        <v>549</v>
      </c>
      <c r="B48" s="1202">
        <f ca="1">'预评函-3'!E4</f>
        <v>36897</v>
      </c>
    </row>
    <row r="49" spans="1:2" s="1203" customFormat="1">
      <c r="A49" s="1201" t="s">
        <v>550</v>
      </c>
      <c r="B49" s="1202" t="str">
        <f ca="1">'预评函-3'!D5</f>
        <v>壹拾陆亿陆仟柒佰肆拾伍万元整</v>
      </c>
    </row>
    <row r="50" spans="1:2" s="1203" customFormat="1">
      <c r="A50" s="1201" t="s">
        <v>574</v>
      </c>
      <c r="B50" s="1202" t="str">
        <f>'预评函-3'!F2</f>
        <v>在建建筑物价值</v>
      </c>
    </row>
    <row r="51" spans="1:2" s="1203" customFormat="1">
      <c r="A51" s="1201" t="s">
        <v>551</v>
      </c>
      <c r="B51" s="1202">
        <f ca="1">'预评函-3'!F4</f>
        <v>35370</v>
      </c>
    </row>
    <row r="52" spans="1:2" s="1203" customFormat="1">
      <c r="A52" s="1201" t="s">
        <v>552</v>
      </c>
      <c r="B52" s="1202">
        <f ca="1">'预评函-3'!G4</f>
        <v>7826</v>
      </c>
    </row>
    <row r="53" spans="1:2" s="1203" customFormat="1">
      <c r="A53" s="1201" t="s">
        <v>580</v>
      </c>
      <c r="B53" s="1202" t="str">
        <f ca="1">'预评函-3'!F5</f>
        <v>叁亿伍仟叁佰柒拾万元整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3456</v>
      </c>
      <c r="C19" s="1547"/>
    </row>
    <row r="20" spans="1:3">
      <c r="A20" s="1546" t="s">
        <v>1048</v>
      </c>
      <c r="B20" s="1546" t="s">
        <v>3457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为估价委托人在向中国建设银行股份有限公司北京西单支行办理贷款手续过程中，确定房地产抵押贷款额度提供参考依据而评估房地产抵押价值。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4" t="s">
        <v>385</v>
      </c>
      <c r="C54" s="1551" t="s">
        <v>583</v>
      </c>
    </row>
    <row r="55" spans="1:4">
      <c r="A55" s="3549"/>
      <c r="B55" s="1554" t="s">
        <v>386</v>
      </c>
      <c r="C55" s="1551" t="s">
        <v>584</v>
      </c>
    </row>
    <row r="56" spans="1:4">
      <c r="A56" s="3549"/>
      <c r="B56" s="1554" t="s">
        <v>387</v>
      </c>
      <c r="C56" s="1551" t="s">
        <v>588</v>
      </c>
    </row>
    <row r="57" spans="1:4">
      <c r="A57" s="354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2498</v>
      </c>
      <c r="B1" s="3008"/>
      <c r="C1" s="3008"/>
      <c r="D1" s="3008"/>
      <c r="E1" s="3008"/>
      <c r="F1" s="3009"/>
      <c r="I1" s="3431" t="s">
        <v>2591</v>
      </c>
      <c r="J1" s="3220"/>
      <c r="K1" s="3220"/>
      <c r="L1" s="3220"/>
      <c r="M1" s="3220"/>
      <c r="N1" s="3432"/>
      <c r="O1" s="3432"/>
      <c r="P1" s="3432"/>
      <c r="Q1" s="3432"/>
      <c r="R1" s="3432"/>
    </row>
    <row r="2" spans="1:18">
      <c r="A2" s="3011"/>
      <c r="B2" s="3012"/>
      <c r="C2" s="3012"/>
      <c r="D2" s="3012"/>
      <c r="E2" s="3012"/>
      <c r="F2" s="3013"/>
      <c r="I2" s="3550" t="s">
        <v>2578</v>
      </c>
      <c r="J2" s="3550"/>
      <c r="K2" s="3550"/>
      <c r="L2" s="3550"/>
      <c r="M2" s="3550"/>
      <c r="N2" s="3550"/>
      <c r="O2" s="3550"/>
      <c r="P2" s="3550"/>
      <c r="Q2" s="3550"/>
      <c r="R2" s="3550"/>
    </row>
    <row r="3" spans="1:18">
      <c r="A3" s="3014" t="s">
        <v>2499</v>
      </c>
      <c r="B3" s="3015">
        <f>项目基本情况!D3</f>
        <v>45531</v>
      </c>
      <c r="C3" s="3017"/>
      <c r="D3" s="3017"/>
      <c r="E3" s="3017"/>
      <c r="F3" s="3013"/>
      <c r="I3" s="3433"/>
      <c r="J3" s="3433" t="s">
        <v>2582</v>
      </c>
      <c r="K3" s="3433" t="s">
        <v>2583</v>
      </c>
      <c r="L3" s="3433" t="s">
        <v>2584</v>
      </c>
      <c r="M3" s="3433" t="s">
        <v>2585</v>
      </c>
      <c r="N3" s="3434" t="s">
        <v>2586</v>
      </c>
      <c r="O3" s="3434" t="s">
        <v>2587</v>
      </c>
      <c r="P3" s="3434" t="s">
        <v>2588</v>
      </c>
      <c r="Q3" s="3434" t="s">
        <v>2589</v>
      </c>
      <c r="R3" s="3434" t="s">
        <v>2590</v>
      </c>
    </row>
    <row r="4" spans="1:18">
      <c r="A4" s="3014" t="s">
        <v>2500</v>
      </c>
      <c r="B4" s="3017" t="s">
        <v>2501</v>
      </c>
      <c r="C4" s="3017" t="s">
        <v>2502</v>
      </c>
      <c r="D4" s="3017" t="s">
        <v>2503</v>
      </c>
      <c r="E4" s="3017" t="s">
        <v>2504</v>
      </c>
      <c r="F4" s="3013"/>
      <c r="I4" s="3433" t="s">
        <v>2579</v>
      </c>
      <c r="J4" s="3433">
        <v>80</v>
      </c>
      <c r="K4" s="3433">
        <v>70</v>
      </c>
      <c r="L4" s="3433">
        <v>20</v>
      </c>
      <c r="M4" s="3433">
        <v>30</v>
      </c>
      <c r="N4" s="3017">
        <v>45</v>
      </c>
      <c r="O4" s="3017">
        <v>60</v>
      </c>
      <c r="P4" s="3017">
        <v>50</v>
      </c>
      <c r="Q4" s="3017">
        <v>20</v>
      </c>
      <c r="R4" s="3017">
        <v>375</v>
      </c>
    </row>
    <row r="5" spans="1:18">
      <c r="A5" s="3018">
        <v>40</v>
      </c>
      <c r="B5" s="3015">
        <v>46375</v>
      </c>
      <c r="C5" s="3017">
        <f>ROUNDDOWN(MIN((B5-B3)/365,A5),2)</f>
        <v>2.31</v>
      </c>
      <c r="D5" s="3019">
        <f>IF(ISERROR(ROUND(POWER(1+E5,A5-C5)*(POWER(1+E5,C5)-1)/(POWER(1+E5,A5)-1),3)),0,ROUND(POWER(1+E5,A5-C5)*(POWER(1+E5,C5)-1)/(POWER(1+E5,A5)-1),4))</f>
        <v>0.1094</v>
      </c>
      <c r="E5" s="3020">
        <v>0.04</v>
      </c>
      <c r="F5" s="3013"/>
      <c r="I5" s="3433" t="s">
        <v>2580</v>
      </c>
      <c r="J5" s="3433">
        <v>70</v>
      </c>
      <c r="K5" s="3433">
        <v>60</v>
      </c>
      <c r="L5" s="3433">
        <v>15</v>
      </c>
      <c r="M5" s="3433">
        <v>25</v>
      </c>
      <c r="N5" s="3017">
        <v>40</v>
      </c>
      <c r="O5" s="3017">
        <v>50</v>
      </c>
      <c r="P5" s="3017">
        <v>40</v>
      </c>
      <c r="Q5" s="3017">
        <v>15</v>
      </c>
      <c r="R5" s="3017">
        <v>315</v>
      </c>
    </row>
    <row r="6" spans="1:18">
      <c r="A6" s="3018">
        <v>50</v>
      </c>
      <c r="B6" s="3015">
        <v>50028</v>
      </c>
      <c r="C6" s="3017">
        <f>ROUNDDOWN(MIN((B6-B3)/365,A6),2)</f>
        <v>12.32</v>
      </c>
      <c r="D6" s="3019">
        <f>IF(ISERROR(ROUND(POWER(1+E6,A6-C6)*(POWER(1+E6,C6)-1)/(POWER(1+E6,A6)-1),3)),0,ROUND(POWER(1+E6,A6-C6)*(POWER(1+E6,C6)-1)/(POWER(1+E6,A6)-1),4))</f>
        <v>0.44590000000000002</v>
      </c>
      <c r="E6" s="3020">
        <v>0.04</v>
      </c>
      <c r="F6" s="3013"/>
      <c r="I6" s="3433" t="s">
        <v>2581</v>
      </c>
      <c r="J6" s="3433">
        <v>60</v>
      </c>
      <c r="K6" s="3433">
        <v>50</v>
      </c>
      <c r="L6" s="3433">
        <v>10</v>
      </c>
      <c r="M6" s="3433">
        <v>20</v>
      </c>
      <c r="N6" s="3017">
        <v>35</v>
      </c>
      <c r="O6" s="3017">
        <v>40</v>
      </c>
      <c r="P6" s="3017">
        <v>30</v>
      </c>
      <c r="Q6" s="3017">
        <v>10</v>
      </c>
      <c r="R6" s="3017">
        <v>255</v>
      </c>
    </row>
    <row r="7" spans="1:18">
      <c r="A7" s="3018">
        <v>70</v>
      </c>
      <c r="B7" s="3015">
        <v>57333</v>
      </c>
      <c r="C7" s="3017">
        <f>ROUNDDOWN(MIN((B7-B3)/365,A7),2)</f>
        <v>32.33</v>
      </c>
      <c r="D7" s="3019">
        <f>IF(ISERROR(ROUND(POWER(1+E7,A7-C7)*(POWER(1+E7,C7)-1)/(POWER(1+E7,A7)-1),3)),0,ROUND(POWER(1+E7,A7-C7)*(POWER(1+E7,C7)-1)/(POWER(1+E7,A7)-1),4))</f>
        <v>0.76790000000000003</v>
      </c>
      <c r="E7" s="3020">
        <v>0.04</v>
      </c>
      <c r="F7" s="3013"/>
    </row>
    <row r="8" spans="1:18">
      <c r="A8" s="3011"/>
      <c r="B8" s="3012"/>
      <c r="C8" s="3012"/>
      <c r="D8" s="3012"/>
      <c r="E8" s="3012"/>
      <c r="F8" s="3013"/>
    </row>
    <row r="9" spans="1:18">
      <c r="A9" s="3014" t="s">
        <v>2505</v>
      </c>
      <c r="B9" s="3017"/>
      <c r="C9" s="3017"/>
      <c r="D9" s="3017"/>
      <c r="E9" s="3017"/>
      <c r="F9" s="3021"/>
    </row>
    <row r="10" spans="1:18">
      <c r="A10" s="3014" t="s">
        <v>2506</v>
      </c>
      <c r="B10" s="3017"/>
      <c r="C10" s="3017"/>
      <c r="D10" s="3017" t="s">
        <v>2504</v>
      </c>
      <c r="E10" s="3017"/>
      <c r="F10" s="3021" t="s">
        <v>2503</v>
      </c>
    </row>
    <row r="11" spans="1:18">
      <c r="A11" s="3014" t="s">
        <v>2507</v>
      </c>
      <c r="B11" s="3022">
        <v>70</v>
      </c>
      <c r="C11" s="3017" t="s">
        <v>2508</v>
      </c>
      <c r="D11" s="3023">
        <v>4.4999999999999998E-2</v>
      </c>
      <c r="E11" s="3017" t="s">
        <v>2509</v>
      </c>
      <c r="F11" s="3024">
        <f>ROUND(1-(1/(POWER(1+D11,B11))),4)</f>
        <v>0.95409999999999995</v>
      </c>
    </row>
    <row r="12" spans="1:18">
      <c r="A12" s="3014" t="s">
        <v>2510</v>
      </c>
      <c r="B12" s="3022">
        <v>40</v>
      </c>
      <c r="C12" s="3017" t="s">
        <v>2511</v>
      </c>
      <c r="D12" s="3023">
        <v>4.4999999999999998E-2</v>
      </c>
      <c r="E12" s="3017" t="s">
        <v>2512</v>
      </c>
      <c r="F12" s="3024">
        <f>ROUND(1-(1/(POWER(1+D12,B12))),4)</f>
        <v>0.82809999999999995</v>
      </c>
    </row>
    <row r="13" spans="1:18">
      <c r="A13" s="3014" t="s">
        <v>2513</v>
      </c>
      <c r="B13" s="3017"/>
      <c r="C13" s="3017"/>
      <c r="D13" s="3012"/>
      <c r="E13" s="3012"/>
      <c r="F13" s="3013"/>
    </row>
    <row r="14" spans="1:18">
      <c r="A14" s="3014" t="s">
        <v>2514</v>
      </c>
      <c r="B14" s="3022">
        <v>5000</v>
      </c>
      <c r="C14" s="3016"/>
      <c r="D14" s="3012"/>
      <c r="E14" s="3012"/>
      <c r="F14" s="3013"/>
    </row>
    <row r="15" spans="1:18">
      <c r="A15" s="3014" t="s">
        <v>2515</v>
      </c>
      <c r="B15" s="3017">
        <f>ROUND(B14*F12/F11,2)</f>
        <v>4339.6899999999996</v>
      </c>
      <c r="C15" s="3017">
        <f>ROUND(F12/F11,4)</f>
        <v>0.8679</v>
      </c>
      <c r="D15" s="3012"/>
      <c r="E15" s="3012"/>
      <c r="F15" s="3013"/>
    </row>
    <row r="16" spans="1:18">
      <c r="A16" s="3014" t="s">
        <v>2516</v>
      </c>
      <c r="B16" s="3017"/>
      <c r="C16" s="3017"/>
      <c r="D16" s="3012"/>
      <c r="E16" s="3012"/>
      <c r="F16" s="3013"/>
    </row>
    <row r="17" spans="1:13">
      <c r="A17" s="3014" t="s">
        <v>2515</v>
      </c>
      <c r="B17" s="3023">
        <v>4810</v>
      </c>
      <c r="C17" s="3016"/>
      <c r="D17" s="3012"/>
      <c r="E17" s="3012"/>
      <c r="F17" s="3013"/>
    </row>
    <row r="18" spans="1:13" ht="14.25" thickBot="1">
      <c r="A18" s="3025" t="s">
        <v>2514</v>
      </c>
      <c r="B18" s="3026">
        <f>ROUND(B17*F11/F12,2)</f>
        <v>5541.87</v>
      </c>
      <c r="C18" s="3026">
        <f>ROUND(F11/F12,4)</f>
        <v>1.1521999999999999</v>
      </c>
      <c r="D18" s="3027"/>
      <c r="E18" s="3027"/>
      <c r="F18" s="3028"/>
    </row>
    <row r="19" spans="1:13" ht="14.25" thickBot="1"/>
    <row r="20" spans="1:13" s="3063" customFormat="1" ht="14.25" thickTop="1">
      <c r="A20" s="3060" t="s">
        <v>2517</v>
      </c>
      <c r="B20" s="3061"/>
      <c r="C20" s="3061"/>
      <c r="D20" s="3061"/>
      <c r="E20" s="3061"/>
      <c r="F20" s="3061"/>
      <c r="G20" s="3062"/>
      <c r="I20" s="3064" t="s">
        <v>2562</v>
      </c>
      <c r="J20" s="3064" t="s">
        <v>2567</v>
      </c>
      <c r="K20" s="3064"/>
      <c r="L20" s="3064"/>
      <c r="M20" s="3064"/>
    </row>
    <row r="21" spans="1:13">
      <c r="A21" s="3029"/>
      <c r="B21" s="3030" t="s">
        <v>2518</v>
      </c>
      <c r="C21" s="3030" t="s">
        <v>2519</v>
      </c>
      <c r="D21" s="3030" t="s">
        <v>2520</v>
      </c>
      <c r="E21" s="3030" t="s">
        <v>2521</v>
      </c>
      <c r="F21" s="3030" t="s">
        <v>2522</v>
      </c>
      <c r="G21" s="3031" t="s">
        <v>2523</v>
      </c>
      <c r="I21" s="3052">
        <v>5</v>
      </c>
      <c r="J21" s="3052">
        <v>54.2</v>
      </c>
    </row>
    <row r="22" spans="1:13">
      <c r="A22" s="3029" t="s">
        <v>2524</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2525</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2565</v>
      </c>
      <c r="M23" s="3052" t="s">
        <v>2566</v>
      </c>
    </row>
    <row r="24" spans="1:13">
      <c r="A24" s="3029" t="s">
        <v>2526</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2564</v>
      </c>
      <c r="M24" s="3052">
        <v>10</v>
      </c>
    </row>
    <row r="25" spans="1:13">
      <c r="A25" s="3029" t="s">
        <v>2527</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2568</v>
      </c>
      <c r="M25" s="3052">
        <v>8</v>
      </c>
    </row>
    <row r="26" spans="1:13">
      <c r="A26" s="3034"/>
      <c r="B26" s="3035"/>
      <c r="C26" s="3035"/>
      <c r="D26" s="3035"/>
      <c r="E26" s="3035"/>
      <c r="F26" s="3035"/>
      <c r="G26" s="3036"/>
      <c r="I26" s="3052">
        <v>30</v>
      </c>
      <c r="J26" s="3052">
        <v>90.5</v>
      </c>
      <c r="K26" s="3052">
        <f t="shared" si="2"/>
        <v>4.2000000000000028</v>
      </c>
      <c r="L26" s="3052" t="s">
        <v>2569</v>
      </c>
      <c r="M26" s="3052">
        <v>5</v>
      </c>
    </row>
    <row r="27" spans="1:13">
      <c r="A27" s="3034" t="s">
        <v>2528</v>
      </c>
      <c r="B27" s="3035"/>
      <c r="C27" s="3035"/>
      <c r="D27" s="3035"/>
      <c r="E27" s="3035"/>
      <c r="F27" s="3035"/>
      <c r="G27" s="3036"/>
      <c r="I27" s="3052">
        <v>35</v>
      </c>
      <c r="J27" s="3052">
        <v>93.8</v>
      </c>
      <c r="K27" s="3052">
        <f t="shared" si="2"/>
        <v>3.2999999999999972</v>
      </c>
      <c r="L27" s="3052" t="s">
        <v>2570</v>
      </c>
      <c r="M27" s="3052">
        <v>3</v>
      </c>
    </row>
    <row r="28" spans="1:13">
      <c r="A28" s="3034" t="s">
        <v>2529</v>
      </c>
      <c r="B28" s="3035"/>
      <c r="C28" s="3035"/>
      <c r="D28" s="3035"/>
      <c r="E28" s="3035"/>
      <c r="F28" s="3035"/>
      <c r="G28" s="3036"/>
      <c r="I28" s="3052">
        <v>40</v>
      </c>
      <c r="J28" s="3052">
        <v>96.4</v>
      </c>
      <c r="K28" s="3052">
        <f t="shared" si="2"/>
        <v>2.6000000000000085</v>
      </c>
      <c r="L28" s="3052" t="s">
        <v>2571</v>
      </c>
      <c r="M28" s="3052">
        <v>2</v>
      </c>
    </row>
    <row r="29" spans="1:13">
      <c r="A29" s="3034" t="s">
        <v>2530</v>
      </c>
      <c r="B29" s="3035"/>
      <c r="C29" s="3035"/>
      <c r="D29" s="3035"/>
      <c r="E29" s="3035"/>
      <c r="F29" s="3035"/>
      <c r="G29" s="3036"/>
      <c r="I29" s="3052">
        <v>45</v>
      </c>
      <c r="J29" s="3052">
        <v>98.4</v>
      </c>
      <c r="K29" s="3052">
        <f t="shared" si="2"/>
        <v>2</v>
      </c>
    </row>
    <row r="30" spans="1:13">
      <c r="A30" s="3034" t="s">
        <v>2531</v>
      </c>
      <c r="B30" s="3035"/>
      <c r="C30" s="3035"/>
      <c r="D30" s="3035"/>
      <c r="E30" s="3035"/>
      <c r="F30" s="3035"/>
      <c r="G30" s="3036"/>
      <c r="I30" s="3052">
        <v>50</v>
      </c>
      <c r="J30" s="3052">
        <v>100</v>
      </c>
      <c r="K30" s="3052">
        <f t="shared" si="2"/>
        <v>1.5999999999999943</v>
      </c>
    </row>
    <row r="31" spans="1:13">
      <c r="A31" s="3034" t="s">
        <v>2532</v>
      </c>
      <c r="B31" s="3035"/>
      <c r="C31" s="3035"/>
      <c r="D31" s="3035"/>
      <c r="E31" s="3035"/>
      <c r="F31" s="3035"/>
      <c r="G31" s="3036"/>
      <c r="I31" s="3052" t="s">
        <v>2563</v>
      </c>
    </row>
    <row r="32" spans="1:13">
      <c r="A32" s="3034" t="s">
        <v>2533</v>
      </c>
      <c r="B32" s="3035"/>
      <c r="C32" s="3035"/>
      <c r="D32" s="3035"/>
      <c r="E32" s="3035"/>
      <c r="F32" s="3035"/>
      <c r="G32" s="3036"/>
    </row>
    <row r="33" spans="1:13">
      <c r="A33" s="3034" t="s">
        <v>2534</v>
      </c>
      <c r="B33" s="3035"/>
      <c r="C33" s="3035"/>
      <c r="D33" s="3035"/>
      <c r="E33" s="3035"/>
      <c r="F33" s="3035"/>
      <c r="G33" s="3036"/>
      <c r="I33" s="3052" t="s">
        <v>2562</v>
      </c>
      <c r="J33" s="3052" t="s">
        <v>2572</v>
      </c>
    </row>
    <row r="34" spans="1:13">
      <c r="A34" s="3034" t="s">
        <v>2535</v>
      </c>
      <c r="B34" s="3035"/>
      <c r="C34" s="3035"/>
      <c r="D34" s="3035"/>
      <c r="E34" s="3035"/>
      <c r="F34" s="3035"/>
      <c r="G34" s="3036"/>
      <c r="I34" s="3052">
        <v>5</v>
      </c>
      <c r="J34" s="3052">
        <v>55.1</v>
      </c>
    </row>
    <row r="35" spans="1:13">
      <c r="A35" s="3034" t="s">
        <v>2536</v>
      </c>
      <c r="B35" s="3035"/>
      <c r="C35" s="3035"/>
      <c r="D35" s="3035"/>
      <c r="E35" s="3035"/>
      <c r="F35" s="3035"/>
      <c r="G35" s="3036"/>
      <c r="I35" s="3052">
        <v>10</v>
      </c>
      <c r="J35" s="3052">
        <v>67</v>
      </c>
      <c r="K35" s="3052">
        <f>J35-J34</f>
        <v>11.899999999999999</v>
      </c>
    </row>
    <row r="36" spans="1:13">
      <c r="A36" s="3034" t="s">
        <v>2537</v>
      </c>
      <c r="B36" s="3035"/>
      <c r="C36" s="3035"/>
      <c r="D36" s="3035"/>
      <c r="E36" s="3035"/>
      <c r="F36" s="3035"/>
      <c r="G36" s="3036"/>
      <c r="I36" s="3052">
        <v>15</v>
      </c>
      <c r="J36" s="3052">
        <v>76.3</v>
      </c>
      <c r="K36" s="3052">
        <f t="shared" ref="K36:K41" si="3">J36-J35</f>
        <v>9.2999999999999972</v>
      </c>
      <c r="L36" s="3052" t="s">
        <v>2565</v>
      </c>
      <c r="M36" s="3052" t="s">
        <v>2566</v>
      </c>
    </row>
    <row r="37" spans="1:13">
      <c r="A37" s="3034" t="s">
        <v>2538</v>
      </c>
      <c r="B37" s="3035"/>
      <c r="C37" s="3035"/>
      <c r="D37" s="3035"/>
      <c r="E37" s="3035"/>
      <c r="F37" s="3035"/>
      <c r="G37" s="3036"/>
      <c r="I37" s="3052">
        <v>20</v>
      </c>
      <c r="J37" s="3052">
        <v>83.6</v>
      </c>
      <c r="K37" s="3052">
        <f t="shared" si="3"/>
        <v>7.2999999999999972</v>
      </c>
      <c r="L37" s="3052" t="s">
        <v>2564</v>
      </c>
      <c r="M37" s="3052">
        <v>10</v>
      </c>
    </row>
    <row r="38" spans="1:13">
      <c r="A38" s="3034" t="s">
        <v>2539</v>
      </c>
      <c r="B38" s="3035"/>
      <c r="C38" s="3035"/>
      <c r="D38" s="3035"/>
      <c r="E38" s="3035"/>
      <c r="F38" s="3035"/>
      <c r="G38" s="3036"/>
      <c r="I38" s="3052">
        <v>25</v>
      </c>
      <c r="J38" s="3052">
        <v>89.3</v>
      </c>
      <c r="K38" s="3052">
        <f t="shared" si="3"/>
        <v>5.7000000000000028</v>
      </c>
      <c r="L38" s="3052" t="s">
        <v>2568</v>
      </c>
      <c r="M38" s="3052">
        <v>8</v>
      </c>
    </row>
    <row r="39" spans="1:13">
      <c r="A39" s="3034"/>
      <c r="B39" s="3035"/>
      <c r="C39" s="3035"/>
      <c r="D39" s="3035"/>
      <c r="E39" s="3035"/>
      <c r="F39" s="3035"/>
      <c r="G39" s="3036"/>
      <c r="I39" s="3052">
        <v>30</v>
      </c>
      <c r="J39" s="3052">
        <v>93.8</v>
      </c>
      <c r="K39" s="3052">
        <f t="shared" si="3"/>
        <v>4.5</v>
      </c>
      <c r="L39" s="3052" t="s">
        <v>2569</v>
      </c>
      <c r="M39" s="3052">
        <v>6</v>
      </c>
    </row>
    <row r="40" spans="1:13">
      <c r="A40" s="3037" t="s">
        <v>2540</v>
      </c>
      <c r="B40" s="3038"/>
      <c r="C40" s="3038"/>
      <c r="D40" s="3038"/>
      <c r="E40" s="3038"/>
      <c r="F40" s="3038"/>
      <c r="G40" s="3039"/>
      <c r="I40" s="3052">
        <v>35</v>
      </c>
      <c r="J40" s="3052">
        <v>97.2</v>
      </c>
      <c r="K40" s="3052">
        <f t="shared" si="3"/>
        <v>3.4000000000000057</v>
      </c>
      <c r="L40" s="3052" t="s">
        <v>2570</v>
      </c>
      <c r="M40" s="3052">
        <v>3</v>
      </c>
    </row>
    <row r="41" spans="1:13">
      <c r="A41" s="3040" t="s">
        <v>2541</v>
      </c>
      <c r="B41" s="3041" t="s">
        <v>2542</v>
      </c>
      <c r="C41" s="3042" t="s">
        <v>2543</v>
      </c>
      <c r="D41" s="3042" t="s">
        <v>2544</v>
      </c>
      <c r="E41" s="3043"/>
      <c r="F41" s="3044"/>
      <c r="G41" s="3045"/>
      <c r="I41" s="3052">
        <v>40</v>
      </c>
      <c r="J41" s="3052">
        <v>100</v>
      </c>
      <c r="K41" s="3052">
        <f t="shared" si="3"/>
        <v>2.7999999999999972</v>
      </c>
    </row>
    <row r="42" spans="1:13">
      <c r="A42" s="3040" t="s">
        <v>2545</v>
      </c>
      <c r="B42" s="3041" t="s">
        <v>2546</v>
      </c>
      <c r="C42" s="3042" t="s">
        <v>2547</v>
      </c>
      <c r="D42" s="3046" t="s">
        <v>2548</v>
      </c>
      <c r="E42" s="3038" t="s">
        <v>2549</v>
      </c>
      <c r="F42" s="3038"/>
      <c r="G42" s="3039"/>
    </row>
    <row r="43" spans="1:13">
      <c r="A43" s="3040" t="s">
        <v>2550</v>
      </c>
      <c r="B43" s="3041" t="s">
        <v>2551</v>
      </c>
      <c r="C43" s="3042" t="s">
        <v>2552</v>
      </c>
      <c r="D43" s="3042" t="s">
        <v>2553</v>
      </c>
      <c r="E43" s="3043" t="s">
        <v>2554</v>
      </c>
      <c r="F43" s="3044"/>
      <c r="G43" s="3045"/>
      <c r="I43" s="3052" t="s">
        <v>2562</v>
      </c>
      <c r="J43" s="3052" t="s">
        <v>2573</v>
      </c>
    </row>
    <row r="44" spans="1:13">
      <c r="A44" s="3040" t="s">
        <v>2555</v>
      </c>
      <c r="B44" s="3041" t="s">
        <v>2556</v>
      </c>
      <c r="C44" s="3042" t="s">
        <v>2557</v>
      </c>
      <c r="D44" s="3046">
        <v>0.5</v>
      </c>
      <c r="E44" s="3043" t="s">
        <v>2558</v>
      </c>
      <c r="F44" s="3044"/>
      <c r="G44" s="3045"/>
      <c r="I44" s="3052">
        <v>30</v>
      </c>
      <c r="J44" s="3052">
        <v>81.7</v>
      </c>
    </row>
    <row r="45" spans="1:13" ht="14.25" thickBot="1">
      <c r="A45" s="3047" t="s">
        <v>2559</v>
      </c>
      <c r="B45" s="3048" t="s">
        <v>2546</v>
      </c>
      <c r="C45" s="3049" t="s">
        <v>2546</v>
      </c>
      <c r="D45" s="3049" t="s">
        <v>2560</v>
      </c>
      <c r="E45" s="3050" t="s">
        <v>2561</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34" sqref="N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9" t="str">
        <f>IF(B10="北京市","北京市",C10)&amp;F10&amp;IF(结果表!G1="在建","出让国有建设用地使用权及在建建筑物",IF(结果表!G1="土地","出让国有建设用地使用权",))&amp;B9&amp;"预评估"</f>
        <v>北京市西城区堂子胡同9号-4层9-1等[20]套全部商业、配套、车库房地产抵押价值预评估</v>
      </c>
      <c r="C1" s="3560"/>
      <c r="D1" s="3560"/>
      <c r="E1" s="3560"/>
      <c r="F1" s="3560"/>
      <c r="G1" s="3560"/>
      <c r="H1" s="3560"/>
      <c r="I1" s="3561"/>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北京市西城区堂子胡同9号-4层9-1等[20]套全部商业、配套、车库房地产抵押价值</v>
      </c>
      <c r="T1" s="1745"/>
      <c r="U1" s="1745"/>
      <c r="V1" s="1745"/>
      <c r="W1" s="1745"/>
      <c r="X1" s="1745"/>
      <c r="Y1" s="1745"/>
      <c r="Z1" s="1745"/>
      <c r="AA1" s="1745"/>
      <c r="AB1" s="1745"/>
    </row>
    <row r="2" spans="1:30">
      <c r="A2" s="2367" t="s">
        <v>2169</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北京市西城区堂子胡同9号-4层9-1等[20]套全部商业、配套、车库房地产</v>
      </c>
      <c r="T2" s="1745"/>
      <c r="U2" s="1745"/>
      <c r="V2" s="1745"/>
      <c r="W2" s="1745"/>
      <c r="X2" s="1745"/>
      <c r="Y2" s="1745"/>
      <c r="Z2" s="1745"/>
      <c r="AA2" s="1745"/>
      <c r="AB2" s="1745"/>
    </row>
    <row r="3" spans="1:30">
      <c r="A3" s="302" t="s">
        <v>2170</v>
      </c>
      <c r="B3" s="2373">
        <v>45531</v>
      </c>
      <c r="C3" s="2374" t="s">
        <v>2171</v>
      </c>
      <c r="D3" s="2373">
        <f>B3</f>
        <v>45531</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t="s">
        <v>3409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60" t="s">
        <v>3410</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中国建设银行股份有限公司北京西单支行</v>
      </c>
      <c r="C6" s="2384"/>
      <c r="D6" s="2385"/>
      <c r="E6" s="2657"/>
      <c r="F6" s="2659"/>
      <c r="G6" s="2659"/>
      <c r="H6" s="2659"/>
      <c r="I6" s="2659"/>
      <c r="J6" s="2436"/>
      <c r="K6" s="2610" t="str">
        <f>IF(COUNTIF(B6,"*上海银行*"),"上海银行","")</f>
        <v/>
      </c>
      <c r="L6" s="2608"/>
      <c r="M6" s="2608"/>
      <c r="N6" s="2436"/>
      <c r="O6" s="2447"/>
      <c r="P6" s="2436"/>
      <c r="Q6" s="2436"/>
      <c r="R6" s="2436"/>
    </row>
    <row r="7" spans="1:30" ht="48">
      <c r="A7" s="2382" t="s">
        <v>2175</v>
      </c>
      <c r="B7" s="3461" t="s">
        <v>3411</v>
      </c>
      <c r="C7" s="2384"/>
      <c r="D7" s="2385"/>
      <c r="E7" s="2657"/>
      <c r="F7" s="2659"/>
      <c r="G7" s="2659"/>
      <c r="H7" s="2659"/>
      <c r="I7" s="2659"/>
      <c r="J7" s="2436"/>
      <c r="K7" s="2611"/>
      <c r="L7" s="2608"/>
      <c r="M7" s="2608"/>
      <c r="N7" s="2436"/>
      <c r="O7" s="2447"/>
      <c r="P7" s="2436"/>
      <c r="Q7" s="2436"/>
      <c r="R7" s="2436"/>
    </row>
    <row r="8" spans="1:30">
      <c r="A8" s="2386" t="s">
        <v>2176</v>
      </c>
      <c r="B8" s="2387" t="s">
        <v>3412</v>
      </c>
      <c r="C8" s="2388"/>
      <c r="D8" s="3562" t="s">
        <v>2177</v>
      </c>
      <c r="E8" s="2389" t="s">
        <v>3413</v>
      </c>
      <c r="F8" s="2390"/>
      <c r="G8" s="2658"/>
      <c r="H8" s="2658"/>
      <c r="I8" s="2658"/>
      <c r="J8" s="2436"/>
      <c r="K8" s="2609"/>
      <c r="L8" s="2608"/>
      <c r="M8" s="2608"/>
      <c r="N8" s="2436"/>
      <c r="O8" s="2447"/>
      <c r="P8" s="2436"/>
      <c r="Q8" s="2436"/>
      <c r="R8" s="2436"/>
    </row>
    <row r="9" spans="1:30" ht="13.5" thickBot="1">
      <c r="A9" s="2391" t="s">
        <v>2178</v>
      </c>
      <c r="B9" s="2392" t="s">
        <v>3413</v>
      </c>
      <c r="C9" s="2393"/>
      <c r="D9" s="3563"/>
      <c r="E9" s="2392" t="s">
        <v>43</v>
      </c>
      <c r="F9" s="2394"/>
      <c r="G9" s="2660"/>
      <c r="H9" s="2660"/>
      <c r="I9" s="2660"/>
      <c r="J9" s="2436"/>
      <c r="K9" s="2611"/>
      <c r="L9" s="2608"/>
      <c r="M9" s="2608"/>
      <c r="N9" s="2436"/>
      <c r="O9" s="2447"/>
      <c r="P9" s="2436"/>
      <c r="Q9" s="2436"/>
      <c r="R9" s="2436"/>
    </row>
    <row r="10" spans="1:30" ht="13.5" thickTop="1">
      <c r="A10" s="2395" t="s">
        <v>2179</v>
      </c>
      <c r="B10" s="2396" t="s">
        <v>3414</v>
      </c>
      <c r="C10" s="2397"/>
      <c r="D10" s="2381"/>
      <c r="E10" s="2398" t="s">
        <v>2180</v>
      </c>
      <c r="F10" s="2661" t="s">
        <v>3415</v>
      </c>
      <c r="G10" s="2662"/>
      <c r="H10" s="2663"/>
      <c r="I10" s="2664"/>
      <c r="J10" s="2436"/>
      <c r="K10" s="2611"/>
      <c r="L10" s="2608"/>
      <c r="M10" s="2608"/>
      <c r="N10" s="2436"/>
      <c r="O10" s="2447"/>
      <c r="P10" s="2436"/>
      <c r="Q10" s="2436"/>
      <c r="R10" s="2436"/>
    </row>
    <row r="11" spans="1:30" ht="36">
      <c r="A11" s="2399" t="s">
        <v>2181</v>
      </c>
      <c r="B11" s="2400" t="s">
        <v>3416</v>
      </c>
      <c r="C11" s="3462" t="s">
        <v>3417</v>
      </c>
      <c r="D11" s="2401"/>
      <c r="E11" s="2370"/>
      <c r="F11" s="2370"/>
      <c r="G11" s="2370"/>
      <c r="H11" s="2370"/>
      <c r="I11" s="2370"/>
      <c r="J11" s="3055"/>
      <c r="K11" s="3054"/>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2574</v>
      </c>
      <c r="J12" s="3056"/>
      <c r="K12" s="2608"/>
      <c r="L12" s="2608"/>
      <c r="M12" s="2436"/>
      <c r="N12" s="2447"/>
      <c r="O12" s="2436"/>
      <c r="P12" s="2436"/>
      <c r="Q12" s="2436"/>
      <c r="AD12" s="1745"/>
    </row>
    <row r="13" spans="1:30">
      <c r="A13" s="3417" t="s">
        <v>3330</v>
      </c>
      <c r="B13" s="2404" t="s">
        <v>2190</v>
      </c>
      <c r="C13" s="856"/>
      <c r="D13" s="856">
        <v>55805</v>
      </c>
      <c r="E13" s="856">
        <f>D13</f>
        <v>55805</v>
      </c>
      <c r="F13" s="856">
        <f>E13</f>
        <v>55805</v>
      </c>
      <c r="G13" s="856"/>
      <c r="H13" s="856"/>
      <c r="I13" s="856"/>
      <c r="J13" s="3056"/>
      <c r="K13" s="2608"/>
      <c r="L13" s="2608"/>
      <c r="M13" s="2436"/>
      <c r="N13" s="2447"/>
      <c r="O13" s="2436"/>
      <c r="P13" s="2436"/>
      <c r="Q13" s="2436"/>
      <c r="AD13" s="1745"/>
    </row>
    <row r="14" spans="1:30">
      <c r="A14" s="1081"/>
      <c r="B14" s="2404" t="s">
        <v>2191</v>
      </c>
      <c r="C14" s="2405"/>
      <c r="D14" s="2405">
        <v>40</v>
      </c>
      <c r="E14" s="2405">
        <v>50</v>
      </c>
      <c r="F14" s="2405">
        <v>50</v>
      </c>
      <c r="G14" s="2405"/>
      <c r="H14" s="2405"/>
      <c r="I14" s="2405"/>
      <c r="J14" s="3057"/>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28.14</v>
      </c>
      <c r="E15" s="2407">
        <f>IF(A13="出让",IF(E13="","",ROUNDDOWN(MIN((E13-$D$3)/365,E14),2)),E14)</f>
        <v>28.14</v>
      </c>
      <c r="F15" s="2407">
        <f>IF(A13="出让",IF(F13="","",ROUNDDOWN(MIN((F13-$D$3)/365,F14),2)),F14)</f>
        <v>28.14</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8" t="s">
        <v>2193</v>
      </c>
      <c r="B16" s="3569"/>
      <c r="C16" s="3570"/>
      <c r="D16" s="3571"/>
      <c r="E16" s="2410" t="s">
        <v>2194</v>
      </c>
      <c r="F16" s="3572"/>
      <c r="G16" s="3573"/>
      <c r="H16" s="3573"/>
      <c r="I16" s="3574"/>
      <c r="J16" s="2436"/>
      <c r="K16" s="2612"/>
      <c r="L16" s="2448"/>
      <c r="M16" s="2448"/>
      <c r="N16" s="2504"/>
      <c r="O16" s="2448"/>
      <c r="P16" s="2504"/>
      <c r="Q16" s="2436"/>
      <c r="R16" s="2436"/>
    </row>
    <row r="17" spans="1:28">
      <c r="A17" s="313" t="s">
        <v>2195</v>
      </c>
      <c r="B17" s="302" t="s">
        <v>2196</v>
      </c>
      <c r="C17" s="8">
        <f>'数据-汇总表'!E3</f>
        <v>45192.95</v>
      </c>
      <c r="D17" s="2322" t="s">
        <v>2197</v>
      </c>
      <c r="E17" s="3575" t="s">
        <v>2198</v>
      </c>
      <c r="F17" s="3576"/>
      <c r="G17" s="3576"/>
      <c r="H17" s="3576"/>
      <c r="I17" s="3577"/>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4420.58</v>
      </c>
      <c r="D18" s="1092" t="s">
        <v>2201</v>
      </c>
      <c r="E18" s="3578" t="s">
        <v>2202</v>
      </c>
      <c r="F18" s="3579"/>
      <c r="G18" s="3579"/>
      <c r="H18" s="3579"/>
      <c r="I18" s="3580"/>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65" t="s">
        <v>2206</v>
      </c>
      <c r="C20" s="3566"/>
      <c r="D20" s="3567" t="s">
        <v>2207</v>
      </c>
      <c r="E20" s="3568"/>
      <c r="F20" s="2642" t="s">
        <v>1056</v>
      </c>
      <c r="G20" s="2659"/>
      <c r="H20" s="2659"/>
      <c r="I20" s="2659"/>
      <c r="J20" s="2436"/>
      <c r="K20" s="356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6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6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09"/>
      <c r="O22" s="2408"/>
      <c r="P22" s="2409"/>
      <c r="Q22" s="2370"/>
      <c r="R22" s="2370"/>
      <c r="S22" s="2370"/>
      <c r="T22" s="2370"/>
      <c r="U22" s="2370"/>
      <c r="V22" s="2370"/>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52" t="s">
        <v>2214</v>
      </c>
      <c r="B27" s="320" t="s">
        <v>2215</v>
      </c>
      <c r="C27" s="2413" t="s">
        <v>3418</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52"/>
      <c r="B28" s="302" t="s">
        <v>2216</v>
      </c>
      <c r="C28" s="2415" t="s">
        <v>3419</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52"/>
      <c r="B29" s="302" t="s">
        <v>2217</v>
      </c>
      <c r="C29" s="2417" t="s">
        <v>3420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53"/>
      <c r="B30" s="302" t="s">
        <v>2218</v>
      </c>
      <c r="C30" s="3554"/>
      <c r="D30" s="3555"/>
      <c r="E30" s="2659"/>
      <c r="F30" s="2659"/>
      <c r="G30" s="2659"/>
      <c r="H30" s="2659"/>
      <c r="I30" s="2659"/>
      <c r="J30" s="2436"/>
      <c r="K30" s="2611"/>
      <c r="L30" s="2608"/>
      <c r="M30" s="2608"/>
      <c r="N30" s="2436"/>
      <c r="O30" s="2447"/>
      <c r="P30" s="2436"/>
      <c r="Q30" s="2436"/>
      <c r="R30" s="2436"/>
      <c r="S30" s="2436"/>
      <c r="T30" s="2436"/>
      <c r="U30" s="2436"/>
      <c r="V30" s="2436"/>
    </row>
    <row r="31" spans="1:28">
      <c r="A31" s="3556" t="s">
        <v>2219</v>
      </c>
      <c r="B31" s="2419" t="s">
        <v>3421</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57"/>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57"/>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6" t="s">
        <v>3422</v>
      </c>
      <c r="C34" s="2026" t="s">
        <v>3423</v>
      </c>
      <c r="D34" s="2026" t="s">
        <v>3424</v>
      </c>
      <c r="E34" s="2026" t="s">
        <v>3425</v>
      </c>
      <c r="F34" s="2026" t="s">
        <v>3426</v>
      </c>
      <c r="G34" s="2026" t="s">
        <v>3427</v>
      </c>
      <c r="H34" s="2026" t="s">
        <v>3428</v>
      </c>
      <c r="I34" s="2659"/>
      <c r="J34" s="2436"/>
      <c r="K34" s="2424">
        <f>COUNTIF(B34:H34,"——")</f>
        <v>0</v>
      </c>
      <c r="L34" s="323" t="s">
        <v>2221</v>
      </c>
      <c r="M34" s="323" t="s">
        <v>2222</v>
      </c>
      <c r="N34" s="323" t="s">
        <v>2223</v>
      </c>
      <c r="O34" s="323" t="s">
        <v>2224</v>
      </c>
      <c r="P34" s="323" t="s">
        <v>2225</v>
      </c>
      <c r="Q34" s="323" t="s">
        <v>2226</v>
      </c>
      <c r="R34" s="323" t="s">
        <v>2227</v>
      </c>
      <c r="S34" s="3551" t="s">
        <v>2228</v>
      </c>
      <c r="T34" s="2425" t="str">
        <f>NUMBERSTRING(7-K34,1)&amp;"通"</f>
        <v>七通</v>
      </c>
      <c r="U34" s="2436"/>
      <c r="V34" s="2436"/>
    </row>
    <row r="35" spans="1:30">
      <c r="A35" s="2426"/>
      <c r="B35" s="3558" t="s">
        <v>2229</v>
      </c>
      <c r="C35" s="3558"/>
      <c r="D35" s="3558"/>
      <c r="E35" s="3558"/>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1"/>
      <c r="T35" s="329" t="str">
        <f>IF(T34="一通",L35,IF(T34="二通",M35,IF(T34="三通",N35,IF(T34="四通",O35,IF(T34="五通",P35,IF(T34="六通",Q35,R35))))))</f>
        <v>通路、通电、通讯、通上水、通下水、燃气、平整</v>
      </c>
      <c r="U35" s="2436"/>
      <c r="V35" s="2436"/>
    </row>
    <row r="36" spans="1:30">
      <c r="A36" s="2427"/>
      <c r="B36" s="664" t="s">
        <v>2185</v>
      </c>
      <c r="C36" s="664" t="s">
        <v>2186</v>
      </c>
      <c r="D36" s="664" t="s">
        <v>2184</v>
      </c>
      <c r="E36" s="664" t="s">
        <v>2189</v>
      </c>
      <c r="F36" s="3059" t="s">
        <v>2577</v>
      </c>
      <c r="G36" s="2659"/>
      <c r="H36" s="2659"/>
      <c r="I36" s="2659"/>
      <c r="J36" s="2436"/>
      <c r="K36" s="2611"/>
      <c r="L36" s="2608"/>
      <c r="M36" s="2608"/>
      <c r="N36" s="2436"/>
      <c r="O36" s="2447"/>
      <c r="P36" s="2436"/>
      <c r="Q36" s="2436"/>
      <c r="R36" s="2436"/>
      <c r="S36" s="2436"/>
      <c r="T36" s="2436"/>
      <c r="U36" s="2436"/>
      <c r="V36" s="2436"/>
    </row>
    <row r="37" spans="1:30">
      <c r="A37" s="2625" t="s">
        <v>2230</v>
      </c>
      <c r="B37" s="2428" t="s">
        <v>144</v>
      </c>
      <c r="C37" s="2428" t="s">
        <v>144</v>
      </c>
      <c r="D37" s="2428" t="s">
        <v>144</v>
      </c>
      <c r="E37" s="2428" t="s">
        <v>144</v>
      </c>
      <c r="F37" s="2428" t="s">
        <v>144</v>
      </c>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3429</v>
      </c>
      <c r="C38" s="2429" t="s">
        <v>3429</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2233</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4420.58</v>
      </c>
      <c r="B3" s="11">
        <f>IF(C3="否",G5-AT5,G5)</f>
        <v>45192.95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45192.95</v>
      </c>
      <c r="H5" s="13">
        <f t="shared" ref="H5:AT5" si="0">SUM(H13:H656)</f>
        <v>45192.95</v>
      </c>
      <c r="I5" s="13">
        <f t="shared" si="0"/>
        <v>34425.75</v>
      </c>
      <c r="J5" s="13">
        <f t="shared" si="0"/>
        <v>0</v>
      </c>
      <c r="K5" s="13">
        <f t="shared" si="0"/>
        <v>3482.06</v>
      </c>
      <c r="L5" s="13">
        <f t="shared" si="0"/>
        <v>0</v>
      </c>
      <c r="M5" s="13">
        <f t="shared" si="0"/>
        <v>7285.14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45192.95</v>
      </c>
      <c r="BA5" s="15">
        <f t="shared" si="1"/>
        <v>45192.95</v>
      </c>
      <c r="BB5" s="15">
        <f t="shared" si="1"/>
        <v>34425.75</v>
      </c>
      <c r="BC5" s="15">
        <f t="shared" si="1"/>
        <v>3482.06</v>
      </c>
      <c r="BD5" s="15">
        <f t="shared" si="1"/>
        <v>7285.14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4420.58</v>
      </c>
      <c r="F6" s="13" t="s">
        <v>0</v>
      </c>
      <c r="G6" s="13" t="s">
        <v>1</v>
      </c>
      <c r="H6" s="17">
        <f>SUMIF(I$12:AB$12,"总值",I6:AB6)</f>
        <v>4420.58</v>
      </c>
      <c r="I6" s="13">
        <f t="shared" ref="I6:AB6" si="2">ROUND($A$3*I5/$B$3,2)</f>
        <v>3367.38</v>
      </c>
      <c r="J6" s="13">
        <f t="shared" si="2"/>
        <v>0</v>
      </c>
      <c r="K6" s="13">
        <f t="shared" si="2"/>
        <v>340.6</v>
      </c>
      <c r="L6" s="13">
        <f t="shared" si="2"/>
        <v>0</v>
      </c>
      <c r="M6" s="13">
        <f t="shared" si="2"/>
        <v>712.6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4420.58</v>
      </c>
      <c r="AZ6" s="13" t="s">
        <v>2</v>
      </c>
      <c r="BA6" s="13">
        <f>ROUND($AY$6*BA5/$AZ$5,2)</f>
        <v>4420.58</v>
      </c>
      <c r="BB6" s="13">
        <f>ROUND($AY$6*BB5/$AZ$5,2)</f>
        <v>3367.38</v>
      </c>
      <c r="BC6" s="13">
        <f t="shared" ref="BC6:BH6" si="4">ROUND($AY$6*BC5/$AZ$5,2)</f>
        <v>340.6</v>
      </c>
      <c r="BD6" s="13">
        <f t="shared" si="4"/>
        <v>712.6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3431</v>
      </c>
      <c r="J9" s="809"/>
      <c r="K9" s="1603" t="s">
        <v>3432</v>
      </c>
      <c r="L9" s="809"/>
      <c r="M9" s="1603" t="s">
        <v>3432</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3430</v>
      </c>
      <c r="E13" s="13">
        <f>IF($C$3="是",ROUND($A$3*G13/$B$3,2),ROUND($A$3*(G13-AT13)/$B$3,2))</f>
        <v>4420.58</v>
      </c>
      <c r="F13" s="29"/>
      <c r="G13" s="30">
        <f>H13+AC13+AT13</f>
        <v>45192.95</v>
      </c>
      <c r="H13" s="17">
        <f>SUMIF(I$12:AB$12,"总值",I13:AB13)</f>
        <v>45192.95</v>
      </c>
      <c r="I13" s="1626">
        <f>SUM(清单!D13:D22)</f>
        <v>34425.75</v>
      </c>
      <c r="J13" s="1626"/>
      <c r="K13" s="1626">
        <f>SUM(清单!D11:D12)</f>
        <v>3482.06</v>
      </c>
      <c r="L13" s="1626"/>
      <c r="M13" s="1626">
        <f>SUM(清单!D3:D10)</f>
        <v>7285.14</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4420.58</v>
      </c>
      <c r="AZ13" s="13">
        <f>BA13+BL13</f>
        <v>45192.95</v>
      </c>
      <c r="BA13" s="13">
        <f>SUM(BB13:BK13)</f>
        <v>45192.95</v>
      </c>
      <c r="BB13" s="13">
        <f>IF($D13="是",I13-J13,0)</f>
        <v>34425.75</v>
      </c>
      <c r="BC13" s="13">
        <f>IF($D13="是",K13-L13,0)</f>
        <v>3482.06</v>
      </c>
      <c r="BD13" s="13">
        <f>IF($D13="是",M13-N13,0)</f>
        <v>7285.14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F23" sqref="A2:F23"/>
    </sheetView>
  </sheetViews>
  <sheetFormatPr defaultRowHeight="13.5"/>
  <cols>
    <col min="2" max="2" width="34.25" customWidth="1"/>
  </cols>
  <sheetData>
    <row r="2" spans="1:6">
      <c r="A2" s="3456" t="s">
        <v>3380</v>
      </c>
      <c r="B2" s="3456" t="s">
        <v>3387</v>
      </c>
      <c r="C2" s="3456" t="s">
        <v>3381</v>
      </c>
      <c r="D2" s="3456" t="s">
        <v>3382</v>
      </c>
      <c r="E2" s="3456" t="s">
        <v>3383</v>
      </c>
      <c r="F2" s="3869" t="s">
        <v>5226</v>
      </c>
    </row>
    <row r="3" spans="1:6" ht="14.25" thickBot="1">
      <c r="A3" s="3457">
        <v>1</v>
      </c>
      <c r="B3" s="3458" t="s">
        <v>3403</v>
      </c>
      <c r="C3" s="3458" t="s">
        <v>3384</v>
      </c>
      <c r="D3" s="3459">
        <v>55.17</v>
      </c>
      <c r="E3" s="3459">
        <v>-4</v>
      </c>
      <c r="F3" s="3455" t="s">
        <v>3385</v>
      </c>
    </row>
    <row r="4" spans="1:6" ht="14.25" thickBot="1">
      <c r="A4" s="3457">
        <v>2</v>
      </c>
      <c r="B4" s="3458" t="s">
        <v>3404</v>
      </c>
      <c r="C4" s="3458" t="s">
        <v>3384</v>
      </c>
      <c r="D4" s="3459">
        <v>70.59</v>
      </c>
      <c r="E4" s="3459">
        <v>-4</v>
      </c>
      <c r="F4" s="3455" t="s">
        <v>3385</v>
      </c>
    </row>
    <row r="5" spans="1:6" ht="14.25" thickBot="1">
      <c r="A5" s="3457">
        <v>3</v>
      </c>
      <c r="B5" s="3458" t="s">
        <v>3406</v>
      </c>
      <c r="C5" s="3458" t="s">
        <v>3384</v>
      </c>
      <c r="D5" s="3459">
        <v>121.43</v>
      </c>
      <c r="E5" s="3459">
        <v>-4</v>
      </c>
      <c r="F5" s="3455" t="s">
        <v>3385</v>
      </c>
    </row>
    <row r="6" spans="1:6" ht="14.25" thickBot="1">
      <c r="A6" s="3457">
        <v>4</v>
      </c>
      <c r="B6" s="3458" t="s">
        <v>3405</v>
      </c>
      <c r="C6" s="3458" t="s">
        <v>3384</v>
      </c>
      <c r="D6" s="3459">
        <v>210.93</v>
      </c>
      <c r="E6" s="3459">
        <v>-4</v>
      </c>
      <c r="F6" s="3455" t="s">
        <v>3385</v>
      </c>
    </row>
    <row r="7" spans="1:6" ht="14.25" thickBot="1">
      <c r="A7" s="3457">
        <v>5</v>
      </c>
      <c r="B7" s="3458" t="s">
        <v>3407</v>
      </c>
      <c r="C7" s="3458" t="s">
        <v>3384</v>
      </c>
      <c r="D7" s="3459">
        <v>53.67</v>
      </c>
      <c r="E7" s="3459">
        <v>-4</v>
      </c>
      <c r="F7" s="3455" t="s">
        <v>3385</v>
      </c>
    </row>
    <row r="8" spans="1:6" ht="14.25" thickBot="1">
      <c r="A8" s="3457">
        <v>6</v>
      </c>
      <c r="B8" s="3458" t="s">
        <v>3389</v>
      </c>
      <c r="C8" s="3458" t="s">
        <v>3384</v>
      </c>
      <c r="D8" s="3459">
        <v>32.18</v>
      </c>
      <c r="E8" s="3459">
        <v>-4</v>
      </c>
      <c r="F8" s="3455" t="s">
        <v>3385</v>
      </c>
    </row>
    <row r="9" spans="1:6" ht="14.25" thickBot="1">
      <c r="A9" s="3457">
        <v>7</v>
      </c>
      <c r="B9" s="3458" t="s">
        <v>3400</v>
      </c>
      <c r="C9" s="3458" t="s">
        <v>3331</v>
      </c>
      <c r="D9" s="3459">
        <v>3364.8</v>
      </c>
      <c r="E9" s="3459">
        <v>-3</v>
      </c>
      <c r="F9" s="3455" t="s">
        <v>3331</v>
      </c>
    </row>
    <row r="10" spans="1:6" ht="14.25" thickBot="1">
      <c r="A10" s="3457">
        <v>8</v>
      </c>
      <c r="B10" s="3458" t="s">
        <v>3388</v>
      </c>
      <c r="C10" s="3458" t="s">
        <v>3331</v>
      </c>
      <c r="D10" s="3459">
        <v>3376.37</v>
      </c>
      <c r="E10" s="3459">
        <v>-2</v>
      </c>
      <c r="F10" s="3455" t="s">
        <v>3331</v>
      </c>
    </row>
    <row r="11" spans="1:6" ht="14.25" thickBot="1">
      <c r="A11" s="3457">
        <v>9</v>
      </c>
      <c r="B11" s="3458" t="s">
        <v>3402</v>
      </c>
      <c r="C11" s="3458" t="s">
        <v>3384</v>
      </c>
      <c r="D11" s="3459">
        <v>120.12</v>
      </c>
      <c r="E11" s="3459">
        <v>-1</v>
      </c>
      <c r="F11" s="3455" t="s">
        <v>3385</v>
      </c>
    </row>
    <row r="12" spans="1:6" ht="14.25" thickBot="1">
      <c r="A12" s="3457">
        <v>10</v>
      </c>
      <c r="B12" s="3458" t="s">
        <v>3391</v>
      </c>
      <c r="C12" s="3458" t="s">
        <v>673</v>
      </c>
      <c r="D12" s="3459">
        <v>3361.94</v>
      </c>
      <c r="E12" s="3459">
        <v>-1</v>
      </c>
      <c r="F12" s="3455" t="s">
        <v>673</v>
      </c>
    </row>
    <row r="13" spans="1:6" ht="14.25" thickBot="1">
      <c r="A13" s="3457">
        <v>11</v>
      </c>
      <c r="B13" s="3458" t="s">
        <v>3399</v>
      </c>
      <c r="C13" s="3458" t="s">
        <v>673</v>
      </c>
      <c r="D13" s="3459">
        <v>3409.91</v>
      </c>
      <c r="E13" s="3459">
        <v>1</v>
      </c>
      <c r="F13" s="3455" t="s">
        <v>673</v>
      </c>
    </row>
    <row r="14" spans="1:6" ht="14.25" thickBot="1">
      <c r="A14" s="3457">
        <v>12</v>
      </c>
      <c r="B14" s="3458" t="s">
        <v>3398</v>
      </c>
      <c r="C14" s="3458" t="s">
        <v>673</v>
      </c>
      <c r="D14" s="3459">
        <v>3137.05</v>
      </c>
      <c r="E14" s="3459">
        <v>2</v>
      </c>
      <c r="F14" s="3455" t="s">
        <v>21</v>
      </c>
    </row>
    <row r="15" spans="1:6" ht="14.25" thickBot="1">
      <c r="A15" s="3457">
        <v>13</v>
      </c>
      <c r="B15" s="3458" t="s">
        <v>3401</v>
      </c>
      <c r="C15" s="3458" t="s">
        <v>673</v>
      </c>
      <c r="D15" s="3459">
        <v>3476.52</v>
      </c>
      <c r="E15" s="3459">
        <v>3</v>
      </c>
      <c r="F15" s="3455" t="s">
        <v>21</v>
      </c>
    </row>
    <row r="16" spans="1:6" ht="14.25" thickBot="1">
      <c r="A16" s="3457">
        <v>14</v>
      </c>
      <c r="B16" s="3458" t="s">
        <v>3397</v>
      </c>
      <c r="C16" s="3458" t="s">
        <v>673</v>
      </c>
      <c r="D16" s="3459">
        <v>3409.92</v>
      </c>
      <c r="E16" s="3459">
        <v>4</v>
      </c>
      <c r="F16" s="3455" t="s">
        <v>21</v>
      </c>
    </row>
    <row r="17" spans="1:6" ht="14.25" thickBot="1">
      <c r="A17" s="3457">
        <v>15</v>
      </c>
      <c r="B17" s="3458" t="s">
        <v>3396</v>
      </c>
      <c r="C17" s="3458" t="s">
        <v>673</v>
      </c>
      <c r="D17" s="3459">
        <v>3499.73</v>
      </c>
      <c r="E17" s="3459">
        <v>5</v>
      </c>
      <c r="F17" s="3455" t="s">
        <v>21</v>
      </c>
    </row>
    <row r="18" spans="1:6" ht="14.25" thickBot="1">
      <c r="A18" s="3457">
        <v>16</v>
      </c>
      <c r="B18" s="3458" t="s">
        <v>3390</v>
      </c>
      <c r="C18" s="3458" t="s">
        <v>673</v>
      </c>
      <c r="D18" s="3459">
        <v>3509.76</v>
      </c>
      <c r="E18" s="3459">
        <v>6</v>
      </c>
      <c r="F18" s="3455" t="s">
        <v>21</v>
      </c>
    </row>
    <row r="19" spans="1:6" ht="14.25" thickBot="1">
      <c r="A19" s="3457">
        <v>17</v>
      </c>
      <c r="B19" s="3458" t="s">
        <v>3395</v>
      </c>
      <c r="C19" s="3458" t="s">
        <v>673</v>
      </c>
      <c r="D19" s="3459">
        <v>3558.12</v>
      </c>
      <c r="E19" s="3459">
        <v>7</v>
      </c>
      <c r="F19" s="3455" t="s">
        <v>21</v>
      </c>
    </row>
    <row r="20" spans="1:6" ht="14.25" thickBot="1">
      <c r="A20" s="3457">
        <v>18</v>
      </c>
      <c r="B20" s="3458" t="s">
        <v>3394</v>
      </c>
      <c r="C20" s="3458" t="s">
        <v>673</v>
      </c>
      <c r="D20" s="3459">
        <v>3558.12</v>
      </c>
      <c r="E20" s="3459">
        <v>8</v>
      </c>
      <c r="F20" s="3455" t="s">
        <v>21</v>
      </c>
    </row>
    <row r="21" spans="1:6" ht="14.25" thickBot="1">
      <c r="A21" s="3457">
        <v>19</v>
      </c>
      <c r="B21" s="3458" t="s">
        <v>3393</v>
      </c>
      <c r="C21" s="3458" t="s">
        <v>673</v>
      </c>
      <c r="D21" s="3459">
        <v>3308.5</v>
      </c>
      <c r="E21" s="3459">
        <v>9</v>
      </c>
      <c r="F21" s="3455" t="s">
        <v>21</v>
      </c>
    </row>
    <row r="22" spans="1:6" ht="14.25" thickBot="1">
      <c r="A22" s="3457">
        <v>20</v>
      </c>
      <c r="B22" s="3458" t="s">
        <v>3392</v>
      </c>
      <c r="C22" s="3458" t="s">
        <v>673</v>
      </c>
      <c r="D22" s="3459">
        <v>3558.12</v>
      </c>
      <c r="E22" s="3459">
        <v>10</v>
      </c>
      <c r="F22" s="3455" t="s">
        <v>21</v>
      </c>
    </row>
    <row r="23" spans="1:6">
      <c r="A23" s="3454" t="s">
        <v>3386</v>
      </c>
      <c r="D23">
        <f>SUM(D3:D22)</f>
        <v>45192.950000000004</v>
      </c>
    </row>
  </sheetData>
  <phoneticPr fontId="137"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7" zoomScale="90" zoomScaleNormal="100" zoomScaleSheetLayoutView="90" workbookViewId="0">
      <selection activeCell="G27" sqref="G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0" t="s">
        <v>1131</v>
      </c>
      <c r="B2" s="3590"/>
      <c r="C2" s="3590"/>
      <c r="D2" s="796" t="s">
        <v>1107</v>
      </c>
      <c r="E2" s="1639" t="s">
        <v>1108</v>
      </c>
      <c r="F2" s="2654"/>
      <c r="G2" s="2645"/>
      <c r="H2" s="2646"/>
      <c r="I2" s="2325" t="s">
        <v>1132</v>
      </c>
      <c r="J2" s="2654"/>
      <c r="K2" s="2654"/>
      <c r="L2" s="2654"/>
      <c r="M2" s="2654"/>
      <c r="N2" s="2656"/>
      <c r="O2" s="2654"/>
      <c r="P2" s="2654"/>
    </row>
    <row r="3" spans="1:16" ht="15.75" thickBot="1">
      <c r="A3" s="3591" t="s">
        <v>1105</v>
      </c>
      <c r="B3" s="3591"/>
      <c r="C3" s="3591"/>
      <c r="D3" s="43">
        <f>'数据-基础表'!AY6</f>
        <v>4420.58</v>
      </c>
      <c r="E3" s="43">
        <f>'数据-基础表'!AZ5</f>
        <v>45192.95</v>
      </c>
      <c r="F3" s="2654"/>
      <c r="G3" s="1145"/>
      <c r="H3" s="1026" t="s">
        <v>1106</v>
      </c>
      <c r="I3" s="855">
        <f>ROUND('数据-基础表'!B3/'数据-基础表'!A3,2)</f>
        <v>10.220000000000001</v>
      </c>
      <c r="J3" s="2654"/>
      <c r="K3" s="2654"/>
      <c r="L3" s="2654"/>
      <c r="M3" s="2654"/>
      <c r="N3" s="2656"/>
      <c r="O3" s="2654"/>
      <c r="P3" s="2654"/>
    </row>
    <row r="4" spans="1:16" ht="15">
      <c r="A4" s="3592"/>
      <c r="B4" s="3593"/>
      <c r="C4" s="3594"/>
      <c r="D4" s="1641" t="s">
        <v>1107</v>
      </c>
      <c r="E4" s="1642" t="s">
        <v>1108</v>
      </c>
      <c r="F4" s="2654"/>
      <c r="G4" s="2647" t="s">
        <v>1133</v>
      </c>
      <c r="H4" s="1026" t="s">
        <v>1113</v>
      </c>
      <c r="I4" s="855">
        <f>ROUND(SUMIF('数据-基础表'!I9:AS9,"地上",'数据-基础表'!I5:AS5)/'数据-基础表'!A3,2)</f>
        <v>7.79</v>
      </c>
      <c r="J4" s="2654"/>
      <c r="K4" s="2654"/>
      <c r="L4" s="2654"/>
      <c r="M4" s="2654"/>
      <c r="N4" s="2656"/>
      <c r="O4" s="2654"/>
      <c r="P4" s="2654"/>
    </row>
    <row r="5" spans="1:16">
      <c r="A5" s="44" t="s">
        <v>1109</v>
      </c>
      <c r="B5" s="3595" t="s">
        <v>1110</v>
      </c>
      <c r="C5" s="3595"/>
      <c r="D5" s="45">
        <f>ROUND($D$3*E5/$E$3,2)</f>
        <v>0</v>
      </c>
      <c r="E5" s="46">
        <f>SUMIF('数据-基础表'!$11:$11,"住宅",'数据-基础表'!$5:$5)</f>
        <v>0</v>
      </c>
      <c r="F5" s="2654"/>
      <c r="G5" s="1145"/>
      <c r="H5" s="1026" t="s">
        <v>1106</v>
      </c>
      <c r="I5" s="855">
        <f>ROUND(E31/D31,2)</f>
        <v>10.220000000000001</v>
      </c>
      <c r="J5" s="2654"/>
      <c r="K5" s="2654"/>
      <c r="L5" s="2654"/>
      <c r="M5" s="2654"/>
      <c r="N5" s="2654"/>
      <c r="O5" s="2654"/>
      <c r="P5" s="2654"/>
    </row>
    <row r="6" spans="1:16" ht="15" thickBot="1">
      <c r="A6" s="1644"/>
      <c r="B6" s="3595" t="s">
        <v>1111</v>
      </c>
      <c r="C6" s="3595"/>
      <c r="D6" s="45">
        <f>ROUND($D$3*E6/$E$3,2)</f>
        <v>4420.58</v>
      </c>
      <c r="E6" s="46">
        <f>E3-E5</f>
        <v>45192.95</v>
      </c>
      <c r="F6" s="2654"/>
      <c r="G6" s="2648" t="s">
        <v>1112</v>
      </c>
      <c r="H6" s="1146" t="s">
        <v>1113</v>
      </c>
      <c r="I6" s="2649">
        <f>ROUND(F31/D31,2)</f>
        <v>7.79</v>
      </c>
      <c r="J6" s="2654"/>
      <c r="K6" s="2654"/>
      <c r="L6" s="2654"/>
      <c r="M6" s="2654"/>
      <c r="N6" s="2654"/>
      <c r="O6" s="2654"/>
      <c r="P6" s="2654"/>
    </row>
    <row r="7" spans="1:16" ht="15.75" thickBot="1">
      <c r="A7" s="3587"/>
      <c r="B7" s="3588"/>
      <c r="C7" s="3589"/>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3367.38</v>
      </c>
      <c r="E8" s="48">
        <f>SUMIF('数据-基础表'!BB10:BK10,"地上",'数据-基础表'!BB5:BK5)</f>
        <v>34425.75</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340.6</v>
      </c>
      <c r="E10" s="48">
        <f>SUMPRODUCT(('数据-基础表'!BB10:BK10="地下")*('数据-基础表'!BB11:BK11="商业")*('数据-基础表'!BB5:BK5))</f>
        <v>3482.06</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712.6</v>
      </c>
      <c r="E13" s="48">
        <f>SUMPRODUCT(('数据-基础表'!BB10:BK10="地下")*('数据-基础表'!BB11:BK11="车库")*('数据-基础表'!BB5:BK5))</f>
        <v>7285.14</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4420.58</v>
      </c>
      <c r="E16" s="50">
        <f>SUM(E8:E15)</f>
        <v>45192.95</v>
      </c>
      <c r="F16" s="2654"/>
      <c r="G16" s="2655"/>
      <c r="H16" s="1648" t="s">
        <v>1135</v>
      </c>
      <c r="I16" s="1649"/>
      <c r="J16" s="1139"/>
      <c r="K16" s="3584" t="s">
        <v>1135</v>
      </c>
      <c r="L16" s="3585"/>
      <c r="M16" s="3585"/>
      <c r="N16" s="3585"/>
      <c r="O16" s="3585"/>
      <c r="P16" s="3586"/>
    </row>
    <row r="17" spans="1:19" ht="15">
      <c r="A17" s="1650" t="s">
        <v>1136</v>
      </c>
      <c r="B17" s="1651" t="s">
        <v>1137</v>
      </c>
      <c r="C17" s="1652" t="s">
        <v>1138</v>
      </c>
      <c r="D17" s="1653" t="s">
        <v>1126</v>
      </c>
      <c r="E17" s="1654" t="s">
        <v>1127</v>
      </c>
      <c r="F17" s="1655"/>
      <c r="G17" s="1656"/>
      <c r="H17" s="1657" t="s">
        <v>1139</v>
      </c>
      <c r="I17" s="1658" t="s">
        <v>1124</v>
      </c>
      <c r="J17" s="1139"/>
      <c r="K17" s="3581" t="s">
        <v>1140</v>
      </c>
      <c r="L17" s="3582"/>
      <c r="M17" s="3583"/>
      <c r="N17" s="3581" t="s">
        <v>1141</v>
      </c>
      <c r="O17" s="3582"/>
      <c r="P17" s="358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4686</v>
      </c>
      <c r="D19" s="45">
        <f>ROUND($D$3*E19/$E$3,2)</f>
        <v>4420.58</v>
      </c>
      <c r="E19" s="53">
        <f t="shared" ref="E19:E26" si="1">SUM(F19:G19)</f>
        <v>45192.95</v>
      </c>
      <c r="F19" s="2789">
        <f>'数据-基础表'!I5</f>
        <v>34425.75</v>
      </c>
      <c r="G19" s="2790">
        <f>'数据-基础表'!K5+'数据-基础表'!M5</f>
        <v>10767.2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4420.58</v>
      </c>
      <c r="S19" s="1027">
        <f t="shared" si="5"/>
        <v>45192.95</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4420.58</v>
      </c>
      <c r="E27" s="1141">
        <f>IF(SUM(E19:E26)='数据-基础表'!BA5,SUM(E19:E26),IF(F27="地上面积有误","面积有误","地下面积有误"))</f>
        <v>45192.95</v>
      </c>
      <c r="F27" s="1140">
        <f>IF(SUM(F19:F26)=E8,SUM(F19:F26),"地上面积有误")</f>
        <v>34425.75</v>
      </c>
      <c r="G27" s="1142">
        <f>SUM(G19:G26)</f>
        <v>10767.2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4420.58</v>
      </c>
      <c r="S27" s="1026">
        <f>IF(SUM(S19:S26)=$E$3,SUM(S19:S26),SUM(S19:S26)&amp;"误差"&amp;ROUND(SUM(S19:S26)-E3,2))</f>
        <v>45192.95</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4420.58</v>
      </c>
      <c r="E31" s="676">
        <f>E27+E30</f>
        <v>45192.95</v>
      </c>
      <c r="F31" s="677">
        <f>F27+F30</f>
        <v>34425.75</v>
      </c>
      <c r="G31" s="678">
        <f>G27+G30</f>
        <v>10767.2</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11">
      <c r="D33" s="1678"/>
    </row>
    <row r="34" spans="4:11">
      <c r="F34" s="1638">
        <f>G31/E3</f>
        <v>0.23824954998511938</v>
      </c>
    </row>
    <row r="35" spans="4:11">
      <c r="F35" s="3867" t="s">
        <v>5221</v>
      </c>
      <c r="G35" s="3867" t="s">
        <v>5222</v>
      </c>
      <c r="H35" s="3867" t="s">
        <v>5223</v>
      </c>
      <c r="K35" s="3867" t="s">
        <v>5223</v>
      </c>
    </row>
    <row r="36" spans="4:11">
      <c r="E36" s="3867" t="s">
        <v>5218</v>
      </c>
      <c r="F36" s="1638">
        <f>'数据-取费表'!U19</f>
        <v>31015.839999999997</v>
      </c>
      <c r="G36" s="1638">
        <v>60000</v>
      </c>
      <c r="H36" s="1638">
        <f>ROUND(G36*F36/10000,0)</f>
        <v>186095</v>
      </c>
      <c r="K36" s="1638">
        <f>H36+8*F37/2</f>
        <v>213182.4</v>
      </c>
    </row>
    <row r="37" spans="4:11">
      <c r="E37" s="3867" t="s">
        <v>5219</v>
      </c>
      <c r="F37" s="1638">
        <f>'数据-取费表'!U20</f>
        <v>6771.85</v>
      </c>
      <c r="G37" s="1638">
        <f>(80000+24000)/2</f>
        <v>52000</v>
      </c>
      <c r="H37" s="1638">
        <f>ROUND(G37*F37/10000,0)</f>
        <v>35214</v>
      </c>
      <c r="K37" s="1638">
        <f>6*(F37/2+F38)</f>
        <v>60762.570000000007</v>
      </c>
    </row>
    <row r="38" spans="4:11">
      <c r="E38" s="3867" t="s">
        <v>5220</v>
      </c>
      <c r="F38" s="1638">
        <f>'数据-取费表'!U21</f>
        <v>6741.17</v>
      </c>
      <c r="G38" s="1638">
        <f>20*'数据-取费表'!Y21*10000/F38</f>
        <v>5755.6774269155057</v>
      </c>
      <c r="H38" s="1638">
        <f>ROUND(G38*F38/10000,0)</f>
        <v>3880</v>
      </c>
      <c r="K38" s="1638">
        <f>K37+K36</f>
        <v>273944.96999999997</v>
      </c>
    </row>
    <row r="39" spans="4:11">
      <c r="F39" s="1638">
        <f>SUM(F36:F38)</f>
        <v>44528.859999999993</v>
      </c>
      <c r="H39" s="1638">
        <f>SUM(H36:H38)</f>
        <v>225189</v>
      </c>
      <c r="K39" s="1638">
        <f>(K38-H39)/H39</f>
        <v>0.21651133048239465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45531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综合楼</v>
      </c>
      <c r="B6" s="1713" t="str">
        <f>IF(A6=0,"","经营性")</f>
        <v>经营性</v>
      </c>
      <c r="C6" s="1714" t="s">
        <v>21</v>
      </c>
      <c r="D6" s="858">
        <f>SUMIF(项目基本情况!C$12:I$12,C6,项目基本情况!C$14:I$14)</f>
        <v>50</v>
      </c>
      <c r="E6" s="857">
        <f>IF(B6="","",SUMIF(项目基本情况!C$12:I$12,C6,项目基本情况!C$13:I$13))</f>
        <v>55805</v>
      </c>
      <c r="F6" s="64">
        <f>SUMIF(项目基本情况!C$12:I$12,C6,项目基本情况!C$15:I$15)</f>
        <v>28.14</v>
      </c>
      <c r="G6" s="65">
        <f>IF(ISERROR(ROUND(POWER(1+H6,D6-F6)*(POWER(1+H6,F6)-1)/(POWER(1+H6,D6)-1),3)),0,ROUND(POWER(1+H6,D6-F6)*(POWER(1+H6,F6)-1)/(POWER(1+H6,D6)-1),3))</f>
        <v>0.81799999999999995</v>
      </c>
      <c r="H6" s="732">
        <v>0.05</v>
      </c>
      <c r="I6" s="732">
        <v>0.06</v>
      </c>
      <c r="J6" s="66">
        <v>7.0000000000000007E-2</v>
      </c>
      <c r="K6" s="1030">
        <f>SUMIF('数据-汇总表'!C$19:C$33,A6,'数据-汇总表'!E$19:E$33)</f>
        <v>45192.95</v>
      </c>
      <c r="L6" s="733">
        <v>6000</v>
      </c>
      <c r="M6" s="67">
        <f t="shared" ref="M6:M14" si="0">ROUND(K6*L6/10000,0)</f>
        <v>27116</v>
      </c>
      <c r="N6" s="731">
        <f>N20</f>
        <v>0.83</v>
      </c>
      <c r="O6" s="67" t="str">
        <f>IF($N$5="成新度","——",ROUND(M6*N6,0))</f>
        <v>——</v>
      </c>
      <c r="P6" s="68" t="str">
        <f>IF($N$5="成新度","——",M6-O6)</f>
        <v>——</v>
      </c>
      <c r="Q6" s="734">
        <v>0.2</v>
      </c>
      <c r="R6" s="69">
        <f ca="1">SUMIF('数据-汇总表'!C$19:C$33,A6,'数据-汇总表'!R$19:R$27)</f>
        <v>4420.58</v>
      </c>
      <c r="S6" s="51">
        <f>IF('数据-汇总表'!$I$17="按面积比例",SUMIF('数据-汇总表'!C$19:C$33,A6,'数据-汇总表'!K$19:K$33),SUMIF('数据-汇总表'!C$19:C$33,A6,'数据-汇总表'!N$19:N$33))</f>
        <v>0</v>
      </c>
      <c r="T6" s="1172">
        <f>ROUND($L$14*S6/10000,0)</f>
        <v>0</v>
      </c>
      <c r="U6" s="3422">
        <f>V22</f>
        <v>11.4</v>
      </c>
      <c r="V6" s="70">
        <v>0</v>
      </c>
      <c r="W6" s="70">
        <v>0.08</v>
      </c>
      <c r="X6" s="1040"/>
      <c r="Y6" s="71">
        <f>N6</f>
        <v>0.83</v>
      </c>
      <c r="Z6" s="72"/>
      <c r="AA6" s="66"/>
      <c r="AB6" s="66"/>
      <c r="AC6" s="1040"/>
      <c r="AD6" s="73"/>
      <c r="AE6" s="1041">
        <f ca="1">IF(AN6="",0,SUMIF(INDIRECT("'"&amp;AN6&amp;"'"&amp;"!E:E"),$AE$5,INDIRECT("'"&amp;AN6&amp;"'"&amp;"!F:F")))</f>
        <v>28.14</v>
      </c>
      <c r="AF6" s="1348"/>
      <c r="AG6" s="138">
        <f>IF(AF6="",0,AE6-AF6)</f>
        <v>0</v>
      </c>
      <c r="AH6" s="74"/>
      <c r="AI6" s="76">
        <v>365</v>
      </c>
      <c r="AJ6" s="77"/>
      <c r="AK6" s="78">
        <v>5.0000000000000001E-3</v>
      </c>
      <c r="AL6" s="79">
        <v>1E-3</v>
      </c>
      <c r="AM6" s="80">
        <v>0.01</v>
      </c>
      <c r="AN6" s="1715" t="s">
        <v>4723</v>
      </c>
      <c r="AO6" s="52">
        <f ca="1">SUMIF(INDIRECT("'"&amp;AN6&amp;"'"&amp;"!A:A"),"总价",INDIRECT("'"&amp;AN6&amp;"'"&amp;"!B:B"))</f>
        <v>190127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0.81799999999999995</v>
      </c>
      <c r="H16" s="90">
        <f>ROUND(SUMPRODUCT(H6:H13,K6:K13)/SUMPRODUCT((H6:H13&gt;0)*(K6:K13)),3)</f>
        <v>0.05</v>
      </c>
      <c r="I16" s="91"/>
      <c r="J16" s="91"/>
      <c r="K16" s="92">
        <f>SUM(K6:K15)</f>
        <v>45192.95</v>
      </c>
      <c r="L16" s="93">
        <f>ROUND(M16*10000/SUM(K6:K14),0)</f>
        <v>6000</v>
      </c>
      <c r="M16" s="93">
        <f>SUM(M6:M14)</f>
        <v>27116</v>
      </c>
      <c r="N16" s="94">
        <f>ROUND(SUMPRODUCT(M6:M14,N6:N14)/M16,3)</f>
        <v>0.83</v>
      </c>
      <c r="O16" s="93">
        <f>SUM(O6:O14)</f>
        <v>0</v>
      </c>
      <c r="P16" s="93">
        <f>SUM(P6:P14)</f>
        <v>0</v>
      </c>
      <c r="Q16" s="95">
        <f>ROUND(SUMPRODUCT(Q6:Q13,K6:K13)/SUMPRODUCT((Q6:Q13&gt;0)*(K6:K13)),2)</f>
        <v>0.2</v>
      </c>
      <c r="R16" s="1034">
        <f ca="1">SUM(R6:R13)</f>
        <v>4420.58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471" t="s">
        <v>3444</v>
      </c>
      <c r="N17" s="2666">
        <v>2004</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71" t="s">
        <v>3445</v>
      </c>
      <c r="N18" s="2666">
        <f>ROUND(1-(1-0%)*(2024-N17)/60,3)</f>
        <v>0.66700000000000004</v>
      </c>
      <c r="O18" s="3472">
        <v>0.5</v>
      </c>
      <c r="P18" s="2666"/>
      <c r="Q18" s="2666"/>
      <c r="R18" s="2666"/>
      <c r="S18" s="2666"/>
      <c r="T18" s="2666"/>
      <c r="U18" s="3471" t="s">
        <v>3451</v>
      </c>
      <c r="V18" s="3471" t="s">
        <v>3452</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3" t="s">
        <v>2299</v>
      </c>
      <c r="D19" s="2671"/>
      <c r="E19" s="2668"/>
      <c r="F19" s="2668"/>
      <c r="G19" s="2668"/>
      <c r="H19" s="2668"/>
      <c r="I19" s="2668"/>
      <c r="J19" s="2668"/>
      <c r="K19" s="2667"/>
      <c r="L19" s="2667"/>
      <c r="M19" s="3471" t="s">
        <v>3446</v>
      </c>
      <c r="N19" s="3472">
        <v>1</v>
      </c>
      <c r="O19" s="3472">
        <f>1-O18</f>
        <v>0.5</v>
      </c>
      <c r="P19" s="2666"/>
      <c r="Q19" s="2666"/>
      <c r="R19" s="2666"/>
      <c r="S19" s="2666"/>
      <c r="T19" s="3471" t="s">
        <v>3448</v>
      </c>
      <c r="U19" s="2666">
        <f>SUM(清单!D14:D22)</f>
        <v>31015.839999999997</v>
      </c>
      <c r="V19" s="2666">
        <v>13</v>
      </c>
      <c r="W19" s="1681"/>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4" t="s">
        <v>2297</v>
      </c>
      <c r="D20" s="2671"/>
      <c r="E20" s="2668"/>
      <c r="F20" s="2668"/>
      <c r="G20" s="2668"/>
      <c r="H20" s="2668"/>
      <c r="I20" s="2668"/>
      <c r="J20" s="2668"/>
      <c r="K20" s="2667"/>
      <c r="L20" s="2667"/>
      <c r="M20" s="3471" t="s">
        <v>3447</v>
      </c>
      <c r="N20" s="2666">
        <f>ROUND(N19*O19+N18*O18,2)</f>
        <v>0.83</v>
      </c>
      <c r="O20" s="2666"/>
      <c r="P20" s="2666"/>
      <c r="Q20" s="2666"/>
      <c r="R20" s="2666"/>
      <c r="S20" s="2666"/>
      <c r="T20" s="3471" t="s">
        <v>3449</v>
      </c>
      <c r="U20" s="2666">
        <f>清单!D12+清单!D13</f>
        <v>6771.85</v>
      </c>
      <c r="V20" s="2666">
        <f>20*0.7</f>
        <v>14</v>
      </c>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1475" t="s">
        <v>3433</v>
      </c>
      <c r="L21" s="3463"/>
      <c r="M21" s="3463"/>
      <c r="N21" s="3463"/>
      <c r="O21" s="2666"/>
      <c r="P21" s="2666"/>
      <c r="Q21" s="2666"/>
      <c r="R21" s="2666"/>
      <c r="S21" s="2666"/>
      <c r="T21" s="3471" t="s">
        <v>3450</v>
      </c>
      <c r="U21" s="2666">
        <f>SUM(清单!D9:D10)</f>
        <v>6741.17</v>
      </c>
      <c r="V21" s="2666">
        <v>1.5</v>
      </c>
      <c r="W21" s="2666"/>
      <c r="X21" s="2666"/>
      <c r="Y21" s="2666">
        <v>194</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3464"/>
      <c r="L22" s="3465" t="s">
        <v>3434</v>
      </c>
      <c r="M22" s="3465" t="s">
        <v>3435</v>
      </c>
      <c r="N22" s="3465" t="s">
        <v>3386</v>
      </c>
      <c r="O22" s="2666"/>
      <c r="P22" s="2666"/>
      <c r="Q22" s="2666"/>
      <c r="R22" s="2666"/>
      <c r="S22" s="2666"/>
      <c r="T22" s="2666"/>
      <c r="U22" s="2666">
        <f>SUM(U19:U21)</f>
        <v>44528.859999999993</v>
      </c>
      <c r="V22" s="2666">
        <f>ROUND(V19*U19/U22+V20*U20/U22+V21*U21/U22,1)</f>
        <v>11.4</v>
      </c>
      <c r="W22" s="2666"/>
      <c r="X22" s="2666"/>
      <c r="Y22" s="2666">
        <v>1500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3466" t="s">
        <v>3436</v>
      </c>
      <c r="L23" s="3467">
        <f>L24</f>
        <v>45192.95</v>
      </c>
      <c r="M23" s="3468">
        <f>ROUND(N23*10000/L23,0)</f>
        <v>5091</v>
      </c>
      <c r="N23" s="3468">
        <f>N24+N27+N28+N29</f>
        <v>23007</v>
      </c>
      <c r="O23" s="2666"/>
      <c r="P23" s="2666"/>
      <c r="Q23" s="2666"/>
      <c r="R23" s="2666"/>
      <c r="S23" s="2666"/>
      <c r="T23" s="2666"/>
      <c r="U23" s="2666"/>
      <c r="V23" s="2666"/>
      <c r="W23" s="2666"/>
      <c r="X23" s="2666"/>
      <c r="Y23" s="2666">
        <f>Y22*Y21</f>
        <v>291000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3466" t="s">
        <v>3437</v>
      </c>
      <c r="L24" s="3467">
        <f>L25+L26</f>
        <v>45192.95</v>
      </c>
      <c r="M24" s="3468">
        <f>ROUND(N24*10000/L24,0)</f>
        <v>2291</v>
      </c>
      <c r="N24" s="3468">
        <f>SUM(N25:N26)</f>
        <v>10353</v>
      </c>
      <c r="O24" s="2666"/>
      <c r="P24" s="2666"/>
      <c r="Q24" s="2666"/>
      <c r="R24" s="2666"/>
      <c r="S24" s="2666"/>
      <c r="T24" s="2666"/>
      <c r="U24" s="2666"/>
      <c r="V24" s="2666"/>
      <c r="W24" s="2666"/>
      <c r="X24" s="2666"/>
      <c r="Y24" s="2666">
        <f>Y23/U21/30</f>
        <v>1.4389193567288765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3465" t="s">
        <v>3431</v>
      </c>
      <c r="L25" s="3469">
        <f>'数据-汇总表'!F31</f>
        <v>34425.75</v>
      </c>
      <c r="M25" s="3464">
        <v>1600</v>
      </c>
      <c r="N25" s="3464">
        <f t="shared" ref="N25:N30" si="12">ROUND(M25*L25/10000,0)</f>
        <v>5508</v>
      </c>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3465" t="s">
        <v>3432</v>
      </c>
      <c r="L26" s="3464">
        <f>'数据-汇总表'!G31</f>
        <v>10767.2</v>
      </c>
      <c r="M26" s="3464">
        <v>4500</v>
      </c>
      <c r="N26" s="3464">
        <f t="shared" si="12"/>
        <v>4845</v>
      </c>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5" t="s">
        <v>2301</v>
      </c>
      <c r="D27" s="2674"/>
      <c r="E27" s="2656"/>
      <c r="F27" s="2656"/>
      <c r="G27" s="2668"/>
      <c r="H27" s="2668"/>
      <c r="I27" s="2668"/>
      <c r="J27" s="2668"/>
      <c r="K27" s="3466" t="s">
        <v>3438</v>
      </c>
      <c r="L27" s="3467">
        <f>L24</f>
        <v>45192.95</v>
      </c>
      <c r="M27" s="3468">
        <v>500</v>
      </c>
      <c r="N27" s="3464">
        <f t="shared" si="12"/>
        <v>2260</v>
      </c>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3466" t="s">
        <v>3439</v>
      </c>
      <c r="L28" s="3467">
        <f>L24</f>
        <v>45192.95</v>
      </c>
      <c r="M28" s="3468">
        <v>0</v>
      </c>
      <c r="N28" s="3464">
        <f t="shared" si="12"/>
        <v>0</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904</v>
      </c>
      <c r="C29" s="2796" t="s">
        <v>2290</v>
      </c>
      <c r="D29" s="2674"/>
      <c r="E29" s="2656"/>
      <c r="F29" s="2656"/>
      <c r="G29" s="2668"/>
      <c r="H29" s="2668"/>
      <c r="I29" s="2668"/>
      <c r="J29" s="2668"/>
      <c r="K29" s="3466" t="s">
        <v>3440</v>
      </c>
      <c r="L29" s="3467">
        <f>L24</f>
        <v>45192.95</v>
      </c>
      <c r="M29" s="3468">
        <v>2300</v>
      </c>
      <c r="N29" s="3464">
        <f t="shared" si="12"/>
        <v>10394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3466" t="s">
        <v>3441</v>
      </c>
      <c r="L30" s="3468">
        <f>L26/3</f>
        <v>3589.0666666666671</v>
      </c>
      <c r="M30" s="3468">
        <f>M23</f>
        <v>5091</v>
      </c>
      <c r="N30" s="3464">
        <f t="shared" si="12"/>
        <v>1827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3466"/>
      <c r="L31" s="3470"/>
      <c r="M31" s="3464"/>
      <c r="N31" s="3464"/>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3465" t="s">
        <v>3442</v>
      </c>
      <c r="L32" s="3469">
        <f>L24</f>
        <v>45192.95</v>
      </c>
      <c r="M32" s="3468">
        <f>ROUND(N32*10000/L32,0)</f>
        <v>5495</v>
      </c>
      <c r="N32" s="3464">
        <f>SUM(N23+N30)</f>
        <v>24834</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0.06</v>
      </c>
      <c r="C33" s="2797" t="s">
        <v>3378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2291</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3379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0.03</v>
      </c>
      <c r="C37" s="2797"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0.03</v>
      </c>
      <c r="C38" s="2797"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09" t="s">
        <v>2308</v>
      </c>
      <c r="B40" s="1078">
        <f ca="1">IF(A40="利息：取LPR",存贷款利率!G1,存贷款利率!G1+C40)</f>
        <v>3.3500000000000002E-2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7"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6"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6"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799"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6"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6"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144</v>
      </c>
      <c r="C53" s="2656" t="s">
        <v>1246</v>
      </c>
      <c r="D53" s="2798"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f>C54</f>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96" t="s">
        <v>2282</v>
      </c>
      <c r="B1" s="3597"/>
      <c r="C1" s="3597"/>
      <c r="D1" s="3597"/>
      <c r="E1" s="3597"/>
      <c r="F1" s="3597"/>
      <c r="G1" s="359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73" t="s">
        <v>3460</v>
      </c>
      <c r="D3" s="2461"/>
      <c r="E3" s="2439" t="s">
        <v>2280</v>
      </c>
      <c r="F3" s="2462" t="s">
        <v>2253</v>
      </c>
      <c r="G3" s="2463" t="s">
        <v>2281</v>
      </c>
      <c r="H3" s="799"/>
      <c r="I3" s="799"/>
      <c r="J3" s="799"/>
      <c r="K3" s="799"/>
      <c r="L3" s="799"/>
      <c r="M3" s="799"/>
      <c r="N3" s="799"/>
      <c r="O3" s="799"/>
      <c r="P3" s="799"/>
      <c r="Q3" s="799"/>
      <c r="R3" s="799"/>
    </row>
    <row r="4" spans="1:29" ht="36">
      <c r="A4" s="2439"/>
      <c r="B4" s="323" t="s">
        <v>2254</v>
      </c>
      <c r="C4" s="3474" t="s">
        <v>3462</v>
      </c>
      <c r="D4" s="2461"/>
      <c r="E4" s="2464"/>
      <c r="F4" s="1373" t="s">
        <v>2255</v>
      </c>
      <c r="G4" s="2465" t="s">
        <v>2256</v>
      </c>
      <c r="H4" s="799"/>
      <c r="I4" s="799"/>
      <c r="J4" s="799"/>
      <c r="K4" s="799"/>
      <c r="L4" s="799"/>
      <c r="M4" s="799"/>
      <c r="N4" s="799"/>
      <c r="O4" s="799"/>
      <c r="P4" s="799"/>
      <c r="Q4" s="799"/>
      <c r="R4" s="799"/>
    </row>
    <row r="5" spans="1:29" ht="24">
      <c r="A5" s="2439"/>
      <c r="B5" s="323" t="s">
        <v>2257</v>
      </c>
      <c r="C5" s="3474" t="s">
        <v>4705</v>
      </c>
      <c r="D5" s="2461"/>
      <c r="E5" s="2464"/>
      <c r="F5" s="323" t="s">
        <v>2258</v>
      </c>
      <c r="G5" s="2465" t="s">
        <v>2259</v>
      </c>
      <c r="H5" s="799"/>
      <c r="I5" s="799"/>
      <c r="J5" s="799"/>
      <c r="K5" s="799"/>
      <c r="L5" s="799"/>
      <c r="M5" s="799"/>
      <c r="N5" s="799"/>
      <c r="O5" s="799"/>
      <c r="P5" s="799"/>
      <c r="Q5" s="799"/>
      <c r="R5" s="799"/>
    </row>
    <row r="6" spans="1:29">
      <c r="A6" s="2439"/>
      <c r="B6" s="323" t="s">
        <v>2260</v>
      </c>
      <c r="C6" s="3475" t="s">
        <v>3463</v>
      </c>
      <c r="D6" s="2461"/>
      <c r="E6" s="2464"/>
      <c r="F6" s="323" t="s">
        <v>2261</v>
      </c>
      <c r="G6" s="2465" t="s">
        <v>2262</v>
      </c>
      <c r="H6" s="799"/>
      <c r="I6" s="799"/>
      <c r="J6" s="799"/>
      <c r="K6" s="799"/>
      <c r="L6" s="799"/>
      <c r="M6" s="799"/>
      <c r="N6" s="799"/>
      <c r="O6" s="799"/>
      <c r="P6" s="799"/>
      <c r="Q6" s="799"/>
      <c r="R6" s="799"/>
    </row>
    <row r="7" spans="1:29" ht="24.75" thickBot="1">
      <c r="A7" s="2439"/>
      <c r="B7" s="323" t="s">
        <v>2258</v>
      </c>
      <c r="C7" s="3475" t="s">
        <v>3463</v>
      </c>
      <c r="D7" s="2466"/>
      <c r="E7" s="2467"/>
      <c r="F7" s="2468" t="s">
        <v>2263</v>
      </c>
      <c r="G7" s="2469" t="s">
        <v>2264</v>
      </c>
      <c r="H7" s="799"/>
      <c r="I7" s="799"/>
      <c r="J7" s="799"/>
      <c r="K7" s="799"/>
      <c r="L7" s="799"/>
      <c r="M7" s="799"/>
      <c r="N7" s="799"/>
      <c r="O7" s="799"/>
      <c r="P7" s="799"/>
      <c r="Q7" s="799"/>
      <c r="R7" s="799"/>
    </row>
    <row r="8" spans="1:29">
      <c r="A8" s="2439"/>
      <c r="B8" s="323" t="s">
        <v>2261</v>
      </c>
      <c r="C8" s="3475" t="s">
        <v>3465</v>
      </c>
      <c r="D8" s="2466"/>
      <c r="E8" s="2466"/>
      <c r="F8" s="2470"/>
      <c r="G8" s="2470"/>
      <c r="H8" s="799"/>
      <c r="I8" s="799"/>
      <c r="J8" s="799"/>
      <c r="K8" s="799"/>
      <c r="L8" s="799"/>
      <c r="M8" s="799"/>
      <c r="N8" s="799"/>
      <c r="O8" s="799"/>
      <c r="P8" s="799"/>
      <c r="Q8" s="799"/>
      <c r="R8" s="799"/>
    </row>
    <row r="9" spans="1:29">
      <c r="A9" s="2439"/>
      <c r="B9" s="323" t="s">
        <v>2265</v>
      </c>
      <c r="C9" s="3475" t="s">
        <v>3463</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好</v>
      </c>
      <c r="D16" s="2461"/>
      <c r="E16" s="2444"/>
      <c r="F16" s="2497" t="s">
        <v>2255</v>
      </c>
      <c r="G16" s="2498" t="str">
        <f>G4</f>
        <v>估价对象周边道路状况、公共交通通达情况、停车便捷程度，综合评价交通便捷度较好</v>
      </c>
    </row>
    <row r="17" spans="1:18">
      <c r="A17" s="2443"/>
      <c r="B17" s="2495" t="s">
        <v>2257</v>
      </c>
      <c r="C17" s="2496" t="str">
        <f>C5</f>
        <v>较好</v>
      </c>
      <c r="D17" s="2466"/>
      <c r="E17" s="2444"/>
      <c r="F17" s="2497" t="s">
        <v>2272</v>
      </c>
      <c r="G17" s="2499"/>
    </row>
    <row r="18" spans="1:18" ht="25.5">
      <c r="A18" s="2443"/>
      <c r="B18" s="2497" t="s">
        <v>2260</v>
      </c>
      <c r="C18" s="2498" t="str">
        <f>C6</f>
        <v>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好</v>
      </c>
      <c r="D20" s="2466"/>
      <c r="E20" s="2444"/>
      <c r="F20" s="323" t="s">
        <v>2261</v>
      </c>
      <c r="G20" s="2498" t="str">
        <f>G6</f>
        <v>估价对象所在区域基础设施水平</v>
      </c>
    </row>
    <row r="21" spans="1:18">
      <c r="A21" s="2443"/>
      <c r="B21" s="323" t="s">
        <v>2258</v>
      </c>
      <c r="C21" s="2498" t="str">
        <f>C7</f>
        <v>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45192.95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45531</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202115</v>
      </c>
      <c r="C5" s="2507">
        <f ca="1">IF(B5=D14,结果表!H102,ROUND(B5*10000/$B$1,0))</f>
        <v>44723</v>
      </c>
      <c r="D5" s="2507" t="e">
        <f ca="1">ROUND(B5*10000/$B$2,0)</f>
        <v>#DIV/0!</v>
      </c>
      <c r="E5" s="2681"/>
      <c r="F5" s="2682"/>
      <c r="G5" s="2682"/>
      <c r="H5" s="2683"/>
      <c r="I5" s="2683"/>
      <c r="J5" s="2683"/>
      <c r="K5" s="2683"/>
    </row>
    <row r="6" spans="1:11" ht="16.5">
      <c r="A6" s="2507" t="s">
        <v>656</v>
      </c>
      <c r="B6" s="2507">
        <f ca="1">SUM(G14:G23)</f>
        <v>202115</v>
      </c>
      <c r="C6" s="2507">
        <f ca="1">IF(B6=G14,结果表!H108,ROUND(B6*10000/$B$1,0))</f>
        <v>44723</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5"/>
      <c r="F10" s="3439" t="s">
        <v>3355</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45192.95</v>
      </c>
      <c r="C14" s="2513"/>
      <c r="D14" s="2513">
        <f ca="1">结果表!H101</f>
        <v>202115</v>
      </c>
      <c r="E14" s="2513">
        <f ca="1">ROUND(D14*10000/B14,0)</f>
        <v>44723</v>
      </c>
      <c r="F14" s="2513" t="e">
        <f ca="1">ROUND(D14*10000/C14,0)</f>
        <v>#DIV/0!</v>
      </c>
      <c r="G14" s="2513">
        <f ca="1">结果表!H107</f>
        <v>202115</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0" zoomScale="90" zoomScaleNormal="100" zoomScaleSheetLayoutView="90" zoomScalePageLayoutView="80" workbookViewId="0">
      <selection activeCell="D122" sqref="D122:I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2" t="str">
        <f>项目基本情况!S2</f>
        <v>北京市西城区堂子胡同9号-4层9-1等[20]套全部商业、配套、车库房地产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4" t="s">
        <v>1265</v>
      </c>
      <c r="B4" s="1755" t="s">
        <v>1266</v>
      </c>
      <c r="C4" s="1756" t="s">
        <v>4722</v>
      </c>
      <c r="D4" s="1756" t="s">
        <v>4723</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1268</v>
      </c>
      <c r="B5" s="3599">
        <v>25</v>
      </c>
      <c r="C5" s="3615"/>
      <c r="D5" s="3635"/>
      <c r="E5" s="131" t="s">
        <v>1269</v>
      </c>
      <c r="F5" s="1757"/>
      <c r="G5" s="1757"/>
      <c r="H5" s="1757"/>
      <c r="I5" s="1373"/>
    </row>
    <row r="6" spans="1:12" ht="12.75">
      <c r="A6" s="3612"/>
      <c r="B6" s="3599"/>
      <c r="C6" s="3616"/>
      <c r="D6" s="3635"/>
      <c r="E6" s="131" t="s">
        <v>1270</v>
      </c>
      <c r="F6" s="1757"/>
      <c r="G6" s="1757"/>
      <c r="H6" s="1757"/>
      <c r="I6" s="1373"/>
    </row>
    <row r="7" spans="1:12" ht="12.75">
      <c r="A7" s="3612"/>
      <c r="B7" s="3599"/>
      <c r="C7" s="3617"/>
      <c r="D7" s="3635"/>
      <c r="E7" s="131" t="s">
        <v>1271</v>
      </c>
      <c r="F7" s="1757"/>
      <c r="G7" s="1757"/>
      <c r="H7" s="1757"/>
      <c r="I7" s="1373"/>
    </row>
    <row r="8" spans="1:12" ht="12.75">
      <c r="A8" s="3612" t="s">
        <v>1272</v>
      </c>
      <c r="B8" s="3599">
        <v>15</v>
      </c>
      <c r="C8" s="3615"/>
      <c r="D8" s="3635"/>
      <c r="E8" s="131" t="s">
        <v>1273</v>
      </c>
      <c r="F8" s="1757"/>
      <c r="G8" s="1757"/>
      <c r="H8" s="1757"/>
      <c r="I8" s="1373"/>
    </row>
    <row r="9" spans="1:12" ht="12.75">
      <c r="A9" s="3612"/>
      <c r="B9" s="3599"/>
      <c r="C9" s="3617"/>
      <c r="D9" s="3635"/>
      <c r="E9" s="131" t="s">
        <v>1274</v>
      </c>
      <c r="F9" s="1757"/>
      <c r="G9" s="1757"/>
      <c r="H9" s="1757"/>
      <c r="I9" s="1373"/>
    </row>
    <row r="10" spans="1:12" ht="12.75">
      <c r="A10" s="3612" t="s">
        <v>1275</v>
      </c>
      <c r="B10" s="3599">
        <v>15</v>
      </c>
      <c r="C10" s="3615"/>
      <c r="D10" s="3635"/>
      <c r="E10" s="131" t="s">
        <v>1276</v>
      </c>
      <c r="F10" s="1757"/>
      <c r="G10" s="1757"/>
      <c r="H10" s="1757"/>
      <c r="I10" s="1373"/>
    </row>
    <row r="11" spans="1:12" ht="12.75">
      <c r="A11" s="3612"/>
      <c r="B11" s="3599"/>
      <c r="C11" s="3617"/>
      <c r="D11" s="3635"/>
      <c r="E11" s="131" t="s">
        <v>1277</v>
      </c>
      <c r="F11" s="1757"/>
      <c r="G11" s="1757"/>
      <c r="H11" s="1757"/>
      <c r="I11" s="1373"/>
    </row>
    <row r="12" spans="1:12" ht="12.75">
      <c r="A12" s="3612" t="s">
        <v>1278</v>
      </c>
      <c r="B12" s="3599">
        <v>15</v>
      </c>
      <c r="C12" s="3615"/>
      <c r="D12" s="3635"/>
      <c r="E12" s="131" t="s">
        <v>1279</v>
      </c>
      <c r="F12" s="1757"/>
      <c r="G12" s="1757"/>
      <c r="H12" s="1757"/>
      <c r="I12" s="1373"/>
    </row>
    <row r="13" spans="1:12" ht="12.75">
      <c r="A13" s="3612"/>
      <c r="B13" s="3599"/>
      <c r="C13" s="3617"/>
      <c r="D13" s="3635"/>
      <c r="E13" s="131" t="s">
        <v>1280</v>
      </c>
      <c r="F13" s="1757"/>
      <c r="G13" s="1757"/>
      <c r="H13" s="1757"/>
      <c r="I13" s="1373"/>
    </row>
    <row r="14" spans="1:12" ht="12.75">
      <c r="A14" s="3612" t="s">
        <v>1281</v>
      </c>
      <c r="B14" s="3599">
        <v>30</v>
      </c>
      <c r="C14" s="3615">
        <v>5</v>
      </c>
      <c r="D14" s="3635">
        <f>10-C14</f>
        <v>5</v>
      </c>
      <c r="E14" s="131" t="s">
        <v>1282</v>
      </c>
      <c r="F14" s="1757"/>
      <c r="G14" s="1757"/>
      <c r="H14" s="1757"/>
      <c r="I14" s="1373"/>
    </row>
    <row r="15" spans="1:12" ht="12.75">
      <c r="A15" s="3612"/>
      <c r="B15" s="3599"/>
      <c r="C15" s="3616"/>
      <c r="D15" s="3635"/>
      <c r="E15" s="131" t="s">
        <v>1283</v>
      </c>
      <c r="F15" s="1757"/>
      <c r="G15" s="1757"/>
      <c r="H15" s="1757"/>
      <c r="I15" s="1373"/>
    </row>
    <row r="16" spans="1:12" ht="12.75">
      <c r="A16" s="3612"/>
      <c r="B16" s="3599"/>
      <c r="C16" s="3617"/>
      <c r="D16" s="363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22" t="s">
        <v>2131</v>
      </c>
      <c r="F18" s="3623"/>
      <c r="G18" s="3623"/>
      <c r="H18" s="3623"/>
      <c r="I18" s="3623"/>
      <c r="K18" s="302" t="s">
        <v>1289</v>
      </c>
      <c r="L18" s="302">
        <f>IF(C1="",'数据-汇总表'!E3,SUMIF(项目类型,C1,'数据-汇总表'!E17:E26)+SUMIF(项目类型,C1,'数据-汇总表'!I17:I26))</f>
        <v>45192.95</v>
      </c>
      <c r="M18" s="302">
        <f>IF(C1="",'数据-汇总表'!E3,SUMIF(项目类型,C1,'数据-汇总表'!E17:E26))</f>
        <v>45192.95</v>
      </c>
    </row>
    <row r="19" spans="1:36" ht="15">
      <c r="A19" s="1761" t="s">
        <v>1290</v>
      </c>
      <c r="B19" s="1762" t="s">
        <v>1291</v>
      </c>
      <c r="C19" s="134">
        <f ca="1">SUMIF(INDIRECT("'"&amp;C4&amp;"'"&amp;"!A:A"),结果表!B19,INDIRECT("'"&amp;C4&amp;"'"&amp;"!B:B"))</f>
        <v>214102</v>
      </c>
      <c r="D19" s="135">
        <f ca="1">SUMIF(INDIRECT("'"&amp;D4&amp;"'"&amp;"!A:A"),结果表!B19,INDIRECT("'"&amp;D4&amp;"'"&amp;"!B:B"))</f>
        <v>190127</v>
      </c>
      <c r="E19" s="1761" t="s">
        <v>1292</v>
      </c>
      <c r="F19" s="1762" t="s">
        <v>1291</v>
      </c>
      <c r="G19" s="136">
        <f ca="1">ROUND(C19*$C$18+D19*$D$18,0)</f>
        <v>202115</v>
      </c>
      <c r="H19" s="1763" t="s">
        <v>1293</v>
      </c>
      <c r="I19" s="129" t="s">
        <v>4693</v>
      </c>
      <c r="J19" s="725">
        <v>221668</v>
      </c>
      <c r="K19" s="302" t="s">
        <v>1294</v>
      </c>
      <c r="L19" s="302">
        <f>IF(C1="",'数据-汇总表'!D3,SUMIF(项目类型,C1,'数据-汇总表'!D17:D26)+SUMIF(项目类型,C1,'数据-汇总表'!H17:H27))</f>
        <v>4420.58</v>
      </c>
      <c r="M19" s="302">
        <f>IF(C1="",'数据-汇总表'!D3,SUMIF(项目类型,C1,'数据-汇总表'!D17:D26))</f>
        <v>4420.58</v>
      </c>
    </row>
    <row r="20" spans="1:36" ht="15">
      <c r="A20" s="1764"/>
      <c r="B20" s="1026" t="s">
        <v>1295</v>
      </c>
      <c r="C20" s="137">
        <f ca="1">SUMIF(INDIRECT("'"&amp;C4&amp;"'"&amp;"!A:A"),结果表!B20,INDIRECT("'"&amp;C4&amp;"'"&amp;"!B:B"))</f>
        <v>47375</v>
      </c>
      <c r="D20" s="138">
        <f ca="1">SUMIF(INDIRECT("'"&amp;D4&amp;"'"&amp;"!A:A"),结果表!B20,INDIRECT("'"&amp;D4&amp;"'"&amp;"!B:B"))</f>
        <v>42070</v>
      </c>
      <c r="E20" s="1764"/>
      <c r="F20" s="1026" t="s">
        <v>1295</v>
      </c>
      <c r="G20" s="139">
        <f ca="1">ROUND(C20*$C$18+D20*$D$18,0)</f>
        <v>44723</v>
      </c>
      <c r="H20" s="808" t="s">
        <v>1296</v>
      </c>
      <c r="I20" s="129" t="s">
        <v>4694</v>
      </c>
      <c r="J20" s="725">
        <v>212611</v>
      </c>
    </row>
    <row r="21" spans="1:36" ht="15" customHeight="1" thickBot="1">
      <c r="A21" s="828"/>
      <c r="B21" s="1765" t="s">
        <v>1297</v>
      </c>
      <c r="C21" s="719">
        <f ca="1">ROUND(C19*10000/L19,0)</f>
        <v>484330</v>
      </c>
      <c r="D21" s="720">
        <f ca="1">ROUND(D19*10000/L19,0)</f>
        <v>430095</v>
      </c>
      <c r="E21" s="828"/>
      <c r="F21" s="1765" t="s">
        <v>1297</v>
      </c>
      <c r="G21" s="140">
        <f ca="1">ROUND(G19*10000/L19,0)</f>
        <v>457214</v>
      </c>
      <c r="H21" s="1766" t="s">
        <v>1296</v>
      </c>
      <c r="I21" s="129"/>
    </row>
    <row r="22" spans="1:36" ht="15" thickBot="1">
      <c r="A22" s="1688" t="s">
        <v>1298</v>
      </c>
      <c r="B22" s="1767"/>
      <c r="C22" s="1768"/>
      <c r="D22" s="721">
        <f ca="1">IF(C19&lt;D19,D19/C19-1,C19/D19-1)</f>
        <v>0.12609992268325909</v>
      </c>
      <c r="E22" s="129"/>
      <c r="F22" s="129"/>
      <c r="G22" s="129"/>
      <c r="H22" s="129"/>
      <c r="I22" s="129"/>
    </row>
    <row r="23" spans="1:36" ht="13.5" thickBot="1">
      <c r="A23" s="1747"/>
      <c r="B23" s="1747"/>
      <c r="C23" s="1747"/>
      <c r="D23" s="1747"/>
      <c r="E23" s="129"/>
      <c r="F23" s="129"/>
      <c r="G23" s="129"/>
      <c r="H23" s="129"/>
      <c r="I23" s="129"/>
    </row>
    <row r="24" spans="1:36" ht="14.25">
      <c r="A24" s="3606" t="s">
        <v>1299</v>
      </c>
      <c r="B24" s="1762" t="s">
        <v>1291</v>
      </c>
      <c r="C24" s="136">
        <f>IF(B30=0,0,D30)</f>
        <v>0</v>
      </c>
      <c r="D24" s="1769"/>
      <c r="E24" s="129"/>
      <c r="F24" s="129"/>
      <c r="G24" s="129"/>
      <c r="H24" s="129"/>
      <c r="I24" s="129"/>
    </row>
    <row r="25" spans="1:36" ht="14.25">
      <c r="A25" s="360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202115</v>
      </c>
      <c r="D32" s="1775" t="s">
        <v>4687</v>
      </c>
      <c r="E32" s="129"/>
      <c r="F32" s="129"/>
      <c r="G32" s="129"/>
      <c r="H32" s="129"/>
      <c r="I32" s="129"/>
    </row>
    <row r="33" spans="1:15" ht="15">
      <c r="A33" s="786" t="s">
        <v>1306</v>
      </c>
      <c r="B33" s="1776"/>
      <c r="C33" s="1777" t="s">
        <v>4724</v>
      </c>
      <c r="D33" s="1778" t="s">
        <v>4723</v>
      </c>
      <c r="E33" s="1779" t="s">
        <v>1307</v>
      </c>
      <c r="F33" s="1780" t="str">
        <f>IF(D32="楼面单价","取值（单价）","取值（总价）")</f>
        <v>取值（总价）</v>
      </c>
      <c r="G33" s="129"/>
      <c r="H33" s="129"/>
      <c r="I33" s="129"/>
    </row>
    <row r="34" spans="1:15" ht="15">
      <c r="A34" s="1781"/>
      <c r="B34" s="1782" t="s">
        <v>1308</v>
      </c>
      <c r="C34" s="148">
        <f ca="1">IF(C33="自定义",F34,C32-C35)</f>
        <v>166745</v>
      </c>
      <c r="D34" s="861">
        <f ca="1">IF(C33="自定义",ROUND(C34/C32,3),IF(C33="收益比率",SUMIF(INDIRECT("'"&amp;D33&amp;"'"&amp;"!b:b"),"土地收益比率",INDIRECT("'"&amp;D33&amp;"'"&amp;"!c:c")),SUMIF(INDIRECT("'"&amp;D33&amp;"'"&amp;"!b:b"),"土地成本比率",INDIRECT("'"&amp;D33&amp;"'"&amp;"!c:c"))))</f>
        <v>0.82499999999999996</v>
      </c>
      <c r="E34" s="1783" t="s">
        <v>1309</v>
      </c>
      <c r="F34" s="1330"/>
      <c r="G34" s="129"/>
      <c r="H34" s="129"/>
      <c r="I34" s="129"/>
    </row>
    <row r="35" spans="1:15" ht="15.75" thickBot="1">
      <c r="A35" s="1784"/>
      <c r="B35" s="1785" t="s">
        <v>1310</v>
      </c>
      <c r="C35" s="1170">
        <f ca="1">IF(C33="自定义",F35,ROUND(C32*D35,0))</f>
        <v>35370</v>
      </c>
      <c r="D35" s="1171">
        <f ca="1">IF(C33="自定义",ROUND(C35/C32,3),IF(C33="收益比率",SUMIF(INDIRECT("'"&amp;D33&amp;"'"&amp;"!b:b"),"建筑物收益比率",INDIRECT("'"&amp;D33&amp;"'"&amp;"!c:c")),SUMIF(INDIRECT("'"&amp;D33&amp;"'"&amp;"!b:b"),"建筑物成本比率",INDIRECT("'"&amp;D33&amp;"'"&amp;"!c:c"))))</f>
        <v>0.17499999999999999</v>
      </c>
      <c r="E35" s="1786" t="s">
        <v>1311</v>
      </c>
      <c r="F35" s="154"/>
      <c r="G35" s="129"/>
      <c r="H35" s="129"/>
      <c r="I35" s="129"/>
    </row>
    <row r="36" spans="1:15" ht="15.75" thickBot="1">
      <c r="A36" s="3626" t="s">
        <v>1312</v>
      </c>
      <c r="B36" s="1787" t="s">
        <v>1313</v>
      </c>
      <c r="C36" s="145"/>
      <c r="D36" s="1788" t="s">
        <v>4688</v>
      </c>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03" t="s">
        <v>1326</v>
      </c>
      <c r="B45" s="3604"/>
      <c r="C45" s="3605"/>
      <c r="D45" s="155">
        <f ca="1">ROUND(H101*F45,0)</f>
        <v>202115</v>
      </c>
      <c r="E45" s="156" t="s">
        <v>1327</v>
      </c>
      <c r="F45" s="157">
        <v>1</v>
      </c>
      <c r="G45" s="158" t="s">
        <v>1328</v>
      </c>
      <c r="H45" s="129"/>
      <c r="I45" s="129"/>
      <c r="J45" s="3681" t="s">
        <v>1329</v>
      </c>
      <c r="K45" s="3681"/>
      <c r="L45" s="3681"/>
      <c r="M45" s="3681"/>
      <c r="N45" s="3681"/>
      <c r="O45" s="3681"/>
    </row>
    <row r="46" spans="1:15" ht="14.25" hidden="1" customHeight="1">
      <c r="A46" s="3600" t="s">
        <v>1330</v>
      </c>
      <c r="B46" s="3601"/>
      <c r="C46" s="3601"/>
      <c r="D46" s="3601"/>
      <c r="E46" s="3601"/>
      <c r="F46" s="3601"/>
      <c r="G46" s="3602"/>
      <c r="H46" s="1806"/>
      <c r="I46" s="159"/>
      <c r="J46" s="2518">
        <v>1</v>
      </c>
      <c r="K46" s="3662" t="s">
        <v>1331</v>
      </c>
      <c r="L46" s="3662"/>
      <c r="M46" s="3682"/>
      <c r="N46" s="3682"/>
      <c r="O46" s="3682"/>
    </row>
    <row r="47" spans="1:15" ht="12" hidden="1" customHeight="1">
      <c r="A47" s="160" t="s">
        <v>1332</v>
      </c>
      <c r="B47" s="161"/>
      <c r="C47" s="162"/>
      <c r="D47" s="1087" t="s">
        <v>1333</v>
      </c>
      <c r="E47" s="302" t="s">
        <v>1334</v>
      </c>
      <c r="F47" s="163" t="s">
        <v>1335</v>
      </c>
      <c r="G47" s="2541" t="s">
        <v>1336</v>
      </c>
      <c r="H47" s="2542"/>
      <c r="I47" s="159"/>
      <c r="J47" s="2518">
        <v>2</v>
      </c>
      <c r="K47" s="3662" t="s">
        <v>1337</v>
      </c>
      <c r="L47" s="3662"/>
      <c r="M47" s="3683">
        <f>'数据-取费表'!B2</f>
        <v>45531</v>
      </c>
      <c r="N47" s="3683"/>
      <c r="O47" s="3683"/>
    </row>
    <row r="48" spans="1:15" ht="25.5" hidden="1">
      <c r="A48" s="3631" t="s">
        <v>1338</v>
      </c>
      <c r="B48" s="3614"/>
      <c r="C48" s="3614"/>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1339</v>
      </c>
      <c r="H48" s="2545"/>
      <c r="I48" s="1806"/>
      <c r="J48" s="2518">
        <v>3</v>
      </c>
      <c r="K48" s="3662" t="s">
        <v>1340</v>
      </c>
      <c r="L48" s="3662"/>
      <c r="M48" s="3684">
        <f ca="1">H101</f>
        <v>202115</v>
      </c>
      <c r="N48" s="3684"/>
      <c r="O48" s="3684"/>
    </row>
    <row r="49" spans="1:35" ht="25.5" hidden="1" customHeight="1">
      <c r="A49" s="2333" t="s">
        <v>1341</v>
      </c>
      <c r="B49" s="3598" t="s">
        <v>1342</v>
      </c>
      <c r="C49" s="3598"/>
      <c r="D49" s="1590">
        <v>0</v>
      </c>
      <c r="E49" s="324" t="s">
        <v>1343</v>
      </c>
      <c r="F49" s="2421" t="s">
        <v>28</v>
      </c>
      <c r="G49" s="3668"/>
      <c r="H49" s="2310" t="s">
        <v>2134</v>
      </c>
      <c r="I49" s="2311"/>
      <c r="J49" s="2518">
        <v>4</v>
      </c>
      <c r="K49" s="3662" t="str">
        <f>IF(项目基本情况!E8="房地产抵押价值","房地产抵押价值","抵押担保权已注销时的房地产抵押价值")</f>
        <v>房地产抵押价值</v>
      </c>
      <c r="L49" s="3662"/>
      <c r="M49" s="3684">
        <f ca="1">IF(项目基本情况!E8="房地产抵押价值",H107,H109)</f>
        <v>202115</v>
      </c>
      <c r="N49" s="3684"/>
      <c r="O49" s="3684"/>
    </row>
    <row r="50" spans="1:35" ht="25.5" hidden="1" customHeight="1">
      <c r="A50" s="2546"/>
      <c r="B50" s="3598" t="s">
        <v>1344</v>
      </c>
      <c r="C50" s="3598"/>
      <c r="D50" s="2547"/>
      <c r="E50" s="332"/>
      <c r="F50" s="2421"/>
      <c r="G50" s="3669"/>
      <c r="H50" s="2312" t="s">
        <v>2135</v>
      </c>
      <c r="I50" s="2311"/>
      <c r="J50" s="3681" t="s">
        <v>1345</v>
      </c>
      <c r="K50" s="3681"/>
      <c r="L50" s="3681"/>
      <c r="M50" s="3681"/>
      <c r="N50" s="3681"/>
      <c r="O50" s="3681"/>
    </row>
    <row r="51" spans="1:35" ht="20.45" hidden="1" customHeight="1">
      <c r="A51" s="2548"/>
      <c r="B51" s="3598" t="s">
        <v>1346</v>
      </c>
      <c r="C51" s="3598"/>
      <c r="D51" s="1087"/>
      <c r="E51" s="327"/>
      <c r="F51" s="2421"/>
      <c r="G51" s="3670"/>
      <c r="H51" s="2312" t="s">
        <v>2136</v>
      </c>
      <c r="I51" s="2311"/>
      <c r="J51" s="2519" t="s">
        <v>1347</v>
      </c>
      <c r="K51" s="3662" t="s">
        <v>1348</v>
      </c>
      <c r="L51" s="3662"/>
      <c r="M51" s="2519" t="s">
        <v>1349</v>
      </c>
      <c r="N51" s="2519" t="s">
        <v>1350</v>
      </c>
      <c r="O51" s="2519" t="s">
        <v>1351</v>
      </c>
    </row>
    <row r="52" spans="1:35" ht="24" hidden="1" customHeight="1">
      <c r="A52" s="2335" t="s">
        <v>1352</v>
      </c>
      <c r="B52" s="3598" t="s">
        <v>1353</v>
      </c>
      <c r="C52" s="3598"/>
      <c r="D52" s="1087">
        <f ca="1">ROUND(D45*'数据-取费表'!B41/(1+'数据-取费表'!C42),0)</f>
        <v>10779</v>
      </c>
      <c r="E52" s="2334" t="s">
        <v>1354</v>
      </c>
      <c r="F52" s="2549">
        <f>'数据-取费表'!B41</f>
        <v>5.6000000000000001E-2</v>
      </c>
      <c r="G52" s="2550"/>
      <c r="H52" s="2539"/>
      <c r="I52" s="1807"/>
      <c r="J52" s="2518">
        <v>1</v>
      </c>
      <c r="K52" s="3663" t="s">
        <v>1355</v>
      </c>
      <c r="L52" s="3663"/>
      <c r="M52" s="2520" t="b">
        <f>D48</f>
        <v>0</v>
      </c>
      <c r="N52" s="2518" t="str">
        <f>E48</f>
        <v>销售额×税（费）率</v>
      </c>
      <c r="O52" s="2521">
        <f>F48</f>
        <v>5.6000000000000001E-2</v>
      </c>
    </row>
    <row r="53" spans="1:35" ht="12" hidden="1" customHeight="1">
      <c r="A53" s="2335" t="s">
        <v>1356</v>
      </c>
      <c r="B53" s="3624" t="s">
        <v>2287</v>
      </c>
      <c r="C53" s="3625"/>
      <c r="D53" s="1087">
        <f ca="1">ROUND(D45*'数据-取费表'!B41/(1+'数据-取费表'!C42),0)</f>
        <v>10779</v>
      </c>
      <c r="E53" s="2334" t="s">
        <v>1354</v>
      </c>
      <c r="F53" s="2549">
        <f>'数据-取费表'!B41</f>
        <v>5.6000000000000001E-2</v>
      </c>
      <c r="G53" s="2550"/>
      <c r="H53" s="2539"/>
      <c r="I53" s="1807"/>
      <c r="J53" s="2518">
        <v>2</v>
      </c>
      <c r="K53" s="3663" t="s">
        <v>1357</v>
      </c>
      <c r="L53" s="3663"/>
      <c r="M53" s="2520">
        <f t="shared" ref="M53:O54" ca="1" si="0">D55</f>
        <v>101</v>
      </c>
      <c r="N53" s="2518" t="str">
        <f t="shared" si="0"/>
        <v>销售额×税（费）率</v>
      </c>
      <c r="O53" s="2521" t="str">
        <f t="shared" si="0"/>
        <v>免征</v>
      </c>
    </row>
    <row r="54" spans="1:35" ht="12" hidden="1" customHeight="1">
      <c r="A54" s="2335" t="s">
        <v>1358</v>
      </c>
      <c r="B54" s="3624" t="s">
        <v>2288</v>
      </c>
      <c r="C54" s="3625"/>
      <c r="D54" s="1087">
        <f ca="1">C68</f>
        <v>10779</v>
      </c>
      <c r="E54" s="327" t="s">
        <v>1359</v>
      </c>
      <c r="F54" s="2549">
        <f>'数据-取费表'!B41</f>
        <v>5.6000000000000001E-2</v>
      </c>
      <c r="G54" s="2550"/>
      <c r="H54" s="2551"/>
      <c r="I54" s="1807"/>
      <c r="J54" s="2518">
        <v>3</v>
      </c>
      <c r="K54" s="3663" t="s">
        <v>1360</v>
      </c>
      <c r="L54" s="3663"/>
      <c r="M54" s="2520">
        <f t="shared" ca="1" si="0"/>
        <v>114397</v>
      </c>
      <c r="N54" s="2518" t="str">
        <f t="shared" si="0"/>
        <v>增值额×税（费）率</v>
      </c>
      <c r="O54" s="2522" t="str">
        <f t="shared" si="0"/>
        <v>免征</v>
      </c>
    </row>
    <row r="55" spans="1:35" ht="24" hidden="1" customHeight="1">
      <c r="A55" s="3613" t="s">
        <v>1361</v>
      </c>
      <c r="B55" s="3614"/>
      <c r="C55" s="3614"/>
      <c r="D55" s="2324">
        <f ca="1">IF(H55="个人住宅",0,ROUND(D45*I55,0))</f>
        <v>101</v>
      </c>
      <c r="E55" s="2334" t="s">
        <v>1362</v>
      </c>
      <c r="F55" s="2549" t="str">
        <f>IF(H55="正常",I55,"免征")</f>
        <v>免征</v>
      </c>
      <c r="G55" s="2550"/>
      <c r="H55" s="2545"/>
      <c r="I55" s="165">
        <f>'数据-取费表'!B49</f>
        <v>5.0000000000000001E-4</v>
      </c>
      <c r="J55" s="2518">
        <f>IF(H59="非个人房产","",4)</f>
        <v>4</v>
      </c>
      <c r="K55" s="3663" t="str">
        <f>IF(H59="非个人房产","——","个人所得税")</f>
        <v>个人所得税</v>
      </c>
      <c r="L55" s="3663"/>
      <c r="M55" s="2523">
        <f ca="1">D59</f>
        <v>1925</v>
      </c>
      <c r="N55" s="2040" t="str">
        <f>E59</f>
        <v>差额计税</v>
      </c>
      <c r="O55" s="2524">
        <f>F59</f>
        <v>0.01</v>
      </c>
    </row>
    <row r="56" spans="1:35" ht="24.75" hidden="1">
      <c r="A56" s="3613" t="s">
        <v>1363</v>
      </c>
      <c r="B56" s="3614"/>
      <c r="C56" s="3614"/>
      <c r="D56" s="2324">
        <f ca="1">IF(H56="个人住宅",D57,D58)</f>
        <v>114397</v>
      </c>
      <c r="E56" s="2334" t="s">
        <v>1364</v>
      </c>
      <c r="F56" s="2549" t="str">
        <f>IF(H56="正常",F58,"免征")</f>
        <v>免征</v>
      </c>
      <c r="G56" s="2552" t="s">
        <v>1365</v>
      </c>
      <c r="H56" s="2553"/>
      <c r="I56" s="1808"/>
      <c r="J56" s="2518" t="str">
        <f>IF(项目基本情况!K6="上海银行",IF(J55="",4,J55+1),"")</f>
        <v/>
      </c>
      <c r="K56" s="3686" t="str">
        <f>IF(项目基本情况!K6="上海银行","其他处置费用","")</f>
        <v/>
      </c>
      <c r="L56" s="3687"/>
      <c r="M56" s="2520" t="str">
        <f>IF(项目基本情况!K6="上海银行",M69,"")</f>
        <v/>
      </c>
      <c r="N56" s="3686" t="str">
        <f>IF(项目基本情况!K6="上海银行","包含处置中涉及的律师、诉讼、拍卖、评估等费用","")</f>
        <v/>
      </c>
      <c r="O56" s="3689"/>
    </row>
    <row r="57" spans="1:35" ht="12.75" hidden="1">
      <c r="A57" s="2335" t="s">
        <v>1341</v>
      </c>
      <c r="B57" s="3624" t="s">
        <v>1366</v>
      </c>
      <c r="C57" s="3625"/>
      <c r="D57" s="1590">
        <v>0</v>
      </c>
      <c r="E57" s="324" t="s">
        <v>1343</v>
      </c>
      <c r="F57" s="302"/>
      <c r="G57" s="2550"/>
      <c r="H57" s="2554"/>
      <c r="I57" s="1808"/>
      <c r="J57" s="3663">
        <f>IF(AND(J55="",J56=""),4,IF(项目基本情况!K6="上海银行",结果表!J56+1,结果表!J55+1))</f>
        <v>5</v>
      </c>
      <c r="K57" s="3663" t="s">
        <v>1367</v>
      </c>
      <c r="L57" s="2525" t="s">
        <v>1368</v>
      </c>
      <c r="M57" s="2526"/>
      <c r="N57" s="2527">
        <f ca="1">SUMIF(M52:M56,"&lt;9e307")</f>
        <v>116423</v>
      </c>
      <c r="O57" s="2528"/>
      <c r="P57" s="2685">
        <f ca="1">N57/M49</f>
        <v>0.57602355094871727</v>
      </c>
    </row>
    <row r="58" spans="1:35" ht="24.75" hidden="1">
      <c r="A58" s="2335" t="s">
        <v>1352</v>
      </c>
      <c r="B58" s="3624" t="s">
        <v>1369</v>
      </c>
      <c r="C58" s="3598"/>
      <c r="D58" s="2324">
        <f ca="1">IF(H58="转让取得",C81,C97)</f>
        <v>114397</v>
      </c>
      <c r="E58" s="2334" t="s">
        <v>1364</v>
      </c>
      <c r="F58" s="302" t="s">
        <v>28</v>
      </c>
      <c r="G58" s="2550"/>
      <c r="H58" s="2553"/>
      <c r="I58" s="1808"/>
      <c r="J58" s="3663"/>
      <c r="K58" s="3663"/>
      <c r="L58" s="2525" t="s">
        <v>1370</v>
      </c>
      <c r="M58" s="2529"/>
      <c r="N58" s="2530" t="str">
        <f ca="1">NUMBERSTRING(INT(N57*10000),2)&amp;"元整"</f>
        <v>壹拾壹亿陆仟肆佰贰拾叁万元整</v>
      </c>
      <c r="O58" s="2531"/>
    </row>
    <row r="59" spans="1:35" ht="24.75" hidden="1" thickBot="1">
      <c r="A59" s="3666" t="s">
        <v>1371</v>
      </c>
      <c r="B59" s="3667"/>
      <c r="C59" s="3667"/>
      <c r="D59" s="2555">
        <f ca="1">IF(H59="非个人房产","——",IF(H59="个人住宅（满五唯一有凭证）",0,IF(H59="个人其他（无凭证）",ROUND(D45*F59,0),ROUND(C67*F59,0))))</f>
        <v>1925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4"/>
      <c r="I59" s="2313" t="s">
        <v>2137</v>
      </c>
      <c r="J59" s="3664">
        <f>J57+1</f>
        <v>6</v>
      </c>
      <c r="K59" s="3663" t="s">
        <v>1372</v>
      </c>
      <c r="L59" s="2518" t="s">
        <v>1368</v>
      </c>
      <c r="M59" s="2532"/>
      <c r="N59" s="2533">
        <f ca="1">M49-N57</f>
        <v>85692</v>
      </c>
      <c r="O59" s="2534"/>
    </row>
    <row r="60" spans="1:35" ht="12" hidden="1" customHeight="1">
      <c r="A60" s="1809"/>
      <c r="B60" s="1747"/>
      <c r="C60" s="1747"/>
      <c r="D60" s="1747"/>
      <c r="E60" s="1578"/>
      <c r="F60" s="1808"/>
      <c r="G60" s="1808"/>
      <c r="H60" s="1810"/>
      <c r="I60" s="129"/>
      <c r="J60" s="3665"/>
      <c r="K60" s="3663"/>
      <c r="L60" s="2525" t="s">
        <v>1370</v>
      </c>
      <c r="M60" s="2529"/>
      <c r="N60" s="2530" t="str">
        <f ca="1">NUMBERSTRING(INT(N59*10000),2)&amp;"元整"</f>
        <v>捌亿伍仟陆佰玖拾贰万元整</v>
      </c>
      <c r="O60" s="2531"/>
    </row>
    <row r="61" spans="1:35" ht="13.5" hidden="1" thickBot="1">
      <c r="A61" s="3611" t="s">
        <v>1373</v>
      </c>
      <c r="B61" s="3611"/>
      <c r="C61" s="3611"/>
      <c r="D61" s="3611"/>
      <c r="E61" s="3611"/>
      <c r="F61" s="1808"/>
      <c r="G61" s="1808"/>
      <c r="H61" s="1810"/>
      <c r="I61" s="129"/>
      <c r="J61" s="2518">
        <f>J59+1</f>
        <v>7</v>
      </c>
      <c r="K61" s="3663" t="s">
        <v>1374</v>
      </c>
      <c r="L61" s="3663"/>
      <c r="M61" s="2535"/>
      <c r="N61" s="2536">
        <f ca="1">ROUND(N59*10000/'数据-汇总表'!E3,0)</f>
        <v>18961</v>
      </c>
      <c r="O61" s="2537"/>
    </row>
    <row r="62" spans="1:35" ht="12.75" hidden="1">
      <c r="A62" s="3629" t="s">
        <v>1375</v>
      </c>
      <c r="B62" s="3630"/>
      <c r="C62" s="2021"/>
      <c r="D62" s="2021" t="s">
        <v>1376</v>
      </c>
      <c r="E62" s="166" t="s">
        <v>1377</v>
      </c>
      <c r="F62" s="1808"/>
      <c r="G62" s="1808"/>
      <c r="H62" s="1810"/>
      <c r="I62" s="129"/>
    </row>
    <row r="63" spans="1:35" ht="12.75" hidden="1">
      <c r="A63" s="173" t="s">
        <v>330</v>
      </c>
      <c r="B63" s="167" t="s">
        <v>1378</v>
      </c>
      <c r="C63" s="2559">
        <f ca="1">ROUND((C64+C65)/(1+'数据-取费表'!C42),0)</f>
        <v>192490</v>
      </c>
      <c r="D63" s="167"/>
      <c r="E63" s="168"/>
      <c r="F63" s="1808"/>
      <c r="G63" s="1808"/>
      <c r="H63" s="1810"/>
      <c r="I63" s="129"/>
      <c r="J63" s="3688" t="s">
        <v>1379</v>
      </c>
      <c r="K63" s="1332" t="s">
        <v>1380</v>
      </c>
      <c r="L63" s="1332">
        <f ca="1">IF(M49&gt;10000,M49*0.5%,IF(AND(M49&gt;1000,M49&lt;=10000),M49*1%,IF(AND(M49&gt;100,M49&lt;=1000),M49*3%,IF(AND(M49&gt;10,M49&lt;=100),M49*5%,M49*8%))))</f>
        <v>1010.575</v>
      </c>
      <c r="M63" s="302">
        <f ca="1">ROUND(L63,1)</f>
        <v>1010.6</v>
      </c>
      <c r="N63" s="2538"/>
      <c r="Z63" s="1752"/>
      <c r="AI63" s="1753"/>
    </row>
    <row r="64" spans="1:35" ht="14.25" hidden="1" customHeight="1">
      <c r="A64" s="169" t="s">
        <v>325</v>
      </c>
      <c r="B64" s="170" t="s">
        <v>1381</v>
      </c>
      <c r="C64" s="2560">
        <f ca="1">D45</f>
        <v>202115</v>
      </c>
      <c r="D64" s="170" t="s">
        <v>26</v>
      </c>
      <c r="E64" s="172"/>
      <c r="F64" s="1808"/>
      <c r="G64" s="1808"/>
      <c r="H64" s="1810"/>
      <c r="I64" s="129"/>
      <c r="J64" s="3688"/>
      <c r="K64" s="1332" t="s">
        <v>1382</v>
      </c>
      <c r="L64" s="1332">
        <f ca="1">IF(M49&gt;2000,M49*0.5%,IF(AND(M49&gt;1000,M49&lt;=2000),M49*0.6%,IF(AND(M49&gt;500,M49&lt;=1000),M49*0.7%,IF(AND(M49&gt;200,M49&lt;=500),M49*0.8%,IF(AND(M49&gt;100,M49&lt;=200),M49*0.9%,IF(AND(M49&gt;50,M49&lt;=100),M49*1%,IF(AND(M49&gt;20,M49&lt;=50),M49*1.5%,IF(AND(M49&gt;10,M49&lt;=20),M49*2%,IF(AND(M49&gt;1,M49&lt;=10),M49*2.5%)))))))))</f>
        <v>1010.575</v>
      </c>
      <c r="M64" s="302">
        <f t="shared" ref="M64:M65" ca="1" si="1">ROUND(L64,1)</f>
        <v>1010.6</v>
      </c>
      <c r="N64" s="2539" t="s">
        <v>1383</v>
      </c>
      <c r="Z64" s="1752"/>
      <c r="AI64" s="1753"/>
    </row>
    <row r="65" spans="1:35" ht="14.25" hidden="1" customHeight="1">
      <c r="A65" s="169" t="s">
        <v>326</v>
      </c>
      <c r="B65" s="170" t="s">
        <v>1384</v>
      </c>
      <c r="C65" s="2561"/>
      <c r="D65" s="170"/>
      <c r="E65" s="172"/>
      <c r="F65" s="1808"/>
      <c r="G65" s="1808"/>
      <c r="H65" s="1810"/>
      <c r="I65" s="129"/>
      <c r="J65" s="3688"/>
      <c r="K65" s="1332" t="s">
        <v>1385</v>
      </c>
      <c r="L65" s="1332">
        <f ca="1">IF(M49&gt;1000,M49*0.1%,IF(AND(M49&gt;500,M49&lt;=1000),M49*0.5%,IF(AND(M49&gt;50,M49&lt;=500),M49*1%,IF(AND(M49&gt;1,M49&lt;=50),M49*1.5%))))</f>
        <v>202.11500000000001</v>
      </c>
      <c r="M65" s="302">
        <f t="shared" ca="1" si="1"/>
        <v>202.1</v>
      </c>
      <c r="N65" s="2539" t="s">
        <v>1383</v>
      </c>
      <c r="Z65" s="1752"/>
      <c r="AI65" s="1753"/>
    </row>
    <row r="66" spans="1:35" ht="14.25" hidden="1" customHeight="1">
      <c r="A66" s="173" t="s">
        <v>327</v>
      </c>
      <c r="B66" s="174" t="s">
        <v>1386</v>
      </c>
      <c r="C66" s="2562"/>
      <c r="D66" s="174" t="s">
        <v>26</v>
      </c>
      <c r="E66" s="1338" t="s">
        <v>671</v>
      </c>
      <c r="F66" s="1808"/>
      <c r="G66" s="1808"/>
      <c r="H66" s="1810"/>
      <c r="I66" s="129"/>
      <c r="J66" s="3688"/>
      <c r="K66" s="1332" t="s">
        <v>1387</v>
      </c>
      <c r="L66" s="1332">
        <f ca="1">M49*0.5%</f>
        <v>1010.575</v>
      </c>
      <c r="M66" s="302">
        <f ca="1">IF(L66&gt;0.5,0.5,ROUND(L66,0))</f>
        <v>0.5</v>
      </c>
      <c r="N66" s="2539" t="s">
        <v>1388</v>
      </c>
      <c r="Z66" s="1752"/>
      <c r="AI66" s="1753"/>
    </row>
    <row r="67" spans="1:35" ht="14.25" hidden="1" customHeight="1">
      <c r="A67" s="173" t="s">
        <v>328</v>
      </c>
      <c r="B67" s="174" t="s">
        <v>1389</v>
      </c>
      <c r="C67" s="2563">
        <f ca="1">C63-C66</f>
        <v>192490</v>
      </c>
      <c r="D67" s="170" t="s">
        <v>26</v>
      </c>
      <c r="E67" s="172"/>
      <c r="F67" s="1808"/>
      <c r="G67" s="1808"/>
      <c r="H67" s="1810"/>
      <c r="I67" s="129"/>
      <c r="J67" s="3688"/>
      <c r="K67" s="1332" t="s">
        <v>1390</v>
      </c>
      <c r="L67" s="1332">
        <f ca="1">IF(M49&gt;=10000,(8.25+(M49-10000)*0.01%),IF(AND(M49&gt;=8000,M49&lt;10000),(7.85+(M49-8000)*0.02%),IF(AND(M49&gt;=5000,M49&lt;8000),(6.65+(M49-5000)*0.04%),IF(AND(M49&gt;=2000,M49&lt;5000),(4.25+(PM49-2000)*0.08%),IF(AND(M49&gt;=1000,M49&lt;2000),(2.75+(M49-1000)*0.15%),IF(AND(M49&gt;=100,M49&lt;1000),(0.5+(M49-100)*0.25%),IF(AND(M49&gt;0,M49&lt;100),M49*0.5%)))))))</f>
        <v>27.461500000000001</v>
      </c>
      <c r="M67" s="302">
        <f ca="1">ROUND(L67*0.9,1)</f>
        <v>24.7</v>
      </c>
      <c r="N67" s="2538"/>
      <c r="Z67" s="1752"/>
      <c r="AI67" s="1753"/>
    </row>
    <row r="68" spans="1:35" ht="14.25" hidden="1" customHeight="1" thickBot="1">
      <c r="A68" s="176" t="s">
        <v>329</v>
      </c>
      <c r="B68" s="177" t="s">
        <v>1391</v>
      </c>
      <c r="C68" s="2564">
        <f ca="1">IF(C67&lt;=0,0,ROUND(C67*D68,0))</f>
        <v>10779</v>
      </c>
      <c r="D68" s="2565">
        <f>'数据-取费表'!B41</f>
        <v>5.6000000000000001E-2</v>
      </c>
      <c r="E68" s="178"/>
      <c r="F68" s="1808"/>
      <c r="G68" s="1808"/>
      <c r="H68" s="1810"/>
      <c r="I68" s="129"/>
      <c r="J68" s="3688"/>
      <c r="K68" s="1332" t="s">
        <v>1392</v>
      </c>
      <c r="L68" s="1332">
        <f ca="1">IF(M49&gt;10000,M49*0.5%,IF(AND(M49&gt;5000,M49&lt;=10000),M49*1%,IF(AND(M49&gt;1000,M49&lt;=5000),M49*2%,IF(AND(M49&gt;200,M49&lt;=1000),M49*3%,M49*5%))))</f>
        <v>1010.575</v>
      </c>
      <c r="M68" s="302">
        <f ca="1">ROUND(L68,1)</f>
        <v>1010.6</v>
      </c>
      <c r="N68" s="2538"/>
      <c r="Z68" s="1752"/>
      <c r="AI68" s="1753"/>
    </row>
    <row r="69" spans="1:35" s="1772" customFormat="1" ht="16.5" hidden="1" customHeight="1">
      <c r="A69" s="1811"/>
      <c r="B69" s="1812"/>
      <c r="C69" s="1813"/>
      <c r="D69" s="1814"/>
      <c r="E69" s="1815"/>
      <c r="F69" s="1578"/>
      <c r="G69" s="1578"/>
      <c r="H69" s="1577"/>
      <c r="I69" s="1747"/>
      <c r="J69" s="3688"/>
      <c r="K69" s="1332" t="s">
        <v>1393</v>
      </c>
      <c r="L69" s="1332"/>
      <c r="M69" s="302">
        <f ca="1">ROUND(SUM(M63:M68),0)</f>
        <v>3259</v>
      </c>
      <c r="N69" s="2540">
        <f ca="1">M69/M49</f>
        <v>1.6124483586077234E-2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50" t="s">
        <v>1394</v>
      </c>
      <c r="B70" s="3651"/>
      <c r="C70" s="3651"/>
      <c r="D70" s="3651"/>
      <c r="E70" s="3651"/>
      <c r="F70" s="3651"/>
      <c r="G70" s="3651"/>
      <c r="H70" s="3651"/>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29" t="s">
        <v>1375</v>
      </c>
      <c r="B71" s="3630"/>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192490</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1155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624" t="s">
        <v>1402</v>
      </c>
      <c r="F76" s="3598"/>
      <c r="G76" s="3598"/>
      <c r="H76" s="36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1155</v>
      </c>
      <c r="D78" s="2572">
        <f>'数据-取费表'!B43</f>
        <v>6.000000000000001E-3</v>
      </c>
      <c r="E78" s="3608" t="s">
        <v>1406</v>
      </c>
      <c r="F78" s="3609"/>
      <c r="G78" s="3609"/>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191335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165.65800865800867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114397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50" t="s">
        <v>1410</v>
      </c>
      <c r="B83" s="3651"/>
      <c r="C83" s="3651"/>
      <c r="D83" s="3651"/>
      <c r="E83" s="3651"/>
      <c r="F83" s="3651"/>
      <c r="G83" s="3651"/>
      <c r="H83" s="36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9" t="s">
        <v>1375</v>
      </c>
      <c r="B84" s="363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192490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1155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7"/>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7"/>
      <c r="G90" s="3690" t="s">
        <v>2129</v>
      </c>
      <c r="H90" s="3691"/>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608" t="s">
        <v>1422</v>
      </c>
      <c r="F92" s="3609"/>
      <c r="G92" s="3609"/>
      <c r="H92" s="3618"/>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1155</v>
      </c>
      <c r="D93" s="2572">
        <f>'数据-取费表'!B43</f>
        <v>6.000000000000001E-3</v>
      </c>
      <c r="E93" s="3608" t="s">
        <v>1406</v>
      </c>
      <c r="F93" s="3609"/>
      <c r="G93" s="3609"/>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619" t="s">
        <v>1426</v>
      </c>
      <c r="F94" s="3620"/>
      <c r="G94" s="3620"/>
      <c r="H94" s="362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191335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165.65800865800867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114397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2" t="s">
        <v>1428</v>
      </c>
      <c r="B100" s="3593"/>
      <c r="C100" s="3593"/>
      <c r="D100" s="3610"/>
      <c r="E100" s="3593" t="s">
        <v>1429</v>
      </c>
      <c r="F100" s="3593"/>
      <c r="G100" s="3593"/>
      <c r="H100" s="3610"/>
      <c r="I100" s="129"/>
    </row>
    <row r="101" spans="1:35" ht="18.75" customHeight="1">
      <c r="A101" s="3671" t="s">
        <v>1430</v>
      </c>
      <c r="B101" s="3672"/>
      <c r="C101" s="2580" t="str">
        <f>C4</f>
        <v>比较法-办公</v>
      </c>
      <c r="D101" s="2581" t="str">
        <f>D4</f>
        <v>收益法</v>
      </c>
      <c r="E101" s="3685" t="s">
        <v>1431</v>
      </c>
      <c r="F101" s="3642"/>
      <c r="G101" s="1827" t="s">
        <v>1432</v>
      </c>
      <c r="H101" s="2590">
        <f ca="1">H118</f>
        <v>202115</v>
      </c>
      <c r="I101" s="129"/>
    </row>
    <row r="102" spans="1:35" ht="18.75" customHeight="1">
      <c r="A102" s="3644" t="s">
        <v>1433</v>
      </c>
      <c r="B102" s="2579" t="s">
        <v>1432</v>
      </c>
      <c r="C102" s="2580">
        <f ca="1">IF(D32="楼面单价",ROUND(C19,0),C19)</f>
        <v>214102</v>
      </c>
      <c r="D102" s="2581">
        <f ca="1">IF(D32="楼面单价",ROUND(D19,0),D19)</f>
        <v>190127</v>
      </c>
      <c r="E102" s="3685"/>
      <c r="F102" s="3642"/>
      <c r="G102" s="1827" t="s">
        <v>1434</v>
      </c>
      <c r="H102" s="2550">
        <f ca="1">I118</f>
        <v>44723</v>
      </c>
      <c r="I102" s="129"/>
    </row>
    <row r="103" spans="1:35" ht="42.75" customHeight="1">
      <c r="A103" s="3644"/>
      <c r="B103" s="2579" t="s">
        <v>1434</v>
      </c>
      <c r="C103" s="2582">
        <f ca="1">C20</f>
        <v>47375</v>
      </c>
      <c r="D103" s="2583">
        <f ca="1">D20</f>
        <v>42070</v>
      </c>
      <c r="E103" s="3679" t="s">
        <v>1435</v>
      </c>
      <c r="F103" s="3680"/>
      <c r="G103" s="1828" t="s">
        <v>1436</v>
      </c>
      <c r="H103" s="2590">
        <f>IF(D36="正常操作",H104+H105+H106,H105+H106)</f>
        <v>0</v>
      </c>
      <c r="I103" s="129"/>
    </row>
    <row r="104" spans="1:35" ht="18.75" customHeight="1">
      <c r="A104" s="3644" t="s">
        <v>1437</v>
      </c>
      <c r="B104" s="2584" t="s">
        <v>1432</v>
      </c>
      <c r="C104" s="2585">
        <f ca="1">H118</f>
        <v>202115</v>
      </c>
      <c r="D104" s="2586"/>
      <c r="E104" s="1674" t="s">
        <v>1438</v>
      </c>
      <c r="F104" s="1666"/>
      <c r="G104" s="1828" t="s">
        <v>1436</v>
      </c>
      <c r="H104" s="2591" t="str">
        <f>IF(D36="同一抵押权人同一抵押物续贷",C36&amp;"（续贷，未扣减，详见特别提示）",C36)</f>
        <v>（续贷，未扣减，详见特别提示）</v>
      </c>
      <c r="I104" s="129"/>
    </row>
    <row r="105" spans="1:35" ht="18.75" customHeight="1" thickBot="1">
      <c r="A105" s="3645"/>
      <c r="B105" s="2587" t="s">
        <v>1434</v>
      </c>
      <c r="C105" s="2588">
        <f ca="1">I118</f>
        <v>44723</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41" t="str">
        <f>IF(项目基本情况!E8="已注销","——","3.房地产抵押价值")</f>
        <v>3.房地产抵押价值</v>
      </c>
      <c r="F107" s="3642"/>
      <c r="G107" s="1827" t="s">
        <v>1432</v>
      </c>
      <c r="H107" s="2590">
        <f ca="1">IF(E107="——","——",H101-H103)</f>
        <v>202115</v>
      </c>
      <c r="I107" s="129"/>
    </row>
    <row r="108" spans="1:35" ht="18.75" customHeight="1">
      <c r="A108" s="129"/>
      <c r="B108" s="129"/>
      <c r="C108" s="129"/>
      <c r="D108" s="129"/>
      <c r="E108" s="3641"/>
      <c r="F108" s="3642"/>
      <c r="G108" s="1827" t="s">
        <v>1434</v>
      </c>
      <c r="H108" s="2550">
        <f ca="1">IF(H107=H101,H102,ROUND(H107*10000/'数据-汇总表'!E3,0))</f>
        <v>44723</v>
      </c>
      <c r="I108" s="129"/>
    </row>
    <row r="109" spans="1:35" ht="18.75" customHeight="1">
      <c r="A109" s="129"/>
      <c r="B109" s="129"/>
      <c r="C109" s="129"/>
      <c r="D109" s="129"/>
      <c r="E109" s="3641" t="str">
        <f>IF(项目基本情况!E8="已注销及未注销","4.抵押担保权已注销时的房地产抵押价值",IF(项目基本情况!E8="已注销","3.抵押担保权已注销时的房地产抵押价值","——"))</f>
        <v>——</v>
      </c>
      <c r="F109" s="3642"/>
      <c r="G109" s="1827" t="s">
        <v>1432</v>
      </c>
      <c r="H109" s="2593" t="str">
        <f>IF(E109="——","——",H101-H105-H106)</f>
        <v>——</v>
      </c>
      <c r="I109" s="129"/>
    </row>
    <row r="110" spans="1:35" ht="18.75" customHeight="1">
      <c r="A110" s="129"/>
      <c r="B110" s="129"/>
      <c r="C110" s="129"/>
      <c r="D110" s="129"/>
      <c r="E110" s="3641"/>
      <c r="F110" s="3642"/>
      <c r="G110" s="1827" t="s">
        <v>1434</v>
      </c>
      <c r="H110" s="2550"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v>
      </c>
      <c r="F111" s="3643"/>
      <c r="G111" s="1827" t="s">
        <v>1432</v>
      </c>
      <c r="H111" s="2590" t="str">
        <f>IF(E111="——","——",N59)</f>
        <v>——</v>
      </c>
      <c r="I111" s="129"/>
    </row>
    <row r="112" spans="1:35" ht="18.75" customHeight="1" thickBot="1">
      <c r="A112" s="129"/>
      <c r="B112" s="129"/>
      <c r="C112" s="129"/>
      <c r="D112" s="129"/>
      <c r="E112" s="3674"/>
      <c r="F112" s="3675"/>
      <c r="G112" s="1830" t="s">
        <v>1434</v>
      </c>
      <c r="H112" s="2594" t="str">
        <f>IF(E111="——","——",N61)</f>
        <v>——</v>
      </c>
      <c r="I112" s="129"/>
    </row>
    <row r="113" spans="1:27" ht="18.75" customHeight="1">
      <c r="A113" s="129"/>
      <c r="B113" s="129"/>
      <c r="C113" s="129"/>
      <c r="D113" s="129"/>
      <c r="E113" s="3646" t="s">
        <v>1440</v>
      </c>
      <c r="F113" s="3646"/>
      <c r="G113" s="3646"/>
      <c r="H113" s="3646"/>
      <c r="I113" s="129"/>
    </row>
    <row r="114" spans="1:27" ht="3.75" customHeight="1">
      <c r="A114" s="1747"/>
      <c r="B114" s="1747"/>
      <c r="C114" s="1747"/>
      <c r="D114" s="1747"/>
      <c r="E114" s="1809"/>
      <c r="F114" s="1809"/>
      <c r="G114" s="1809"/>
      <c r="H114" s="1809"/>
      <c r="I114" s="1747"/>
    </row>
    <row r="115" spans="1:27" ht="18.75" customHeight="1">
      <c r="A115" s="3656" t="s">
        <v>1442</v>
      </c>
      <c r="B115" s="3657"/>
      <c r="C115" s="3657"/>
      <c r="D115" s="3657"/>
      <c r="E115" s="3657"/>
      <c r="F115" s="3657"/>
      <c r="G115" s="3657"/>
      <c r="H115" s="3657"/>
      <c r="I115" s="3658"/>
    </row>
    <row r="116" spans="1:27" ht="27" customHeight="1">
      <c r="A116" s="3612" t="s">
        <v>1443</v>
      </c>
      <c r="B116" s="3647" t="s">
        <v>1444</v>
      </c>
      <c r="C116" s="3647" t="s">
        <v>1445</v>
      </c>
      <c r="D116" s="3660" t="s">
        <v>1446</v>
      </c>
      <c r="E116" s="3661"/>
      <c r="F116" s="3655" t="s">
        <v>1447</v>
      </c>
      <c r="G116" s="3655"/>
      <c r="H116" s="3612" t="s">
        <v>1448</v>
      </c>
      <c r="I116" s="3612"/>
    </row>
    <row r="117" spans="1:27" ht="18.75" customHeight="1">
      <c r="A117" s="3612"/>
      <c r="B117" s="3648"/>
      <c r="C117" s="3648"/>
      <c r="D117" s="2329" t="s">
        <v>1449</v>
      </c>
      <c r="E117" s="2329" t="s">
        <v>1450</v>
      </c>
      <c r="F117" s="2329" t="s">
        <v>1449</v>
      </c>
      <c r="G117" s="2329" t="s">
        <v>1451</v>
      </c>
      <c r="H117" s="2329" t="s">
        <v>1449</v>
      </c>
      <c r="I117" s="2329" t="s">
        <v>1451</v>
      </c>
    </row>
    <row r="118" spans="1:27" ht="24.75" customHeight="1">
      <c r="A118" s="2595" t="str">
        <f>项目基本情况!S2</f>
        <v>北京市西城区堂子胡同9号-4层9-1等[20]套全部商业、配套、车库房地产</v>
      </c>
      <c r="B118" s="2329">
        <f>M18</f>
        <v>45192.95</v>
      </c>
      <c r="C118" s="2329">
        <f>M19</f>
        <v>4420.58</v>
      </c>
      <c r="D118" s="2329">
        <f ca="1">ROUND(IF(D32="总价",C34,E118*B118/10000),0)</f>
        <v>166745</v>
      </c>
      <c r="E118" s="2329">
        <f ca="1">ROUND(IF(C33="自定义",IF(D32="楼面单价",C34,D118*10000/B118),I118-G118),0)</f>
        <v>36897</v>
      </c>
      <c r="F118" s="2329">
        <f ca="1">ROUND(IF(D32="总价",C35,G118*B118/10000),0)</f>
        <v>35370</v>
      </c>
      <c r="G118" s="2329">
        <f ca="1">ROUND(IF(D32="楼面单价",C35,F118*10000/B118),0)</f>
        <v>7826</v>
      </c>
      <c r="H118" s="2329">
        <f ca="1">ROUND(IF(D32="总价",C32,I118*B118/10000),0)</f>
        <v>202115</v>
      </c>
      <c r="I118" s="2329">
        <f ca="1">ROUND(IF(D32="楼面单价",C32,H118*10000/B118),0)</f>
        <v>44723</v>
      </c>
    </row>
    <row r="119" spans="1:27" ht="18.75" customHeight="1">
      <c r="A119" s="3612" t="s">
        <v>1452</v>
      </c>
      <c r="B119" s="3612"/>
      <c r="C119" s="3612"/>
      <c r="D119" s="3652" t="str">
        <f ca="1">NUMBERSTRING(INT(D118*10000),2)&amp;"元整"</f>
        <v>壹拾陆亿陆仟柒佰肆拾伍万元整</v>
      </c>
      <c r="E119" s="3654"/>
      <c r="F119" s="3652" t="str">
        <f ca="1">NUMBERSTRING(INT(F118*10000),2)&amp;"元整"</f>
        <v>叁亿伍仟叁佰柒拾万元整</v>
      </c>
      <c r="G119" s="3654"/>
      <c r="H119" s="3652" t="str">
        <f ca="1">NUMBERSTRING(INT(H118*10000),2)&amp;"元整"</f>
        <v>贰拾亿贰仟壹佰壹拾伍万元整</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2" t="s">
        <v>1452</v>
      </c>
      <c r="B121" s="3653"/>
      <c r="C121" s="3654"/>
      <c r="D121" s="3652" t="str">
        <f>IF(D120=0,"零元整",NUMBERSTRING(INT(D120*10000),2)&amp;"元整")</f>
        <v>零元整</v>
      </c>
      <c r="E121" s="3653"/>
      <c r="F121" s="3653"/>
      <c r="G121" s="3653"/>
      <c r="H121" s="3653"/>
      <c r="I121" s="3654"/>
      <c r="AA121" s="725"/>
    </row>
    <row r="122" spans="1:27" ht="18.75" customHeight="1">
      <c r="A122" s="3643" t="str">
        <f>IF(项目基本情况!B9="房地产市场价值","",MID(E107,3,LEN(E107)-2))</f>
        <v>房地产抵押价值</v>
      </c>
      <c r="B122" s="3643"/>
      <c r="C122" s="3643"/>
      <c r="D122" s="3676">
        <f ca="1">H107</f>
        <v>202115</v>
      </c>
      <c r="E122" s="3677"/>
      <c r="F122" s="3677"/>
      <c r="G122" s="3677"/>
      <c r="H122" s="3677"/>
      <c r="I122" s="3678"/>
      <c r="AA122" s="725"/>
    </row>
    <row r="123" spans="1:27" ht="18.75" customHeight="1">
      <c r="A123" s="3612" t="s">
        <v>1452</v>
      </c>
      <c r="B123" s="3612"/>
      <c r="C123" s="3612"/>
      <c r="D123" s="3652" t="str">
        <f ca="1">NUMBERSTRING(INT(D122*10000),2)&amp;"元整"</f>
        <v>贰拾亿贰仟壹佰壹拾伍万元整</v>
      </c>
      <c r="E123" s="3653"/>
      <c r="F123" s="3653"/>
      <c r="G123" s="3653"/>
      <c r="H123" s="3653"/>
      <c r="I123" s="3654"/>
      <c r="AA123" s="725"/>
    </row>
    <row r="124" spans="1:27" ht="18.75" customHeight="1">
      <c r="A124" s="3643" t="str">
        <f>IF(项目基本情况!B9="房地产市场价值","",MID(E109,3,LEN(E109)-2))</f>
        <v/>
      </c>
      <c r="B124" s="3643"/>
      <c r="C124" s="3643"/>
      <c r="D124" s="3676" t="str">
        <f>H109</f>
        <v>——</v>
      </c>
      <c r="E124" s="3677"/>
      <c r="F124" s="3677"/>
      <c r="G124" s="3677"/>
      <c r="H124" s="3677"/>
      <c r="I124" s="3678"/>
      <c r="AA124" s="725"/>
    </row>
    <row r="125" spans="1:27" ht="18.75" customHeight="1">
      <c r="A125" s="3612" t="s">
        <v>1452</v>
      </c>
      <c r="B125" s="3612"/>
      <c r="C125" s="3612"/>
      <c r="D125" s="3652" t="e">
        <f>NUMBERSTRING(INT(D124*10000),2)&amp;"元整"</f>
        <v>#VALUE!</v>
      </c>
      <c r="E125" s="3653"/>
      <c r="F125" s="3653"/>
      <c r="G125" s="3653"/>
      <c r="H125" s="3653"/>
      <c r="I125" s="3654"/>
      <c r="AA125" s="725"/>
    </row>
    <row r="126" spans="1:27" ht="18.75" customHeight="1">
      <c r="A126" s="3643" t="str">
        <f>IF(项目基本情况!B9="房地产市场价值","",MID(E111,3,LEN(E111)-2))</f>
        <v/>
      </c>
      <c r="B126" s="3643"/>
      <c r="C126" s="3643"/>
      <c r="D126" s="3676" t="str">
        <f>H111</f>
        <v>——</v>
      </c>
      <c r="E126" s="3677"/>
      <c r="F126" s="3677"/>
      <c r="G126" s="3677"/>
      <c r="H126" s="3677"/>
      <c r="I126" s="3678"/>
      <c r="AA126" s="725"/>
    </row>
    <row r="127" spans="1:27" ht="18.75" customHeight="1">
      <c r="A127" s="3612" t="s">
        <v>1452</v>
      </c>
      <c r="B127" s="3612"/>
      <c r="C127" s="3612"/>
      <c r="D127" s="3652" t="e">
        <f>NUMBERSTRING(INT(D126*10000),2)&amp;"元整"</f>
        <v>#VALUE!</v>
      </c>
      <c r="E127" s="3653"/>
      <c r="F127" s="3653"/>
      <c r="G127" s="3653"/>
      <c r="H127" s="3653"/>
      <c r="I127" s="3654"/>
      <c r="AA127" s="725"/>
    </row>
    <row r="128" spans="1:27" ht="21.75" customHeight="1">
      <c r="A128" s="3659" t="s">
        <v>1453</v>
      </c>
      <c r="B128" s="3659"/>
      <c r="C128" s="3659"/>
      <c r="D128" s="3659"/>
      <c r="E128" s="3659"/>
      <c r="F128" s="3659"/>
      <c r="G128" s="3659"/>
      <c r="H128" s="3659"/>
      <c r="I128" s="365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1"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9" t="str">
        <f>项目基本情况!B1</f>
        <v>北京市西城区堂子胡同9号-4层9-1等[20]套全部商业、配套、车库房地产抵押价值预评估</v>
      </c>
      <c r="C37" s="3509"/>
      <c r="D37" s="3509"/>
      <c r="E37" s="3509"/>
      <c r="F37" s="3509"/>
      <c r="G37" s="3509"/>
      <c r="H37" s="3509"/>
      <c r="I37" s="3509"/>
    </row>
    <row r="38" spans="1:9">
      <c r="A38" s="844"/>
      <c r="B38" s="844"/>
    </row>
    <row r="39" spans="1:9">
      <c r="A39" s="842" t="s">
        <v>371</v>
      </c>
      <c r="B39" s="842" t="s">
        <v>373</v>
      </c>
    </row>
    <row r="40" spans="1:9">
      <c r="A40" s="842"/>
      <c r="B40" s="1474" t="str">
        <f>项目基本情况!B5</f>
        <v>中国建设银行股份有限公司北京西单支行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37588.287600000003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8317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9038590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9038590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9038590</v>
      </c>
      <c r="D10" s="845">
        <f ca="1">IF(B1="",'数据-汇总表'!E6,IF(INDIRECT("'数据-取费表'!c"&amp;$G$1)="住宅",INDIRECT("'数据-取费表'!s"&amp;$G$1),INDIRECT("'数据-取费表'!k"&amp;$G$1)+INDIRECT("'数据-取费表'!s"&amp;$G$1)))</f>
        <v>45192.95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9038590</v>
      </c>
      <c r="D19" s="849">
        <f ca="1">D9+D10</f>
        <v>45192.95</v>
      </c>
      <c r="E19" s="211">
        <f>'数据-取费表'!B31</f>
        <v>200</v>
      </c>
      <c r="F19" s="231"/>
      <c r="G19" s="1856"/>
    </row>
    <row r="20" spans="1:7" s="214" customFormat="1" ht="13.5" customHeight="1">
      <c r="A20" s="255" t="s">
        <v>1574</v>
      </c>
      <c r="B20" s="210" t="s">
        <v>1575</v>
      </c>
      <c r="C20" s="232">
        <f ca="1">ROUND((C5+C19)*F20,0)</f>
        <v>542315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1249626</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615729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615729</v>
      </c>
      <c r="D24" s="238"/>
      <c r="E24" s="238"/>
      <c r="F24" s="239"/>
      <c r="G24" s="240" t="s">
        <v>1586</v>
      </c>
    </row>
    <row r="25" spans="1:7" s="214" customFormat="1" ht="24">
      <c r="A25" s="780" t="s">
        <v>1476</v>
      </c>
      <c r="B25" s="215" t="s">
        <v>1587</v>
      </c>
      <c r="C25" s="1128">
        <f ca="1">ROUND(IF('数据-取费表'!B22&lt;=1,C20*F22*'数据-取费表'!B22/2,C20*(POWER((1+F22),'数据-取费表'!B22/2)-1)),0)</f>
        <v>18168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3723899</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3723899</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25934946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301888906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271157700</v>
      </c>
      <c r="D34" s="217"/>
      <c r="E34" s="220"/>
      <c r="F34" s="257"/>
      <c r="G34" s="219"/>
    </row>
    <row r="35" spans="1:7" ht="13.5" customHeight="1">
      <c r="A35" s="780" t="s">
        <v>351</v>
      </c>
      <c r="B35" s="215" t="s">
        <v>1527</v>
      </c>
      <c r="C35" s="220">
        <f ca="1">ROUND(C34*F35,0)</f>
        <v>16269462</v>
      </c>
      <c r="D35" s="220"/>
      <c r="E35" s="220"/>
      <c r="F35" s="259">
        <f>'数据-取费表'!B33</f>
        <v>0.06</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9038590</v>
      </c>
      <c r="D37" s="217">
        <f ca="1">D19</f>
        <v>45192.95</v>
      </c>
      <c r="E37" s="249">
        <f>'数据-取费表'!B35</f>
        <v>200</v>
      </c>
      <c r="F37" s="259"/>
      <c r="G37" s="261"/>
    </row>
    <row r="38" spans="1:7" ht="13.5" customHeight="1">
      <c r="A38" s="780" t="s">
        <v>354</v>
      </c>
      <c r="B38" s="215" t="s">
        <v>1533</v>
      </c>
      <c r="C38" s="220">
        <f ca="1">ROUND(C34*F38,0)</f>
        <v>5423154</v>
      </c>
      <c r="D38" s="220"/>
      <c r="E38" s="220"/>
      <c r="F38" s="259">
        <f>'数据-取费表'!B36</f>
        <v>0.02</v>
      </c>
      <c r="G38" s="219" t="s">
        <v>1528</v>
      </c>
    </row>
    <row r="39" spans="1:7" s="214" customFormat="1" ht="13.5" customHeight="1">
      <c r="A39" s="255" t="s">
        <v>1534</v>
      </c>
      <c r="B39" s="210" t="s">
        <v>1535</v>
      </c>
      <c r="C39" s="232">
        <f ca="1">ROUND(C33*F20,0)</f>
        <v>9056667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10416676</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10113278</v>
      </c>
      <c r="D42" s="238"/>
      <c r="E42" s="238"/>
      <c r="F42" s="239"/>
      <c r="G42" s="3692" t="s">
        <v>1591</v>
      </c>
    </row>
    <row r="43" spans="1:7" ht="13.5" customHeight="1">
      <c r="A43" s="780" t="s">
        <v>347</v>
      </c>
      <c r="B43" s="215" t="s">
        <v>1545</v>
      </c>
      <c r="C43" s="238">
        <f ca="1">ROUND(IF('数据-取费表'!B22&lt;=1,C39*F22*'数据-取费表'!B20/2,C39*(POWER((1+F22),'数据-取费表'!B20/2)-1)),0)</f>
        <v>303398</v>
      </c>
      <c r="D43" s="238"/>
      <c r="E43" s="238"/>
      <c r="F43" s="239"/>
      <c r="G43" s="3693"/>
    </row>
    <row r="44" spans="1:7" ht="13.5" customHeight="1">
      <c r="A44" s="780" t="s">
        <v>348</v>
      </c>
      <c r="B44" s="215" t="s">
        <v>1546</v>
      </c>
      <c r="C44" s="238">
        <f ca="1">ROUND(IF('数据-取费表'!B22&lt;=1,C40*F22*'数据-取费表'!B20/2,C40*(POWER((1+F22),'数据-取费表'!B20/2)-1)),4)</f>
        <v>1E-3</v>
      </c>
      <c r="D44" s="238"/>
      <c r="E44" s="238"/>
      <c r="F44" s="239"/>
      <c r="G44" s="3694"/>
    </row>
    <row r="45" spans="1:7" s="214" customFormat="1" ht="13.5" customHeight="1">
      <c r="A45" s="255" t="s">
        <v>1547</v>
      </c>
      <c r="B45" s="244" t="s">
        <v>1513</v>
      </c>
      <c r="C45" s="245">
        <f ca="1">C46</f>
        <v>62189115</v>
      </c>
      <c r="D45" s="235">
        <f ca="1">C47</f>
        <v>6.0000000000000001E-3</v>
      </c>
      <c r="E45" s="236" t="s">
        <v>1539</v>
      </c>
      <c r="F45" s="246">
        <f ca="1">F27</f>
        <v>0.2</v>
      </c>
      <c r="G45" s="247" t="s">
        <v>1548</v>
      </c>
    </row>
    <row r="46" spans="1:7" s="214" customFormat="1" ht="13.5" customHeight="1">
      <c r="A46" s="780" t="s">
        <v>346</v>
      </c>
      <c r="B46" s="248" t="s">
        <v>1549</v>
      </c>
      <c r="C46" s="249">
        <f ca="1">ROUND((C33+C39)*F27,0)</f>
        <v>62189115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421624012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349947930</v>
      </c>
      <c r="D51" s="232"/>
      <c r="E51" s="232"/>
      <c r="F51" s="264"/>
      <c r="G51" s="234" t="s">
        <v>1560</v>
      </c>
    </row>
    <row r="52" spans="1:7" s="208" customFormat="1" ht="16.5" thickBot="1">
      <c r="A52" s="265" t="s">
        <v>1561</v>
      </c>
      <c r="B52" s="266"/>
      <c r="C52" s="267">
        <f ca="1">C31+C51</f>
        <v>375882876</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6"/>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0.06</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45192.95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45192.95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904</v>
      </c>
      <c r="D20" s="846">
        <f ca="1">IF(C1="",'数据-汇总表'!E6,IF(INDIRECT("'数据-取费表'!c"&amp;$K$1)="住宅",INDIRECT("'数据-取费表'!s"&amp;$K$1),INDIRECT("'数据-取费表'!k"&amp;$K$1)+INDIRECT("'数据-取费表'!s"&amp;$K$1)))</f>
        <v>45192.95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0</v>
      </c>
      <c r="D6" s="155" t="s">
        <v>2106</v>
      </c>
      <c r="E6" s="302" t="s">
        <v>696</v>
      </c>
      <c r="F6" s="303">
        <f ca="1">INDIRECT("'数据-取费表'!u"&amp;$G$1)</f>
        <v>0</v>
      </c>
      <c r="G6" s="1384"/>
      <c r="H6" s="1069" t="s">
        <v>398</v>
      </c>
      <c r="I6" s="3695" t="s">
        <v>694</v>
      </c>
      <c r="J6" s="301">
        <f ca="1">ROUND(M6*M8*M7*(1-M9),0)</f>
        <v>0</v>
      </c>
      <c r="K6" s="1376"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0.06</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3349</v>
      </c>
      <c r="B45" s="1400"/>
      <c r="C45" s="1472" t="e">
        <f ca="1">ROUND((C68-C40)/10000,4)</f>
        <v>#DIV/0!</v>
      </c>
      <c r="D45" s="3426"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2433</v>
      </c>
      <c r="B1" s="2826"/>
      <c r="C1" s="2838"/>
      <c r="D1" s="2838"/>
      <c r="E1" s="2827"/>
      <c r="F1" s="2828"/>
      <c r="G1" s="2829"/>
      <c r="J1" s="2832" t="s">
        <v>2312</v>
      </c>
      <c r="K1" s="2833"/>
      <c r="L1" s="2833"/>
      <c r="M1" s="2833"/>
      <c r="N1" s="2833"/>
      <c r="O1" s="2833"/>
      <c r="P1" s="2833"/>
      <c r="Q1" s="2833"/>
      <c r="R1" s="2834"/>
      <c r="S1" s="2835"/>
      <c r="T1" s="2835"/>
      <c r="U1" s="2835"/>
    </row>
    <row r="2" spans="1:22" s="2847" customFormat="1" ht="13.15" customHeight="1">
      <c r="A2" s="1385" t="s">
        <v>2313</v>
      </c>
      <c r="B2" s="2837" t="e">
        <f>IF(D2="——",C40,C40+E2)</f>
        <v>#DIV/0!</v>
      </c>
      <c r="C2" s="2838" t="s">
        <v>2314</v>
      </c>
      <c r="D2" s="3437" t="s">
        <v>3356</v>
      </c>
      <c r="E2" s="3438"/>
      <c r="F2" s="2840"/>
      <c r="G2" s="2841"/>
      <c r="H2" s="2842"/>
      <c r="I2" s="2843"/>
      <c r="J2" s="3706" t="s">
        <v>2315</v>
      </c>
      <c r="K2" s="3707"/>
      <c r="L2" s="2844" t="s">
        <v>2316</v>
      </c>
      <c r="M2" s="2844" t="s">
        <v>2317</v>
      </c>
      <c r="N2" s="2844" t="s">
        <v>2318</v>
      </c>
      <c r="O2" s="2844" t="s">
        <v>2319</v>
      </c>
      <c r="P2" s="2844" t="s">
        <v>2320</v>
      </c>
      <c r="Q2" s="2845" t="s">
        <v>2321</v>
      </c>
      <c r="R2" s="2846" t="s">
        <v>2322</v>
      </c>
      <c r="S2" s="2835"/>
      <c r="T2" s="2835"/>
      <c r="U2" s="2835"/>
      <c r="V2" s="2843"/>
    </row>
    <row r="3" spans="1:22" s="2847" customFormat="1" ht="13.15" customHeight="1">
      <c r="A3" s="2848" t="s">
        <v>2323</v>
      </c>
      <c r="B3" s="2849" t="e">
        <f>ROUND(B2*10000/B4,0)</f>
        <v>#DIV/0!</v>
      </c>
      <c r="C3" s="2838" t="s">
        <v>2324</v>
      </c>
      <c r="D3" s="2838"/>
      <c r="E3" s="2839"/>
      <c r="F3" s="2840"/>
      <c r="G3" s="2841"/>
      <c r="H3" s="2842"/>
      <c r="I3" s="2843"/>
      <c r="J3" s="3708" t="s">
        <v>2325</v>
      </c>
      <c r="K3" s="3709"/>
      <c r="L3" s="2850"/>
      <c r="M3" s="2850"/>
      <c r="N3" s="2850"/>
      <c r="O3" s="2850"/>
      <c r="P3" s="2850"/>
      <c r="Q3" s="2851"/>
      <c r="R3" s="2852">
        <f>SUM(L3:Q3)</f>
        <v>0</v>
      </c>
      <c r="S3" s="2835"/>
      <c r="T3" s="2835"/>
      <c r="U3" s="2835"/>
      <c r="V3" s="2843"/>
    </row>
    <row r="4" spans="1:22" s="2847" customFormat="1" ht="13.15" customHeight="1">
      <c r="A4" s="2853" t="s">
        <v>2326</v>
      </c>
      <c r="B4" s="2854"/>
      <c r="C4" s="2838"/>
      <c r="D4" s="2838"/>
      <c r="E4" s="2839"/>
      <c r="F4" s="2840"/>
      <c r="G4" s="2841"/>
      <c r="H4" s="2842"/>
      <c r="I4" s="2843"/>
      <c r="J4" s="3708" t="s">
        <v>2327</v>
      </c>
      <c r="K4" s="3709"/>
      <c r="L4" s="2855"/>
      <c r="M4" s="2855"/>
      <c r="N4" s="2855"/>
      <c r="O4" s="2855"/>
      <c r="P4" s="2855"/>
      <c r="Q4" s="2856"/>
      <c r="R4" s="2857">
        <f>SUM(L4:Q4)</f>
        <v>0</v>
      </c>
      <c r="S4" s="2835"/>
      <c r="T4" s="2835"/>
      <c r="U4" s="2835"/>
      <c r="V4" s="2843"/>
    </row>
    <row r="5" spans="1:22" s="2847" customFormat="1" ht="13.15" customHeight="1" thickBot="1">
      <c r="A5" s="2858" t="s">
        <v>2328</v>
      </c>
      <c r="B5" s="2859"/>
      <c r="C5" s="2838"/>
      <c r="D5" s="2860"/>
      <c r="E5" s="2840"/>
      <c r="F5" s="2840"/>
      <c r="G5" s="2841"/>
      <c r="H5" s="2842"/>
      <c r="I5" s="2843"/>
      <c r="J5" s="2861" t="s">
        <v>2329</v>
      </c>
      <c r="K5" s="2862"/>
      <c r="L5" s="2862"/>
      <c r="M5" s="2863"/>
      <c r="N5" s="2863"/>
      <c r="O5" s="2863"/>
      <c r="P5" s="2863"/>
      <c r="Q5" s="2863"/>
      <c r="R5" s="2846">
        <f>SUM(R14,R19,R24,R25,R27,R28)</f>
        <v>0</v>
      </c>
      <c r="S5" s="2835"/>
      <c r="T5" s="2835" t="s">
        <v>2330</v>
      </c>
      <c r="U5" s="2835" t="e">
        <f>ROUND(R5*10000/365/R3,1)</f>
        <v>#DIV/0!</v>
      </c>
      <c r="V5" s="2843"/>
    </row>
    <row r="6" spans="1:22" s="2847" customFormat="1" ht="13.15" customHeight="1" thickBot="1">
      <c r="A6" s="3714" t="s">
        <v>2331</v>
      </c>
      <c r="B6" s="3715"/>
      <c r="C6" s="3716"/>
      <c r="D6" s="2864"/>
      <c r="E6" s="2865"/>
      <c r="F6" s="2866"/>
      <c r="G6" s="2867"/>
      <c r="H6" s="2842"/>
      <c r="I6" s="2843"/>
      <c r="J6" s="3700">
        <v>1</v>
      </c>
      <c r="K6" s="3701" t="s">
        <v>2332</v>
      </c>
      <c r="L6" s="2868" t="s">
        <v>2333</v>
      </c>
      <c r="M6" s="2869" t="s">
        <v>2334</v>
      </c>
      <c r="N6" s="2869" t="s">
        <v>2335</v>
      </c>
      <c r="O6" s="2869" t="s">
        <v>2336</v>
      </c>
      <c r="P6" s="2869" t="s">
        <v>2337</v>
      </c>
      <c r="Q6" s="2869" t="s">
        <v>2338</v>
      </c>
      <c r="R6" s="2852" t="s">
        <v>2339</v>
      </c>
      <c r="S6" s="2835"/>
      <c r="T6" s="2835" t="s">
        <v>2340</v>
      </c>
      <c r="U6" s="2835"/>
      <c r="V6" s="2843"/>
    </row>
    <row r="7" spans="1:22" s="2847" customFormat="1" ht="13.15" customHeight="1">
      <c r="A7" s="2870" t="s">
        <v>2341</v>
      </c>
      <c r="B7" s="2871"/>
      <c r="C7" s="2872"/>
      <c r="D7" s="2873">
        <f>SUM(D9,D10,D11,D17,0)</f>
        <v>0</v>
      </c>
      <c r="E7" s="2874" t="e">
        <f>E9+E10+E11+E17</f>
        <v>#DIV/0!</v>
      </c>
      <c r="F7" s="2875"/>
      <c r="G7" s="2876"/>
      <c r="H7" s="2842"/>
      <c r="I7" s="2843"/>
      <c r="J7" s="3700"/>
      <c r="K7" s="3702"/>
      <c r="L7" s="2877" t="s">
        <v>2342</v>
      </c>
      <c r="M7" s="2878"/>
      <c r="N7" s="2854"/>
      <c r="O7" s="2879"/>
      <c r="P7" s="2879"/>
      <c r="Q7" s="2880">
        <v>365</v>
      </c>
      <c r="R7" s="2881">
        <f>ROUND(M7*N7*O7*P7*Q7/10000,0)</f>
        <v>0</v>
      </c>
      <c r="S7" s="2835"/>
      <c r="T7" s="2835" t="s">
        <v>2343</v>
      </c>
      <c r="U7" s="2835"/>
      <c r="V7" s="2843"/>
    </row>
    <row r="8" spans="1:22" s="2847" customFormat="1" ht="13.15" customHeight="1">
      <c r="A8" s="2882" t="s">
        <v>2344</v>
      </c>
      <c r="B8" s="3717" t="s">
        <v>2345</v>
      </c>
      <c r="C8" s="3718"/>
      <c r="D8" s="2883" t="s">
        <v>2346</v>
      </c>
      <c r="E8" s="2884" t="s">
        <v>2347</v>
      </c>
      <c r="F8" s="2885" t="s">
        <v>2348</v>
      </c>
      <c r="G8" s="2886"/>
      <c r="H8" s="2842"/>
      <c r="I8" s="2843"/>
      <c r="J8" s="3700"/>
      <c r="K8" s="3702"/>
      <c r="L8" s="2877" t="s">
        <v>2349</v>
      </c>
      <c r="M8" s="2878"/>
      <c r="N8" s="2854"/>
      <c r="O8" s="2879"/>
      <c r="P8" s="2879"/>
      <c r="Q8" s="2880">
        <v>365</v>
      </c>
      <c r="R8" s="2881">
        <f t="shared" ref="R8:R13" si="0">ROUND(M8*N8*O8*P8*Q8/10000,0)</f>
        <v>0</v>
      </c>
      <c r="S8" s="2835"/>
      <c r="T8" s="2835" t="s">
        <v>2350</v>
      </c>
      <c r="U8" s="2835"/>
      <c r="V8" s="2843"/>
    </row>
    <row r="9" spans="1:22" s="2847" customFormat="1" ht="13.15" customHeight="1">
      <c r="A9" s="2882">
        <v>1</v>
      </c>
      <c r="B9" s="3717" t="s">
        <v>2351</v>
      </c>
      <c r="C9" s="3718"/>
      <c r="D9" s="2883">
        <f>ROUND(D6*E9,0)</f>
        <v>0</v>
      </c>
      <c r="E9" s="2887"/>
      <c r="F9" s="2888" t="s">
        <v>2352</v>
      </c>
      <c r="G9" s="2867"/>
      <c r="H9" s="2842"/>
      <c r="I9" s="2843"/>
      <c r="J9" s="3700"/>
      <c r="K9" s="3702"/>
      <c r="L9" s="2877" t="s">
        <v>2353</v>
      </c>
      <c r="M9" s="2878"/>
      <c r="N9" s="2854"/>
      <c r="O9" s="2879"/>
      <c r="P9" s="2879"/>
      <c r="Q9" s="2880">
        <v>365</v>
      </c>
      <c r="R9" s="2881">
        <f t="shared" si="0"/>
        <v>0</v>
      </c>
      <c r="S9" s="2835"/>
      <c r="T9" s="2835"/>
      <c r="U9" s="2835"/>
      <c r="V9" s="2843"/>
    </row>
    <row r="10" spans="1:22" s="2847" customFormat="1" ht="13.15" customHeight="1">
      <c r="A10" s="2882">
        <v>2</v>
      </c>
      <c r="B10" s="3717" t="s">
        <v>2354</v>
      </c>
      <c r="C10" s="3718"/>
      <c r="D10" s="2883">
        <f>ROUND(D6*E10,0)</f>
        <v>0</v>
      </c>
      <c r="E10" s="2887"/>
      <c r="F10" s="2888" t="s">
        <v>2355</v>
      </c>
      <c r="G10" s="2867"/>
      <c r="H10" s="2842"/>
      <c r="I10" s="2843"/>
      <c r="J10" s="3700"/>
      <c r="K10" s="3702"/>
      <c r="L10" s="2877" t="s">
        <v>2356</v>
      </c>
      <c r="M10" s="2878"/>
      <c r="N10" s="2854"/>
      <c r="O10" s="2879"/>
      <c r="P10" s="2879"/>
      <c r="Q10" s="2880">
        <v>365</v>
      </c>
      <c r="R10" s="2881">
        <f t="shared" si="0"/>
        <v>0</v>
      </c>
      <c r="S10" s="2835"/>
      <c r="T10" s="2835"/>
      <c r="U10" s="2835"/>
      <c r="V10" s="2843"/>
    </row>
    <row r="11" spans="1:22" s="2847" customFormat="1" ht="13.15" customHeight="1">
      <c r="A11" s="2882">
        <v>3</v>
      </c>
      <c r="B11" s="3717" t="s">
        <v>2357</v>
      </c>
      <c r="C11" s="3718"/>
      <c r="D11" s="2883">
        <f>D12+D14+D15+D16</f>
        <v>0</v>
      </c>
      <c r="E11" s="2889" t="e">
        <f>D11/D6</f>
        <v>#DIV/0!</v>
      </c>
      <c r="F11" s="2885"/>
      <c r="G11" s="2886"/>
      <c r="H11" s="2842"/>
      <c r="I11" s="2843"/>
      <c r="J11" s="3700"/>
      <c r="K11" s="3702"/>
      <c r="L11" s="2877" t="s">
        <v>2358</v>
      </c>
      <c r="M11" s="2878"/>
      <c r="N11" s="2854"/>
      <c r="O11" s="2879"/>
      <c r="P11" s="2879"/>
      <c r="Q11" s="2880">
        <v>365</v>
      </c>
      <c r="R11" s="2881">
        <f t="shared" si="0"/>
        <v>0</v>
      </c>
      <c r="S11" s="2835"/>
      <c r="T11" s="2835"/>
      <c r="U11" s="2835"/>
      <c r="V11" s="2843"/>
    </row>
    <row r="12" spans="1:22" s="2847" customFormat="1" ht="13.15" customHeight="1">
      <c r="A12" s="2890" t="s">
        <v>2359</v>
      </c>
      <c r="B12" s="3710" t="s">
        <v>2360</v>
      </c>
      <c r="C12" s="3711"/>
      <c r="D12" s="2891">
        <f>ROUND(D13*1.2%*(1-30%),0)</f>
        <v>0</v>
      </c>
      <c r="E12" s="2892">
        <v>1.2E-2</v>
      </c>
      <c r="F12" s="2885" t="s">
        <v>2361</v>
      </c>
      <c r="G12" s="2886"/>
      <c r="H12" s="2842"/>
      <c r="I12" s="2843"/>
      <c r="J12" s="3700"/>
      <c r="K12" s="3702"/>
      <c r="L12" s="2877" t="s">
        <v>2362</v>
      </c>
      <c r="M12" s="2878"/>
      <c r="N12" s="2854"/>
      <c r="O12" s="2879"/>
      <c r="P12" s="2879"/>
      <c r="Q12" s="2880">
        <v>365</v>
      </c>
      <c r="R12" s="2881">
        <f t="shared" si="0"/>
        <v>0</v>
      </c>
      <c r="S12" s="2835"/>
      <c r="T12" s="2835"/>
      <c r="U12" s="2835"/>
      <c r="V12" s="2843"/>
    </row>
    <row r="13" spans="1:22" s="2847" customFormat="1" ht="13.15" customHeight="1">
      <c r="A13" s="2890"/>
      <c r="B13" s="2893"/>
      <c r="C13" s="2894" t="s">
        <v>2363</v>
      </c>
      <c r="D13" s="2895"/>
      <c r="E13" s="2896"/>
      <c r="F13" s="2885"/>
      <c r="G13" s="2886"/>
      <c r="H13" s="2842"/>
      <c r="I13" s="2843"/>
      <c r="J13" s="3700"/>
      <c r="K13" s="3702"/>
      <c r="L13" s="2877" t="s">
        <v>2364</v>
      </c>
      <c r="M13" s="2878"/>
      <c r="N13" s="2854"/>
      <c r="O13" s="2879"/>
      <c r="P13" s="2879"/>
      <c r="Q13" s="2880">
        <v>365</v>
      </c>
      <c r="R13" s="2881">
        <f t="shared" si="0"/>
        <v>0</v>
      </c>
      <c r="S13" s="2835"/>
      <c r="T13" s="2835"/>
      <c r="U13" s="2835"/>
      <c r="V13" s="2843"/>
    </row>
    <row r="14" spans="1:22" s="2847" customFormat="1" ht="13.15" customHeight="1">
      <c r="A14" s="2890" t="s">
        <v>2365</v>
      </c>
      <c r="B14" s="3710" t="s">
        <v>2366</v>
      </c>
      <c r="C14" s="3711"/>
      <c r="D14" s="2891">
        <f>ROUND(E14*B5/10000,0)</f>
        <v>0</v>
      </c>
      <c r="E14" s="2880"/>
      <c r="F14" s="2885" t="s">
        <v>2367</v>
      </c>
      <c r="G14" s="2886"/>
      <c r="H14" s="2842"/>
      <c r="I14" s="2843"/>
      <c r="J14" s="3700"/>
      <c r="K14" s="3703"/>
      <c r="L14" s="2897" t="s">
        <v>2368</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2369</v>
      </c>
      <c r="B15" s="3710" t="s">
        <v>2370</v>
      </c>
      <c r="C15" s="3711"/>
      <c r="D15" s="2891">
        <f>ROUND(D6*E15,0)</f>
        <v>0</v>
      </c>
      <c r="E15" s="2892">
        <v>5.5E-2</v>
      </c>
      <c r="F15" s="2885" t="s">
        <v>2371</v>
      </c>
      <c r="G15" s="2867"/>
      <c r="H15" s="2842"/>
      <c r="I15" s="2843"/>
      <c r="J15" s="3700">
        <v>2</v>
      </c>
      <c r="K15" s="3701" t="s">
        <v>2372</v>
      </c>
      <c r="L15" s="2877" t="s">
        <v>2373</v>
      </c>
      <c r="M15" s="2878" t="s">
        <v>2374</v>
      </c>
      <c r="N15" s="2878" t="s">
        <v>2375</v>
      </c>
      <c r="O15" s="2879" t="s">
        <v>2376</v>
      </c>
      <c r="P15" s="2879" t="s">
        <v>2338</v>
      </c>
      <c r="Q15" s="2854" t="s">
        <v>2377</v>
      </c>
      <c r="R15" s="2901" t="s">
        <v>2339</v>
      </c>
      <c r="S15" s="2835"/>
      <c r="T15" s="2835"/>
      <c r="U15" s="2835"/>
      <c r="V15" s="2843"/>
    </row>
    <row r="16" spans="1:22" s="2847" customFormat="1" ht="13.15" customHeight="1">
      <c r="A16" s="2890" t="s">
        <v>2378</v>
      </c>
      <c r="B16" s="3710" t="s">
        <v>2379</v>
      </c>
      <c r="C16" s="3711"/>
      <c r="D16" s="2902">
        <f>D6*E16</f>
        <v>0</v>
      </c>
      <c r="E16" s="2903"/>
      <c r="F16" s="2888" t="s">
        <v>2380</v>
      </c>
      <c r="G16" s="2867"/>
      <c r="H16" s="2842"/>
      <c r="I16" s="2843"/>
      <c r="J16" s="3700"/>
      <c r="K16" s="3702"/>
      <c r="L16" s="2877" t="s">
        <v>2381</v>
      </c>
      <c r="M16" s="2878"/>
      <c r="N16" s="2878"/>
      <c r="O16" s="2879"/>
      <c r="P16" s="2880">
        <v>365</v>
      </c>
      <c r="Q16" s="2854"/>
      <c r="R16" s="2901">
        <f>ROUND(M16*N16*O16*P16/10000,0)</f>
        <v>0</v>
      </c>
      <c r="S16" s="2835"/>
      <c r="T16" s="2835"/>
      <c r="U16" s="2835"/>
      <c r="V16" s="2843"/>
    </row>
    <row r="17" spans="1:22" s="2847" customFormat="1" ht="13.15" customHeight="1" thickBot="1">
      <c r="A17" s="2904">
        <v>4</v>
      </c>
      <c r="B17" s="3712" t="s">
        <v>2382</v>
      </c>
      <c r="C17" s="3713"/>
      <c r="D17" s="2905">
        <f>ROUND(D6*E17,0)</f>
        <v>0</v>
      </c>
      <c r="E17" s="2906"/>
      <c r="F17" s="2907" t="s">
        <v>2383</v>
      </c>
      <c r="G17" s="2867"/>
      <c r="H17" s="2842"/>
      <c r="I17" s="2843"/>
      <c r="J17" s="3700"/>
      <c r="K17" s="3702"/>
      <c r="L17" s="2877" t="s">
        <v>2384</v>
      </c>
      <c r="M17" s="2878"/>
      <c r="N17" s="2878"/>
      <c r="O17" s="2879"/>
      <c r="P17" s="2880">
        <v>365</v>
      </c>
      <c r="Q17" s="2854"/>
      <c r="R17" s="2901">
        <f>ROUND(M17*N17*O17*P17/10000,0)</f>
        <v>0</v>
      </c>
      <c r="S17" s="2835"/>
      <c r="T17" s="2835"/>
      <c r="U17" s="2835"/>
      <c r="V17" s="2843"/>
    </row>
    <row r="18" spans="1:22" s="2847" customFormat="1" ht="13.15" customHeight="1" thickBot="1">
      <c r="A18" s="2870" t="s">
        <v>2385</v>
      </c>
      <c r="B18" s="2871"/>
      <c r="C18" s="2871"/>
      <c r="D18" s="2908">
        <f>ROUND(D6*E18,0)</f>
        <v>0</v>
      </c>
      <c r="E18" s="2909"/>
      <c r="F18" s="2910" t="s">
        <v>2386</v>
      </c>
      <c r="G18" s="2867"/>
      <c r="H18" s="2842"/>
      <c r="I18" s="2843"/>
      <c r="J18" s="3700"/>
      <c r="K18" s="3702"/>
      <c r="L18" s="2877" t="s">
        <v>2387</v>
      </c>
      <c r="M18" s="2878"/>
      <c r="N18" s="2878"/>
      <c r="O18" s="2879"/>
      <c r="P18" s="2880">
        <v>365</v>
      </c>
      <c r="Q18" s="2854"/>
      <c r="R18" s="2901">
        <f>ROUND(M18*N18*O18*P18/10000,0)</f>
        <v>0</v>
      </c>
      <c r="S18" s="2835"/>
      <c r="T18" s="2835"/>
      <c r="U18" s="2835"/>
      <c r="V18" s="2843"/>
    </row>
    <row r="19" spans="1:22" s="2847" customFormat="1" ht="13.15" customHeight="1" thickBot="1">
      <c r="A19" s="2911" t="s">
        <v>2388</v>
      </c>
      <c r="B19" s="2865"/>
      <c r="C19" s="2865"/>
      <c r="D19" s="2865"/>
      <c r="E19" s="2865"/>
      <c r="F19" s="2866"/>
      <c r="G19" s="2886"/>
      <c r="H19" s="2842"/>
      <c r="I19" s="2843"/>
      <c r="J19" s="3700"/>
      <c r="K19" s="3703"/>
      <c r="L19" s="2897" t="s">
        <v>2368</v>
      </c>
      <c r="M19" s="2898"/>
      <c r="N19" s="2898">
        <f>SUM(N16:N18)</f>
        <v>0</v>
      </c>
      <c r="O19" s="2899"/>
      <c r="P19" s="2912" t="s">
        <v>2432</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0">
        <v>3</v>
      </c>
      <c r="K20" s="3701" t="s">
        <v>2389</v>
      </c>
      <c r="L20" s="2877" t="s">
        <v>2390</v>
      </c>
      <c r="M20" s="2878" t="s">
        <v>2391</v>
      </c>
      <c r="N20" s="2915" t="s">
        <v>2392</v>
      </c>
      <c r="O20" s="2879" t="s">
        <v>2393</v>
      </c>
      <c r="P20" s="2880" t="s">
        <v>2394</v>
      </c>
      <c r="Q20" s="2854" t="s">
        <v>2395</v>
      </c>
      <c r="R20" s="2901" t="s">
        <v>2396</v>
      </c>
      <c r="S20" s="2916"/>
      <c r="T20" s="2916"/>
      <c r="U20" s="2916"/>
      <c r="V20" s="2843"/>
    </row>
    <row r="21" spans="1:22" s="2847" customFormat="1" ht="13.15" customHeight="1">
      <c r="A21" s="2870"/>
      <c r="B21" s="2871"/>
      <c r="C21" s="2917" t="s">
        <v>2397</v>
      </c>
      <c r="D21" s="2918" t="s">
        <v>2398</v>
      </c>
      <c r="E21" s="2919" t="s">
        <v>2399</v>
      </c>
      <c r="F21" s="2914"/>
      <c r="G21" s="2886"/>
      <c r="H21" s="2842"/>
      <c r="I21" s="2843"/>
      <c r="J21" s="3700"/>
      <c r="K21" s="3702"/>
      <c r="L21" s="2877" t="s">
        <v>2400</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2401</v>
      </c>
      <c r="D22" s="2922" t="s">
        <v>2402</v>
      </c>
      <c r="E22" s="2923" t="s">
        <v>2403</v>
      </c>
      <c r="F22" s="2914"/>
      <c r="G22" s="2924"/>
      <c r="H22" s="2842"/>
      <c r="I22" s="2843"/>
      <c r="J22" s="3700"/>
      <c r="K22" s="3702"/>
      <c r="L22" s="2877" t="s">
        <v>2404</v>
      </c>
      <c r="M22" s="2878"/>
      <c r="N22" s="2878"/>
      <c r="O22" s="2879"/>
      <c r="P22" s="2880">
        <v>365</v>
      </c>
      <c r="Q22" s="2854"/>
      <c r="R22" s="2920">
        <f>ROUND(M22*N22*O22*P22/10000,0)</f>
        <v>0</v>
      </c>
      <c r="S22" s="2916"/>
      <c r="T22" s="2916"/>
      <c r="U22" s="2916"/>
      <c r="V22" s="2843"/>
    </row>
    <row r="23" spans="1:22" s="2847" customFormat="1" ht="13.15" customHeight="1">
      <c r="A23" s="2925">
        <v>1</v>
      </c>
      <c r="B23" s="2926" t="s">
        <v>2405</v>
      </c>
      <c r="C23" s="2927">
        <f>D6</f>
        <v>0</v>
      </c>
      <c r="D23" s="2928">
        <f>C23*(1+D24)</f>
        <v>0</v>
      </c>
      <c r="E23" s="2929">
        <f>D23*(1+E24)</f>
        <v>0</v>
      </c>
      <c r="F23" s="2930"/>
      <c r="G23" s="2931"/>
      <c r="H23" s="2842"/>
      <c r="I23" s="2843"/>
      <c r="J23" s="3700"/>
      <c r="K23" s="3702"/>
      <c r="L23" s="2877" t="s">
        <v>2406</v>
      </c>
      <c r="M23" s="2878"/>
      <c r="N23" s="2878"/>
      <c r="O23" s="2879"/>
      <c r="P23" s="2880">
        <v>365</v>
      </c>
      <c r="Q23" s="2854"/>
      <c r="R23" s="2920">
        <f>ROUND(M23*N23*O23*P23/10000,0)</f>
        <v>0</v>
      </c>
      <c r="S23" s="2835"/>
      <c r="T23" s="2835"/>
      <c r="U23" s="2835"/>
      <c r="V23" s="2843"/>
    </row>
    <row r="24" spans="1:22" s="2847" customFormat="1" ht="13.15" customHeight="1">
      <c r="A24" s="2932"/>
      <c r="B24" s="2933" t="s">
        <v>2407</v>
      </c>
      <c r="C24" s="2934"/>
      <c r="D24" s="2935"/>
      <c r="E24" s="2936"/>
      <c r="F24" s="2937"/>
      <c r="G24" s="2931"/>
      <c r="H24" s="2842"/>
      <c r="I24" s="2843"/>
      <c r="J24" s="3700"/>
      <c r="K24" s="3703"/>
      <c r="L24" s="2897" t="s">
        <v>2368</v>
      </c>
      <c r="M24" s="2898">
        <f>SUM(M21:M23)</f>
        <v>0</v>
      </c>
      <c r="N24" s="2898"/>
      <c r="O24" s="2899"/>
      <c r="P24" s="2912" t="s">
        <v>2432</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2408</v>
      </c>
      <c r="L25" s="2940"/>
      <c r="M25" s="2940"/>
      <c r="N25" s="2940"/>
      <c r="O25" s="2940"/>
      <c r="P25" s="2941"/>
      <c r="Q25" s="2942">
        <v>0</v>
      </c>
      <c r="R25" s="2913">
        <f>ROUND(R14*Q25,0)</f>
        <v>0</v>
      </c>
      <c r="S25" s="2835"/>
      <c r="T25" s="2835"/>
      <c r="U25" s="2835"/>
      <c r="V25" s="2943"/>
    </row>
    <row r="26" spans="1:22" s="2944" customFormat="1" ht="13.15" customHeight="1">
      <c r="A26" s="2925">
        <v>2</v>
      </c>
      <c r="B26" s="2926" t="s">
        <v>2409</v>
      </c>
      <c r="C26" s="2927">
        <f>D7</f>
        <v>0</v>
      </c>
      <c r="D26" s="2928">
        <f>D23*D27</f>
        <v>0</v>
      </c>
      <c r="E26" s="2929">
        <f>E23*E27</f>
        <v>0</v>
      </c>
      <c r="F26" s="2930"/>
      <c r="G26" s="2931"/>
      <c r="H26" s="2842"/>
      <c r="I26" s="2843"/>
      <c r="J26" s="3704">
        <v>5</v>
      </c>
      <c r="K26" s="2945" t="s">
        <v>2410</v>
      </c>
      <c r="L26" s="2946"/>
      <c r="M26" s="2947"/>
      <c r="N26" s="2948" t="s">
        <v>2411</v>
      </c>
      <c r="O26" s="2948" t="s">
        <v>2412</v>
      </c>
      <c r="P26" s="2949" t="s">
        <v>2413</v>
      </c>
      <c r="Q26" s="2949" t="s">
        <v>2414</v>
      </c>
      <c r="R26" s="2852" t="s">
        <v>2339</v>
      </c>
      <c r="S26" s="2950"/>
      <c r="T26" s="2950"/>
      <c r="U26" s="2950"/>
      <c r="V26" s="2943"/>
    </row>
    <row r="27" spans="1:22" s="2847" customFormat="1" ht="13.15" customHeight="1">
      <c r="A27" s="2932"/>
      <c r="B27" s="2933" t="s">
        <v>2415</v>
      </c>
      <c r="C27" s="2951" t="e">
        <f>E7</f>
        <v>#DIV/0!</v>
      </c>
      <c r="D27" s="2935"/>
      <c r="E27" s="2936"/>
      <c r="F27" s="2937"/>
      <c r="G27" s="2931"/>
      <c r="H27" s="2952"/>
      <c r="I27" s="2943"/>
      <c r="J27" s="3705"/>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2416</v>
      </c>
      <c r="F28" s="2937"/>
      <c r="G28" s="2924"/>
      <c r="H28" s="2952"/>
      <c r="I28" s="2943"/>
      <c r="J28" s="2958">
        <v>6</v>
      </c>
      <c r="K28" s="2959" t="s">
        <v>2417</v>
      </c>
      <c r="L28" s="2960" t="s">
        <v>2418</v>
      </c>
      <c r="M28" s="2961"/>
      <c r="N28" s="2960" t="s">
        <v>2419</v>
      </c>
      <c r="O28" s="2962"/>
      <c r="P28" s="2960" t="s">
        <v>2420</v>
      </c>
      <c r="Q28" s="2963">
        <v>1.4999999999999999E-2</v>
      </c>
      <c r="R28" s="2964"/>
      <c r="S28" s="2916"/>
      <c r="T28" s="2916"/>
      <c r="U28" s="2916"/>
      <c r="V28" s="2943"/>
    </row>
    <row r="29" spans="1:22" s="2944" customFormat="1" ht="13.15" customHeight="1">
      <c r="A29" s="2925">
        <v>3</v>
      </c>
      <c r="B29" s="2926" t="s">
        <v>2421</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2415</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2422</v>
      </c>
      <c r="K31" s="2833"/>
      <c r="L31" s="2833"/>
      <c r="M31" s="2833"/>
      <c r="N31" s="2833"/>
      <c r="O31" s="2833"/>
      <c r="P31" s="2833"/>
      <c r="Q31" s="2833"/>
      <c r="R31" s="2834"/>
      <c r="S31" s="2916"/>
      <c r="T31" s="2835"/>
      <c r="U31" s="2835"/>
      <c r="V31" s="2943"/>
    </row>
    <row r="32" spans="1:22" s="2944" customFormat="1" ht="13.15" customHeight="1">
      <c r="A32" s="2925">
        <v>4</v>
      </c>
      <c r="B32" s="2926" t="s">
        <v>2423</v>
      </c>
      <c r="C32" s="2927">
        <f>C23-C26-C29</f>
        <v>0</v>
      </c>
      <c r="D32" s="2928">
        <f>D23-D26-D29</f>
        <v>0</v>
      </c>
      <c r="E32" s="2929">
        <f>E23-E26-E29</f>
        <v>0</v>
      </c>
      <c r="F32" s="2930"/>
      <c r="G32" s="2924"/>
      <c r="H32" s="2842"/>
      <c r="I32" s="2843"/>
      <c r="J32" s="3706" t="s">
        <v>2315</v>
      </c>
      <c r="K32" s="3707"/>
      <c r="L32" s="2844" t="s">
        <v>2316</v>
      </c>
      <c r="M32" s="2844" t="s">
        <v>2317</v>
      </c>
      <c r="N32" s="2844" t="s">
        <v>2318</v>
      </c>
      <c r="O32" s="2844" t="s">
        <v>2319</v>
      </c>
      <c r="P32" s="2844" t="s">
        <v>2320</v>
      </c>
      <c r="Q32" s="2845" t="s">
        <v>2321</v>
      </c>
      <c r="R32" s="2967" t="s">
        <v>2322</v>
      </c>
      <c r="S32" s="2916"/>
      <c r="T32" s="2835"/>
      <c r="U32" s="2835"/>
      <c r="V32" s="2943"/>
    </row>
    <row r="33" spans="1:23" s="2847" customFormat="1" ht="13.15" customHeight="1">
      <c r="A33" s="2925"/>
      <c r="B33" s="2926"/>
      <c r="C33" s="2927"/>
      <c r="D33" s="2968"/>
      <c r="E33" s="2969"/>
      <c r="F33" s="2930"/>
      <c r="G33" s="2924"/>
      <c r="H33" s="2952"/>
      <c r="I33" s="2943"/>
      <c r="J33" s="3708" t="s">
        <v>2325</v>
      </c>
      <c r="K33" s="3709"/>
      <c r="L33" s="2850"/>
      <c r="M33" s="2850"/>
      <c r="N33" s="2850"/>
      <c r="O33" s="2850"/>
      <c r="P33" s="2850"/>
      <c r="Q33" s="2851"/>
      <c r="R33" s="2970">
        <f>SUM(L33:Q33)</f>
        <v>0</v>
      </c>
      <c r="S33" s="2916"/>
      <c r="T33" s="2835"/>
      <c r="U33" s="2835"/>
      <c r="V33" s="2843"/>
    </row>
    <row r="34" spans="1:23" s="2847" customFormat="1" ht="13.15" customHeight="1">
      <c r="A34" s="2925">
        <v>5</v>
      </c>
      <c r="B34" s="2926" t="s">
        <v>2424</v>
      </c>
      <c r="C34" s="2971"/>
      <c r="D34" s="2972"/>
      <c r="E34" s="2973"/>
      <c r="F34" s="2930"/>
      <c r="G34" s="2924"/>
      <c r="H34" s="2952"/>
      <c r="I34" s="2943"/>
      <c r="J34" s="3708" t="s">
        <v>2327</v>
      </c>
      <c r="K34" s="370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2425</v>
      </c>
      <c r="C35" s="2975"/>
      <c r="D35" s="2976"/>
      <c r="E35" s="2977"/>
      <c r="F35" s="2930"/>
      <c r="G35" s="2978"/>
      <c r="H35" s="2842"/>
      <c r="I35" s="2943"/>
      <c r="J35" s="2861" t="s">
        <v>2329</v>
      </c>
      <c r="K35" s="2862"/>
      <c r="L35" s="2862"/>
      <c r="M35" s="2863"/>
      <c r="N35" s="2863"/>
      <c r="O35" s="2863"/>
      <c r="P35" s="2863"/>
      <c r="Q35" s="2863"/>
      <c r="R35" s="2979">
        <f>R40+R41+R43</f>
        <v>0</v>
      </c>
      <c r="S35" s="2916"/>
      <c r="T35" s="2835" t="s">
        <v>2330</v>
      </c>
      <c r="U35" s="2835"/>
      <c r="V35" s="2843"/>
    </row>
    <row r="36" spans="1:23" s="2847" customFormat="1" ht="13.15" customHeight="1" thickBot="1">
      <c r="A36" s="2925">
        <v>7</v>
      </c>
      <c r="B36" s="2980" t="s">
        <v>2426</v>
      </c>
      <c r="C36" s="2981"/>
      <c r="D36" s="2982"/>
      <c r="E36" s="2983"/>
      <c r="F36" s="2984">
        <f>C36+D36+E36</f>
        <v>0</v>
      </c>
      <c r="G36" s="2924"/>
      <c r="H36" s="2842"/>
      <c r="I36" s="2843"/>
      <c r="J36" s="3700">
        <v>1</v>
      </c>
      <c r="K36" s="3701" t="s">
        <v>2427</v>
      </c>
      <c r="L36" s="2868"/>
      <c r="M36" s="2869"/>
      <c r="N36" s="2869"/>
      <c r="O36" s="2869"/>
      <c r="P36" s="2869"/>
      <c r="Q36" s="2869"/>
      <c r="R36" s="2852" t="s">
        <v>2339</v>
      </c>
      <c r="S36" s="2916"/>
      <c r="T36" s="2835" t="s">
        <v>2340</v>
      </c>
      <c r="U36" s="2835"/>
      <c r="V36" s="2843"/>
    </row>
    <row r="37" spans="1:23" s="2847" customFormat="1" ht="13.15" customHeight="1">
      <c r="A37" s="2925"/>
      <c r="B37" s="2926"/>
      <c r="C37" s="2926"/>
      <c r="D37" s="2926"/>
      <c r="E37" s="2926"/>
      <c r="F37" s="2930"/>
      <c r="G37" s="2924"/>
      <c r="H37" s="2842"/>
      <c r="I37" s="2843"/>
      <c r="J37" s="3700"/>
      <c r="K37" s="3702"/>
      <c r="L37" s="2877"/>
      <c r="M37" s="2878"/>
      <c r="N37" s="2854"/>
      <c r="O37" s="2879"/>
      <c r="P37" s="2879"/>
      <c r="Q37" s="2880"/>
      <c r="R37" s="2881"/>
      <c r="S37" s="2916"/>
      <c r="T37" s="2835" t="s">
        <v>2343</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0"/>
      <c r="K38" s="3702"/>
      <c r="L38" s="2877"/>
      <c r="M38" s="2878"/>
      <c r="N38" s="2854"/>
      <c r="O38" s="2879"/>
      <c r="P38" s="2879"/>
      <c r="Q38" s="2880"/>
      <c r="R38" s="2881"/>
      <c r="S38" s="2916"/>
      <c r="T38" s="2835" t="s">
        <v>2350</v>
      </c>
      <c r="U38" s="2835"/>
      <c r="V38" s="2843"/>
    </row>
    <row r="39" spans="1:23" s="2847" customFormat="1" ht="13.15" customHeight="1">
      <c r="A39" s="2925">
        <v>9</v>
      </c>
      <c r="B39" s="2926" t="s">
        <v>2428</v>
      </c>
      <c r="C39" s="2891" t="e">
        <f>C38</f>
        <v>#DIV/0!</v>
      </c>
      <c r="D39" s="2926">
        <f>D38/(1+D34)^C36</f>
        <v>0</v>
      </c>
      <c r="E39" s="2926">
        <f>E38/(1+E34)^(C36+D36)</f>
        <v>0</v>
      </c>
      <c r="F39" s="2930"/>
      <c r="G39" s="2985"/>
      <c r="H39" s="2842"/>
      <c r="I39" s="2843"/>
      <c r="J39" s="3700"/>
      <c r="K39" s="3702"/>
      <c r="L39" s="2877"/>
      <c r="M39" s="2878"/>
      <c r="N39" s="2854"/>
      <c r="O39" s="2879"/>
      <c r="P39" s="2879"/>
      <c r="Q39" s="2880"/>
      <c r="R39" s="2881"/>
      <c r="S39" s="2916"/>
      <c r="T39" s="2835"/>
      <c r="U39" s="2835"/>
      <c r="V39" s="2843"/>
    </row>
    <row r="40" spans="1:23" s="2847" customFormat="1" ht="13.15" customHeight="1">
      <c r="A40" s="2986">
        <v>10</v>
      </c>
      <c r="B40" s="2926" t="s">
        <v>2429</v>
      </c>
      <c r="C40" s="2987" t="e">
        <f>C39+D39+E39</f>
        <v>#DIV/0!</v>
      </c>
      <c r="D40" s="2988"/>
      <c r="E40" s="2988"/>
      <c r="F40" s="2989"/>
      <c r="G40" s="2924"/>
      <c r="H40" s="2842"/>
      <c r="I40" s="2843"/>
      <c r="J40" s="3700"/>
      <c r="K40" s="3703"/>
      <c r="L40" s="2897" t="s">
        <v>2368</v>
      </c>
      <c r="M40" s="2898"/>
      <c r="N40" s="2898"/>
      <c r="O40" s="2899"/>
      <c r="P40" s="2899"/>
      <c r="Q40" s="2900"/>
      <c r="R40" s="2846">
        <f>SUM(R37:R39)</f>
        <v>0</v>
      </c>
      <c r="S40" s="2916"/>
      <c r="T40" s="2835"/>
      <c r="U40" s="2835"/>
      <c r="V40" s="2843"/>
    </row>
    <row r="41" spans="1:23" s="2847" customFormat="1" ht="13.15" customHeight="1" thickBot="1">
      <c r="A41" s="2990">
        <v>11</v>
      </c>
      <c r="B41" s="2991" t="s">
        <v>2430</v>
      </c>
      <c r="C41" s="2991" t="e">
        <f>ROUND(C40*10000/B4,0)</f>
        <v>#DIV/0!</v>
      </c>
      <c r="D41" s="2992"/>
      <c r="E41" s="2992"/>
      <c r="F41" s="2993"/>
      <c r="G41" s="2994"/>
      <c r="H41" s="2842"/>
      <c r="I41" s="2843"/>
      <c r="J41" s="2938">
        <v>2</v>
      </c>
      <c r="K41" s="2939" t="s">
        <v>2408</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4">
        <v>3</v>
      </c>
      <c r="K42" s="2945" t="s">
        <v>2410</v>
      </c>
      <c r="L42" s="2946"/>
      <c r="M42" s="2947"/>
      <c r="N42" s="2948" t="s">
        <v>2411</v>
      </c>
      <c r="O42" s="2948" t="s">
        <v>2412</v>
      </c>
      <c r="P42" s="2949" t="s">
        <v>2413</v>
      </c>
      <c r="Q42" s="2949" t="s">
        <v>2414</v>
      </c>
      <c r="R42" s="2852" t="s">
        <v>2339</v>
      </c>
      <c r="S42" s="2950"/>
      <c r="T42" s="2950"/>
      <c r="U42" s="2835"/>
      <c r="V42" s="2843"/>
    </row>
    <row r="43" spans="1:23" ht="13.15" customHeight="1">
      <c r="A43" s="2847"/>
      <c r="B43" s="2847"/>
      <c r="C43" s="2847"/>
      <c r="D43" s="2847"/>
      <c r="E43" s="2847"/>
      <c r="F43" s="2847"/>
      <c r="I43" s="2830"/>
      <c r="J43" s="3705"/>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2417</v>
      </c>
      <c r="L44" s="2998" t="s">
        <v>2418</v>
      </c>
      <c r="M44" s="2961"/>
      <c r="N44" s="2998" t="s">
        <v>2419</v>
      </c>
      <c r="O44" s="2961"/>
      <c r="P44" s="2998" t="s">
        <v>2420</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G34" sqref="G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190127</v>
      </c>
      <c r="C2" s="1872" t="s">
        <v>1651</v>
      </c>
      <c r="D2" s="1873" t="s">
        <v>1652</v>
      </c>
      <c r="E2" s="2602">
        <f>SUM(E6:E13)</f>
        <v>45192.95</v>
      </c>
      <c r="F2" s="2702"/>
      <c r="G2" s="1489"/>
      <c r="H2" s="1489"/>
      <c r="I2" s="1489"/>
      <c r="J2" s="1489"/>
      <c r="K2" s="1489"/>
      <c r="L2" s="1489"/>
      <c r="M2" s="1489"/>
      <c r="N2" s="1489"/>
      <c r="O2" s="1489"/>
      <c r="P2" s="1489"/>
      <c r="Q2" s="1489"/>
      <c r="R2" s="1489"/>
      <c r="S2" s="1489"/>
    </row>
    <row r="3" spans="1:22" ht="15.75">
      <c r="A3" s="1870" t="s">
        <v>686</v>
      </c>
      <c r="B3" s="2596">
        <f ca="1">ROUND(B2*10000/E2,0)</f>
        <v>42070</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19" t="s">
        <v>1654</v>
      </c>
      <c r="C5" s="3720"/>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v>
      </c>
      <c r="B6" s="2597">
        <f ca="1">IF(F6="是",'数据-取费表'!AO6,0)</f>
        <v>190127</v>
      </c>
      <c r="C6" s="1872" t="s">
        <v>1651</v>
      </c>
      <c r="D6" s="2704"/>
      <c r="E6" s="2601">
        <f>IF(OR(A6=0,F6="否"),0,'数据-取费表'!K6+'数据-取费表'!S6)</f>
        <v>45192.95</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1651</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1651</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1651</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1651</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1651</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1651</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45192.95</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739" t="s">
        <v>1667</v>
      </c>
      <c r="D4" s="3740"/>
      <c r="E4" s="3741" t="s">
        <v>1668</v>
      </c>
      <c r="F4" s="3742"/>
      <c r="G4" s="3739" t="s">
        <v>1669</v>
      </c>
      <c r="H4" s="3740"/>
      <c r="I4" s="3739" t="s">
        <v>1670</v>
      </c>
      <c r="J4" s="3740"/>
      <c r="K4" s="1889" t="s">
        <v>1671</v>
      </c>
      <c r="L4" s="2710"/>
      <c r="M4" s="2711"/>
      <c r="N4" s="2711"/>
      <c r="O4" s="2711"/>
      <c r="P4" s="3743" t="s">
        <v>1672</v>
      </c>
      <c r="Q4" s="3744"/>
      <c r="R4" s="3749" t="s">
        <v>1668</v>
      </c>
      <c r="S4" s="3750"/>
      <c r="T4" s="3749" t="s">
        <v>1669</v>
      </c>
      <c r="U4" s="3750"/>
      <c r="V4" s="3755" t="s">
        <v>1670</v>
      </c>
      <c r="W4" s="3755"/>
      <c r="X4" s="1355"/>
      <c r="Y4" s="3749" t="s">
        <v>1672</v>
      </c>
      <c r="Z4" s="3750"/>
      <c r="AA4" s="3736" t="s">
        <v>1668</v>
      </c>
      <c r="AB4" s="3736" t="s">
        <v>1669</v>
      </c>
      <c r="AC4" s="3736" t="s">
        <v>1670</v>
      </c>
    </row>
    <row r="5" spans="1:29" ht="15">
      <c r="A5" s="358"/>
      <c r="B5" s="359"/>
      <c r="C5" s="3758" t="s">
        <v>1673</v>
      </c>
      <c r="D5" s="3759"/>
      <c r="E5" s="3765" t="s">
        <v>1674</v>
      </c>
      <c r="F5" s="3766"/>
      <c r="G5" s="3758" t="s">
        <v>1675</v>
      </c>
      <c r="H5" s="3759"/>
      <c r="I5" s="3758" t="s">
        <v>1676</v>
      </c>
      <c r="J5" s="3759"/>
      <c r="K5" s="1890"/>
      <c r="L5" s="2710"/>
      <c r="M5" s="2711"/>
      <c r="N5" s="2711"/>
      <c r="O5" s="2711"/>
      <c r="P5" s="3745"/>
      <c r="Q5" s="3746"/>
      <c r="R5" s="3751"/>
      <c r="S5" s="3752"/>
      <c r="T5" s="3751"/>
      <c r="U5" s="3752"/>
      <c r="V5" s="3755"/>
      <c r="W5" s="3755"/>
      <c r="X5" s="1355"/>
      <c r="Y5" s="3751"/>
      <c r="Z5" s="3752"/>
      <c r="AA5" s="3737"/>
      <c r="AB5" s="3737"/>
      <c r="AC5" s="3737"/>
    </row>
    <row r="6" spans="1:29" ht="15.75" thickBot="1">
      <c r="A6" s="360"/>
      <c r="B6" s="361"/>
      <c r="C6" s="3756" t="s">
        <v>1677</v>
      </c>
      <c r="D6" s="3757"/>
      <c r="E6" s="3763" t="s">
        <v>1677</v>
      </c>
      <c r="F6" s="3764"/>
      <c r="G6" s="3756" t="s">
        <v>1677</v>
      </c>
      <c r="H6" s="3757"/>
      <c r="I6" s="3756" t="s">
        <v>1677</v>
      </c>
      <c r="J6" s="3757"/>
      <c r="K6" s="1890" t="s">
        <v>1678</v>
      </c>
      <c r="L6" s="2710"/>
      <c r="M6" s="2711"/>
      <c r="N6" s="2711"/>
      <c r="O6" s="2711"/>
      <c r="P6" s="3747"/>
      <c r="Q6" s="3748"/>
      <c r="R6" s="3751"/>
      <c r="S6" s="3752"/>
      <c r="T6" s="3753"/>
      <c r="U6" s="3754"/>
      <c r="V6" s="3755"/>
      <c r="W6" s="3755"/>
      <c r="X6" s="1355"/>
      <c r="Y6" s="3753"/>
      <c r="Z6" s="3754"/>
      <c r="AA6" s="3738"/>
      <c r="AB6" s="3738"/>
      <c r="AC6" s="3738"/>
    </row>
    <row r="7" spans="1:29" s="108" customFormat="1" ht="15.75" thickBot="1">
      <c r="A7" s="362" t="s">
        <v>1679</v>
      </c>
      <c r="B7" s="363"/>
      <c r="C7" s="364">
        <f>'数据-取费表'!B2</f>
        <v>45531</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60" t="s">
        <v>1680</v>
      </c>
      <c r="Q7" s="3762"/>
      <c r="R7" s="701" t="s">
        <v>20</v>
      </c>
      <c r="S7" s="702">
        <f t="shared" ref="S7:S15" si="0">F7</f>
        <v>0</v>
      </c>
      <c r="T7" s="701" t="s">
        <v>20</v>
      </c>
      <c r="U7" s="702">
        <f t="shared" ref="U7:U15" si="1">H7</f>
        <v>0</v>
      </c>
      <c r="V7" s="701" t="s">
        <v>20</v>
      </c>
      <c r="W7" s="702">
        <f t="shared" ref="W7:W15" si="2">J7</f>
        <v>0</v>
      </c>
      <c r="X7" s="703"/>
      <c r="Y7" s="3760" t="s">
        <v>1680</v>
      </c>
      <c r="Z7" s="376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60" t="s">
        <v>1683</v>
      </c>
      <c r="Q8" s="3761"/>
      <c r="R8" s="701" t="s">
        <v>20</v>
      </c>
      <c r="S8" s="702">
        <f t="shared" si="0"/>
        <v>100</v>
      </c>
      <c r="T8" s="701" t="s">
        <v>20</v>
      </c>
      <c r="U8" s="702">
        <f t="shared" si="1"/>
        <v>100</v>
      </c>
      <c r="V8" s="701" t="s">
        <v>20</v>
      </c>
      <c r="W8" s="702">
        <f t="shared" si="2"/>
        <v>100</v>
      </c>
      <c r="X8" s="703"/>
      <c r="Y8" s="3760" t="s">
        <v>1683</v>
      </c>
      <c r="Z8" s="37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35" t="s">
        <v>1686</v>
      </c>
      <c r="Q9" s="1343"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35"/>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35"/>
      <c r="Q11" s="1343" t="str">
        <f t="shared" si="6"/>
        <v>容积率</v>
      </c>
      <c r="R11" s="701" t="s">
        <v>18</v>
      </c>
      <c r="S11" s="702" t="e">
        <f t="shared" si="0"/>
        <v>#N/A</v>
      </c>
      <c r="T11" s="701" t="s">
        <v>18</v>
      </c>
      <c r="U11" s="702" t="e">
        <f t="shared" si="1"/>
        <v>#N/A</v>
      </c>
      <c r="V11" s="701" t="s">
        <v>18</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35"/>
      <c r="Q12" s="1343">
        <f t="shared" si="6"/>
        <v>111</v>
      </c>
      <c r="R12" s="701" t="s">
        <v>18</v>
      </c>
      <c r="S12" s="702">
        <f t="shared" si="0"/>
        <v>100</v>
      </c>
      <c r="T12" s="701" t="s">
        <v>18</v>
      </c>
      <c r="U12" s="702">
        <f t="shared" si="1"/>
        <v>100</v>
      </c>
      <c r="V12" s="701" t="s">
        <v>18</v>
      </c>
      <c r="W12" s="702">
        <f t="shared" si="2"/>
        <v>100</v>
      </c>
      <c r="X12" s="703"/>
      <c r="Y12" s="359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35"/>
      <c r="Q13" s="1343">
        <f t="shared" si="6"/>
        <v>111</v>
      </c>
      <c r="R13" s="701" t="s">
        <v>18</v>
      </c>
      <c r="S13" s="702">
        <f t="shared" si="0"/>
        <v>100</v>
      </c>
      <c r="T13" s="701" t="s">
        <v>18</v>
      </c>
      <c r="U13" s="702">
        <f t="shared" si="1"/>
        <v>100</v>
      </c>
      <c r="V13" s="701" t="s">
        <v>18</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35"/>
      <c r="Q14" s="1343">
        <f t="shared" si="6"/>
        <v>111</v>
      </c>
      <c r="R14" s="701" t="s">
        <v>18</v>
      </c>
      <c r="S14" s="702">
        <f t="shared" si="0"/>
        <v>100</v>
      </c>
      <c r="T14" s="701" t="s">
        <v>18</v>
      </c>
      <c r="U14" s="702">
        <f t="shared" si="1"/>
        <v>100</v>
      </c>
      <c r="V14" s="701" t="s">
        <v>18</v>
      </c>
      <c r="W14" s="702">
        <f t="shared" si="2"/>
        <v>100</v>
      </c>
      <c r="X14" s="703"/>
      <c r="Y14" s="3599"/>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3" t="s">
        <v>1691</v>
      </c>
      <c r="Q15" s="1352" t="str">
        <f t="shared" si="6"/>
        <v>居住社区成熟度</v>
      </c>
      <c r="R15" s="705" t="s">
        <v>18</v>
      </c>
      <c r="S15" s="706">
        <f t="shared" si="0"/>
        <v>100</v>
      </c>
      <c r="T15" s="705" t="s">
        <v>18</v>
      </c>
      <c r="U15" s="706">
        <f t="shared" si="1"/>
        <v>100</v>
      </c>
      <c r="V15" s="705" t="s">
        <v>18</v>
      </c>
      <c r="W15" s="706">
        <f t="shared" si="2"/>
        <v>100</v>
      </c>
      <c r="X15" s="1355"/>
      <c r="Y15" s="372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34"/>
      <c r="Q16" s="1352"/>
      <c r="R16" s="705"/>
      <c r="S16" s="706"/>
      <c r="T16" s="705"/>
      <c r="U16" s="706"/>
      <c r="V16" s="705"/>
      <c r="W16" s="706"/>
      <c r="X16" s="1355"/>
      <c r="Y16" s="3727"/>
      <c r="Z16" s="1356"/>
      <c r="AA16" s="1353">
        <v>1</v>
      </c>
      <c r="AB16" s="1353">
        <v>1</v>
      </c>
      <c r="AC16" s="1353">
        <v>1</v>
      </c>
    </row>
    <row r="17" spans="1:29" ht="15">
      <c r="A17" s="379"/>
      <c r="B17" s="402" t="s">
        <v>1259</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4"/>
      <c r="Q17" s="1352" t="str">
        <f>B17</f>
        <v>交通便捷度</v>
      </c>
      <c r="R17" s="705" t="s">
        <v>18</v>
      </c>
      <c r="S17" s="706">
        <f>F17</f>
        <v>100</v>
      </c>
      <c r="T17" s="705" t="s">
        <v>18</v>
      </c>
      <c r="U17" s="706">
        <f>H17</f>
        <v>100</v>
      </c>
      <c r="V17" s="705" t="s">
        <v>18</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34"/>
      <c r="Q18" s="1352"/>
      <c r="R18" s="705"/>
      <c r="S18" s="706"/>
      <c r="T18" s="705"/>
      <c r="U18" s="706"/>
      <c r="V18" s="705"/>
      <c r="W18" s="706"/>
      <c r="X18" s="1355"/>
      <c r="Y18" s="3727"/>
      <c r="Z18" s="1356"/>
      <c r="AA18" s="1353">
        <v>1</v>
      </c>
      <c r="AB18" s="1353">
        <v>1</v>
      </c>
      <c r="AC18" s="1353">
        <v>1</v>
      </c>
    </row>
    <row r="19" spans="1:29" ht="15">
      <c r="A19" s="379"/>
      <c r="B19" s="402" t="s">
        <v>1258</v>
      </c>
      <c r="C19" s="1900"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4"/>
      <c r="Q19" s="1352" t="str">
        <f>B19</f>
        <v>公共配套设施</v>
      </c>
      <c r="R19" s="705" t="s">
        <v>18</v>
      </c>
      <c r="S19" s="706">
        <f>F19</f>
        <v>100</v>
      </c>
      <c r="T19" s="705" t="s">
        <v>18</v>
      </c>
      <c r="U19" s="706">
        <f>H19</f>
        <v>100</v>
      </c>
      <c r="V19" s="705" t="s">
        <v>18</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34"/>
      <c r="Q20" s="1352"/>
      <c r="R20" s="705"/>
      <c r="S20" s="706"/>
      <c r="T20" s="705"/>
      <c r="U20" s="706"/>
      <c r="V20" s="705"/>
      <c r="W20" s="706"/>
      <c r="X20" s="1355"/>
      <c r="Y20" s="372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34"/>
      <c r="Q22" s="1352"/>
      <c r="R22" s="705"/>
      <c r="S22" s="706"/>
      <c r="T22" s="705"/>
      <c r="U22" s="706"/>
      <c r="V22" s="705"/>
      <c r="W22" s="706"/>
      <c r="X22" s="1355"/>
      <c r="Y22" s="3727"/>
      <c r="Z22" s="1356"/>
      <c r="AA22" s="1353">
        <v>1</v>
      </c>
      <c r="AB22" s="1353">
        <v>1</v>
      </c>
      <c r="AC22" s="1353">
        <v>1</v>
      </c>
    </row>
    <row r="23" spans="1:29" ht="15">
      <c r="A23" s="379"/>
      <c r="B23" s="402" t="s">
        <v>1261</v>
      </c>
      <c r="C23" s="1900" t="str">
        <f>估价对象房地状况!C9</f>
        <v>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4"/>
      <c r="Q23" s="1352" t="str">
        <f>B23</f>
        <v>自然及人文环境</v>
      </c>
      <c r="R23" s="705" t="s">
        <v>18</v>
      </c>
      <c r="S23" s="706">
        <f>F23</f>
        <v>100</v>
      </c>
      <c r="T23" s="705" t="s">
        <v>18</v>
      </c>
      <c r="U23" s="706">
        <f>H23</f>
        <v>100</v>
      </c>
      <c r="V23" s="705" t="s">
        <v>18</v>
      </c>
      <c r="W23" s="706">
        <f>J23</f>
        <v>100</v>
      </c>
      <c r="X23" s="1355"/>
      <c r="Y23" s="37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34"/>
      <c r="Q24" s="1352"/>
      <c r="R24" s="705"/>
      <c r="S24" s="706"/>
      <c r="T24" s="705"/>
      <c r="U24" s="706"/>
      <c r="V24" s="705"/>
      <c r="W24" s="706"/>
      <c r="X24" s="1355"/>
      <c r="Y24" s="372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34"/>
      <c r="Q26" s="1352" t="str">
        <f t="shared" si="11"/>
        <v>朝向</v>
      </c>
      <c r="R26" s="705" t="s">
        <v>18</v>
      </c>
      <c r="S26" s="706">
        <f t="shared" si="12"/>
        <v>100</v>
      </c>
      <c r="T26" s="705" t="s">
        <v>18</v>
      </c>
      <c r="U26" s="706">
        <f t="shared" si="13"/>
        <v>100</v>
      </c>
      <c r="V26" s="705" t="s">
        <v>18</v>
      </c>
      <c r="W26" s="706">
        <f t="shared" si="14"/>
        <v>100</v>
      </c>
      <c r="X26" s="1355"/>
      <c r="Y26" s="372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34"/>
      <c r="Q27" s="1343">
        <f t="shared" si="11"/>
        <v>111</v>
      </c>
      <c r="R27" s="701" t="s">
        <v>18</v>
      </c>
      <c r="S27" s="702">
        <f t="shared" si="12"/>
        <v>100</v>
      </c>
      <c r="T27" s="701" t="s">
        <v>18</v>
      </c>
      <c r="U27" s="702">
        <f t="shared" si="13"/>
        <v>100</v>
      </c>
      <c r="V27" s="701" t="s">
        <v>18</v>
      </c>
      <c r="W27" s="702">
        <f t="shared" si="14"/>
        <v>100</v>
      </c>
      <c r="X27" s="703"/>
      <c r="Y27" s="372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34"/>
      <c r="Q28" s="1352">
        <f t="shared" si="11"/>
        <v>111</v>
      </c>
      <c r="R28" s="705" t="s">
        <v>18</v>
      </c>
      <c r="S28" s="706">
        <f t="shared" si="12"/>
        <v>100</v>
      </c>
      <c r="T28" s="705" t="s">
        <v>18</v>
      </c>
      <c r="U28" s="706">
        <f t="shared" si="13"/>
        <v>100</v>
      </c>
      <c r="V28" s="705" t="s">
        <v>18</v>
      </c>
      <c r="W28" s="706">
        <f t="shared" si="14"/>
        <v>100</v>
      </c>
      <c r="X28" s="1355"/>
      <c r="Y28" s="37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34"/>
      <c r="Q29" s="1352">
        <f t="shared" si="11"/>
        <v>111</v>
      </c>
      <c r="R29" s="705" t="s">
        <v>18</v>
      </c>
      <c r="S29" s="706">
        <f t="shared" si="12"/>
        <v>100</v>
      </c>
      <c r="T29" s="705" t="s">
        <v>18</v>
      </c>
      <c r="U29" s="706">
        <f t="shared" si="13"/>
        <v>100</v>
      </c>
      <c r="V29" s="705" t="s">
        <v>18</v>
      </c>
      <c r="W29" s="706">
        <f t="shared" si="14"/>
        <v>100</v>
      </c>
      <c r="X29" s="1355"/>
      <c r="Y29" s="37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34"/>
      <c r="Q30" s="1352">
        <f t="shared" si="11"/>
        <v>111</v>
      </c>
      <c r="R30" s="705" t="s">
        <v>18</v>
      </c>
      <c r="S30" s="706">
        <f t="shared" si="12"/>
        <v>100</v>
      </c>
      <c r="T30" s="705" t="s">
        <v>18</v>
      </c>
      <c r="U30" s="706">
        <f t="shared" si="13"/>
        <v>100</v>
      </c>
      <c r="V30" s="705" t="s">
        <v>18</v>
      </c>
      <c r="W30" s="706">
        <f t="shared" si="14"/>
        <v>100</v>
      </c>
      <c r="X30" s="1355"/>
      <c r="Y30" s="372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34"/>
      <c r="Q31" s="1352">
        <f t="shared" si="11"/>
        <v>111</v>
      </c>
      <c r="R31" s="705" t="s">
        <v>18</v>
      </c>
      <c r="S31" s="706">
        <f t="shared" si="12"/>
        <v>100</v>
      </c>
      <c r="T31" s="705" t="s">
        <v>18</v>
      </c>
      <c r="U31" s="706">
        <f t="shared" si="13"/>
        <v>100</v>
      </c>
      <c r="V31" s="705" t="s">
        <v>18</v>
      </c>
      <c r="W31" s="706">
        <f t="shared" si="14"/>
        <v>100</v>
      </c>
      <c r="X31" s="1355"/>
      <c r="Y31" s="372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28" t="s">
        <v>1696</v>
      </c>
      <c r="Q32" s="1352" t="str">
        <f t="shared" si="11"/>
        <v>建筑类型</v>
      </c>
      <c r="R32" s="705" t="s">
        <v>18</v>
      </c>
      <c r="S32" s="706">
        <f t="shared" si="12"/>
        <v>100</v>
      </c>
      <c r="T32" s="705" t="s">
        <v>18</v>
      </c>
      <c r="U32" s="706">
        <f t="shared" si="13"/>
        <v>100</v>
      </c>
      <c r="V32" s="705" t="s">
        <v>18</v>
      </c>
      <c r="W32" s="706">
        <f t="shared" si="14"/>
        <v>100</v>
      </c>
      <c r="X32" s="1355"/>
      <c r="Y32" s="373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29"/>
      <c r="Q34" s="1352" t="str">
        <f t="shared" si="11"/>
        <v>建筑结构</v>
      </c>
      <c r="R34" s="705" t="s">
        <v>18</v>
      </c>
      <c r="S34" s="706">
        <f t="shared" si="12"/>
        <v>100</v>
      </c>
      <c r="T34" s="705" t="s">
        <v>18</v>
      </c>
      <c r="U34" s="706">
        <f t="shared" si="13"/>
        <v>100</v>
      </c>
      <c r="V34" s="705" t="s">
        <v>18</v>
      </c>
      <c r="W34" s="706">
        <f t="shared" si="14"/>
        <v>100</v>
      </c>
      <c r="X34" s="1355"/>
      <c r="Y34" s="373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29"/>
      <c r="Q35" s="1352" t="str">
        <f t="shared" si="11"/>
        <v>建筑品质</v>
      </c>
      <c r="R35" s="705" t="s">
        <v>18</v>
      </c>
      <c r="S35" s="706">
        <f t="shared" si="12"/>
        <v>100</v>
      </c>
      <c r="T35" s="705" t="s">
        <v>18</v>
      </c>
      <c r="U35" s="706">
        <f t="shared" si="13"/>
        <v>100</v>
      </c>
      <c r="V35" s="705" t="s">
        <v>18</v>
      </c>
      <c r="W35" s="706">
        <f t="shared" si="14"/>
        <v>100</v>
      </c>
      <c r="X35" s="1355"/>
      <c r="Y35" s="373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29"/>
      <c r="Q36" s="1352" t="str">
        <f t="shared" si="11"/>
        <v>公共部分装修</v>
      </c>
      <c r="R36" s="705" t="s">
        <v>18</v>
      </c>
      <c r="S36" s="706">
        <f t="shared" si="12"/>
        <v>100</v>
      </c>
      <c r="T36" s="705" t="s">
        <v>18</v>
      </c>
      <c r="U36" s="706">
        <f t="shared" si="13"/>
        <v>100</v>
      </c>
      <c r="V36" s="705" t="s">
        <v>18</v>
      </c>
      <c r="W36" s="706">
        <f t="shared" si="14"/>
        <v>100</v>
      </c>
      <c r="X36" s="1355"/>
      <c r="Y36" s="373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29"/>
      <c r="Q37" s="1343"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29" t="s">
        <v>1696</v>
      </c>
      <c r="Q38" s="1352" t="str">
        <f t="shared" si="11"/>
        <v>物业管理</v>
      </c>
      <c r="R38" s="705" t="s">
        <v>18</v>
      </c>
      <c r="S38" s="706">
        <f t="shared" si="12"/>
        <v>100</v>
      </c>
      <c r="T38" s="705" t="s">
        <v>18</v>
      </c>
      <c r="U38" s="706">
        <f t="shared" si="13"/>
        <v>100</v>
      </c>
      <c r="V38" s="705" t="s">
        <v>18</v>
      </c>
      <c r="W38" s="706">
        <f t="shared" si="14"/>
        <v>100</v>
      </c>
      <c r="X38" s="1355"/>
      <c r="Y38" s="373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29"/>
      <c r="Q39" s="1352" t="str">
        <f t="shared" si="11"/>
        <v>市政基础设施</v>
      </c>
      <c r="R39" s="705" t="s">
        <v>18</v>
      </c>
      <c r="S39" s="706">
        <f t="shared" si="12"/>
        <v>100</v>
      </c>
      <c r="T39" s="705" t="s">
        <v>18</v>
      </c>
      <c r="U39" s="706">
        <f t="shared" si="13"/>
        <v>100</v>
      </c>
      <c r="V39" s="705" t="s">
        <v>18</v>
      </c>
      <c r="W39" s="706">
        <f t="shared" si="14"/>
        <v>100</v>
      </c>
      <c r="X39" s="1355"/>
      <c r="Y39" s="373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29"/>
      <c r="Q40" s="1352" t="str">
        <f t="shared" si="11"/>
        <v>房型</v>
      </c>
      <c r="R40" s="705" t="s">
        <v>18</v>
      </c>
      <c r="S40" s="706">
        <f t="shared" si="12"/>
        <v>100</v>
      </c>
      <c r="T40" s="705" t="s">
        <v>18</v>
      </c>
      <c r="U40" s="706">
        <f t="shared" si="13"/>
        <v>100</v>
      </c>
      <c r="V40" s="705" t="s">
        <v>18</v>
      </c>
      <c r="W40" s="706">
        <f t="shared" si="14"/>
        <v>100</v>
      </c>
      <c r="X40" s="1355"/>
      <c r="Y40" s="373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29"/>
      <c r="Q42" s="1352" t="str">
        <f t="shared" si="11"/>
        <v>内部装修</v>
      </c>
      <c r="R42" s="705" t="s">
        <v>18</v>
      </c>
      <c r="S42" s="706">
        <f t="shared" si="12"/>
        <v>100</v>
      </c>
      <c r="T42" s="705" t="s">
        <v>18</v>
      </c>
      <c r="U42" s="706">
        <f t="shared" si="13"/>
        <v>100</v>
      </c>
      <c r="V42" s="705" t="s">
        <v>18</v>
      </c>
      <c r="W42" s="706">
        <f t="shared" si="14"/>
        <v>100</v>
      </c>
      <c r="X42" s="1355"/>
      <c r="Y42" s="373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29"/>
      <c r="Q43" s="1352" t="str">
        <f t="shared" si="11"/>
        <v>内部装修维护情况</v>
      </c>
      <c r="R43" s="705" t="s">
        <v>18</v>
      </c>
      <c r="S43" s="706">
        <f t="shared" si="12"/>
        <v>100</v>
      </c>
      <c r="T43" s="705" t="s">
        <v>18</v>
      </c>
      <c r="U43" s="706">
        <f t="shared" si="13"/>
        <v>100</v>
      </c>
      <c r="V43" s="705" t="s">
        <v>18</v>
      </c>
      <c r="W43" s="706">
        <f t="shared" si="14"/>
        <v>100</v>
      </c>
      <c r="X43" s="1355"/>
      <c r="Y43" s="373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29"/>
      <c r="Q44" s="1343">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29"/>
      <c r="Q45" s="1352">
        <f t="shared" si="11"/>
        <v>111</v>
      </c>
      <c r="R45" s="705" t="s">
        <v>18</v>
      </c>
      <c r="S45" s="706">
        <f t="shared" si="12"/>
        <v>100</v>
      </c>
      <c r="T45" s="705" t="s">
        <v>18</v>
      </c>
      <c r="U45" s="706">
        <f t="shared" si="13"/>
        <v>100</v>
      </c>
      <c r="V45" s="705" t="s">
        <v>18</v>
      </c>
      <c r="W45" s="706">
        <f t="shared" si="14"/>
        <v>100</v>
      </c>
      <c r="X45" s="1355"/>
      <c r="Y45" s="373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30"/>
      <c r="Q46" s="1352">
        <f t="shared" si="11"/>
        <v>111</v>
      </c>
      <c r="R46" s="705" t="s">
        <v>17</v>
      </c>
      <c r="S46" s="706">
        <f t="shared" si="12"/>
        <v>100</v>
      </c>
      <c r="T46" s="705" t="s">
        <v>17</v>
      </c>
      <c r="U46" s="706">
        <f t="shared" si="13"/>
        <v>100</v>
      </c>
      <c r="V46" s="705" t="s">
        <v>17</v>
      </c>
      <c r="W46" s="706">
        <f t="shared" si="14"/>
        <v>100</v>
      </c>
      <c r="X46" s="1355"/>
      <c r="Y46" s="373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4685</v>
      </c>
      <c r="E1" s="3427" t="s">
        <v>4681</v>
      </c>
      <c r="F1" s="1879" t="s">
        <v>4682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214102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47375</v>
      </c>
      <c r="C3" s="354" t="s">
        <v>1768</v>
      </c>
      <c r="D3" s="353">
        <f>IF(D1="",'数据-汇总表'!E3,SUMIF('数据-汇总表'!$C19:$C33,D1,'数据-汇总表'!$E19:$E33))</f>
        <v>45192.95</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39" t="s">
        <v>1770</v>
      </c>
      <c r="D4" s="3740"/>
      <c r="E4" s="3741" t="s">
        <v>1771</v>
      </c>
      <c r="F4" s="3742"/>
      <c r="G4" s="3739" t="s">
        <v>1772</v>
      </c>
      <c r="H4" s="3740"/>
      <c r="I4" s="3739" t="s">
        <v>1773</v>
      </c>
      <c r="J4" s="3740"/>
      <c r="K4" s="559" t="s">
        <v>1774</v>
      </c>
      <c r="L4" s="2710"/>
      <c r="M4" s="2711"/>
      <c r="N4" s="2711"/>
      <c r="O4" s="2711"/>
      <c r="P4" s="3773" t="s">
        <v>1775</v>
      </c>
      <c r="Q4" s="3774"/>
      <c r="R4" s="3777" t="s">
        <v>1771</v>
      </c>
      <c r="S4" s="3778"/>
      <c r="T4" s="3777" t="s">
        <v>1772</v>
      </c>
      <c r="U4" s="3778"/>
      <c r="V4" s="3779" t="s">
        <v>1773</v>
      </c>
      <c r="W4" s="3779"/>
      <c r="X4" s="1958"/>
      <c r="Y4" s="3777" t="s">
        <v>1775</v>
      </c>
      <c r="Z4" s="3778"/>
      <c r="AA4" s="3782" t="s">
        <v>1771</v>
      </c>
      <c r="AB4" s="3782" t="s">
        <v>1772</v>
      </c>
      <c r="AC4" s="3770" t="s">
        <v>1773</v>
      </c>
    </row>
    <row r="5" spans="1:29" ht="15">
      <c r="A5" s="358"/>
      <c r="B5" s="359"/>
      <c r="C5" s="3781" t="s">
        <v>4699</v>
      </c>
      <c r="D5" s="3759"/>
      <c r="E5" s="3765" t="str">
        <f>'2022年大宗'!B91</f>
        <v>诺德中心</v>
      </c>
      <c r="F5" s="3766"/>
      <c r="G5" s="3758" t="str">
        <f>大宗案例!$B$3</f>
        <v>保利佲悦大都汇</v>
      </c>
      <c r="H5" s="3759"/>
      <c r="I5" s="3758" t="str">
        <f>大宗案例!B4</f>
        <v>北京丰台金茂广场</v>
      </c>
      <c r="J5" s="3759"/>
      <c r="K5" s="559"/>
      <c r="L5" s="2710"/>
      <c r="M5" s="2711"/>
      <c r="N5" s="2711"/>
      <c r="O5" s="2711"/>
      <c r="P5" s="3775"/>
      <c r="Q5" s="3746"/>
      <c r="R5" s="3751"/>
      <c r="S5" s="3752"/>
      <c r="T5" s="3751"/>
      <c r="U5" s="3752"/>
      <c r="V5" s="3755"/>
      <c r="W5" s="3755"/>
      <c r="X5" s="1355"/>
      <c r="Y5" s="3751"/>
      <c r="Z5" s="3752"/>
      <c r="AA5" s="3737"/>
      <c r="AB5" s="3737"/>
      <c r="AC5" s="3771"/>
    </row>
    <row r="6" spans="1:29" ht="15.75" thickBot="1">
      <c r="A6" s="360"/>
      <c r="B6" s="361"/>
      <c r="C6" s="3756" t="s">
        <v>1677</v>
      </c>
      <c r="D6" s="3757"/>
      <c r="E6" s="3763" t="s">
        <v>1677</v>
      </c>
      <c r="F6" s="3764"/>
      <c r="G6" s="3756" t="s">
        <v>1677</v>
      </c>
      <c r="H6" s="3757"/>
      <c r="I6" s="3756" t="s">
        <v>1677</v>
      </c>
      <c r="J6" s="3757"/>
      <c r="K6" s="559" t="s">
        <v>1678</v>
      </c>
      <c r="L6" s="2710"/>
      <c r="M6" s="2711"/>
      <c r="N6" s="2711"/>
      <c r="O6" s="2711"/>
      <c r="P6" s="3776"/>
      <c r="Q6" s="3748"/>
      <c r="R6" s="3751"/>
      <c r="S6" s="3752"/>
      <c r="T6" s="3753"/>
      <c r="U6" s="3754"/>
      <c r="V6" s="3755"/>
      <c r="W6" s="3755"/>
      <c r="X6" s="1355"/>
      <c r="Y6" s="3753"/>
      <c r="Z6" s="3754"/>
      <c r="AA6" s="3738"/>
      <c r="AB6" s="3738"/>
      <c r="AC6" s="3772"/>
    </row>
    <row r="7" spans="1:29" s="108" customFormat="1" ht="15.75" thickBot="1">
      <c r="A7" s="362" t="s">
        <v>1679</v>
      </c>
      <c r="B7" s="363"/>
      <c r="C7" s="364">
        <f>'数据-取费表'!B2</f>
        <v>45531</v>
      </c>
      <c r="D7" s="365">
        <v>100</v>
      </c>
      <c r="E7" s="366">
        <v>44835</v>
      </c>
      <c r="F7" s="367">
        <f>SUMIF(59:59,YEAR(E7)&amp;"-"&amp;MONTH(E7),60:60)</f>
        <v>100</v>
      </c>
      <c r="G7" s="366">
        <f>大宗案例!$I$3</f>
        <v>44896</v>
      </c>
      <c r="H7" s="365">
        <f>SUMIF(59:59,YEAR(G7)&amp;"-"&amp;MONTH(G7),60:60)</f>
        <v>100</v>
      </c>
      <c r="I7" s="366">
        <f>大宗案例!$I$4</f>
        <v>44804</v>
      </c>
      <c r="J7" s="365">
        <f>SUMIF(59:59,YEAR(I7)&amp;"-"&amp;MONTH(I7),60:60)</f>
        <v>100</v>
      </c>
      <c r="K7" s="560"/>
      <c r="L7" s="2712"/>
      <c r="M7" s="2713"/>
      <c r="N7" s="2713"/>
      <c r="O7" s="2713"/>
      <c r="P7" s="3780" t="s">
        <v>1680</v>
      </c>
      <c r="Q7" s="3762"/>
      <c r="R7" s="701" t="s">
        <v>14</v>
      </c>
      <c r="S7" s="702">
        <f t="shared" ref="S7:S15" si="0">F7</f>
        <v>100</v>
      </c>
      <c r="T7" s="701" t="s">
        <v>14</v>
      </c>
      <c r="U7" s="702">
        <f t="shared" ref="U7:U15" si="1">H7</f>
        <v>100</v>
      </c>
      <c r="V7" s="701" t="s">
        <v>14</v>
      </c>
      <c r="W7" s="702">
        <f t="shared" ref="W7:W15" si="2">J7</f>
        <v>100</v>
      </c>
      <c r="X7" s="703"/>
      <c r="Y7" s="3760" t="s">
        <v>1680</v>
      </c>
      <c r="Z7" s="3761"/>
      <c r="AA7" s="704">
        <f>D7/F7</f>
        <v>1</v>
      </c>
      <c r="AB7" s="704">
        <f>D7/H7</f>
        <v>1</v>
      </c>
      <c r="AC7" s="1959">
        <f>D7/J7</f>
        <v>1</v>
      </c>
    </row>
    <row r="8" spans="1:29" s="108" customFormat="1" ht="15.75" thickBot="1">
      <c r="A8" s="362" t="s">
        <v>1681</v>
      </c>
      <c r="B8" s="363"/>
      <c r="C8" s="368" t="s">
        <v>4659</v>
      </c>
      <c r="D8" s="365">
        <v>100</v>
      </c>
      <c r="E8" s="368" t="s">
        <v>4659</v>
      </c>
      <c r="F8" s="367">
        <f>SUMIF(62:62,E8,63:63)-SUMIF(62:62,C8,63:63)+100</f>
        <v>100</v>
      </c>
      <c r="G8" s="368" t="s">
        <v>4659</v>
      </c>
      <c r="H8" s="365">
        <f>SUMIF(62:62,G8,63:63)-SUMIF(62:62,C8,63:63)+100</f>
        <v>100</v>
      </c>
      <c r="I8" s="368" t="s">
        <v>4659</v>
      </c>
      <c r="J8" s="365">
        <f>SUMIF(62:62,I8,63:63)-SUMIF(62:62,C8,63:63)+100</f>
        <v>100</v>
      </c>
      <c r="K8" s="560"/>
      <c r="L8" s="2712"/>
      <c r="M8" s="2713"/>
      <c r="N8" s="2713"/>
      <c r="O8" s="2713"/>
      <c r="P8" s="3780" t="s">
        <v>1683</v>
      </c>
      <c r="Q8" s="3761"/>
      <c r="R8" s="701" t="s">
        <v>14</v>
      </c>
      <c r="S8" s="702">
        <f t="shared" si="0"/>
        <v>100</v>
      </c>
      <c r="T8" s="701" t="s">
        <v>14</v>
      </c>
      <c r="U8" s="702">
        <f t="shared" si="1"/>
        <v>100</v>
      </c>
      <c r="V8" s="701" t="s">
        <v>14</v>
      </c>
      <c r="W8" s="702">
        <f t="shared" si="2"/>
        <v>100</v>
      </c>
      <c r="X8" s="703"/>
      <c r="Y8" s="3760" t="s">
        <v>1683</v>
      </c>
      <c r="Z8" s="3761"/>
      <c r="AA8" s="704">
        <f t="shared" ref="AA8:AA47" si="3">D8/F8</f>
        <v>1</v>
      </c>
      <c r="AB8" s="704">
        <f t="shared" ref="AB8:AB47" si="4">D8/H8</f>
        <v>1</v>
      </c>
      <c r="AC8" s="1959">
        <f t="shared" ref="AC8:AC47" si="5">D8/J8</f>
        <v>1</v>
      </c>
    </row>
    <row r="9" spans="1:29" s="108" customFormat="1" ht="15">
      <c r="A9" s="369" t="s">
        <v>1684</v>
      </c>
      <c r="B9" s="63" t="s">
        <v>1685</v>
      </c>
      <c r="C9" s="3490" t="s">
        <v>5225</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35" t="s">
        <v>1686</v>
      </c>
      <c r="Q9" s="1343"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1959">
        <f t="shared" si="5"/>
        <v>1</v>
      </c>
    </row>
    <row r="10" spans="1:29" s="378" customFormat="1" ht="27">
      <c r="A10" s="374"/>
      <c r="B10" s="375" t="s">
        <v>1688</v>
      </c>
      <c r="C10" s="3428" t="str">
        <f>E66</f>
        <v>20-30</v>
      </c>
      <c r="D10" s="127">
        <v>100</v>
      </c>
      <c r="E10" s="3428" t="str">
        <f>D66</f>
        <v>30-40</v>
      </c>
      <c r="F10" s="127">
        <f>SUMIF(66:66,E10,67:67)-SUMIF(66:66,C10,67:67)+100</f>
        <v>102</v>
      </c>
      <c r="G10" s="3428" t="s">
        <v>4702</v>
      </c>
      <c r="H10" s="127">
        <f>SUMIF(66:66,G10,67:67)-SUMIF(66:66,C10,67:67)+100</f>
        <v>104</v>
      </c>
      <c r="I10" s="3428" t="s">
        <v>4702</v>
      </c>
      <c r="J10" s="127">
        <f>SUMIF(66:66,I10,67:67)-SUMIF(66:66,C10,67:67)+100</f>
        <v>104</v>
      </c>
      <c r="K10" s="560"/>
      <c r="L10" s="2714"/>
      <c r="M10" s="2715"/>
      <c r="N10" s="2715"/>
      <c r="O10" s="2715"/>
      <c r="P10" s="3735"/>
      <c r="Q10" s="1343" t="str">
        <f t="shared" si="6"/>
        <v>土地使用年限（年）</v>
      </c>
      <c r="R10" s="701" t="s">
        <v>14</v>
      </c>
      <c r="S10" s="702">
        <f t="shared" si="0"/>
        <v>102</v>
      </c>
      <c r="T10" s="701" t="s">
        <v>14</v>
      </c>
      <c r="U10" s="702">
        <f t="shared" si="1"/>
        <v>104</v>
      </c>
      <c r="V10" s="701" t="s">
        <v>14</v>
      </c>
      <c r="W10" s="702">
        <f t="shared" si="2"/>
        <v>104</v>
      </c>
      <c r="X10" s="703"/>
      <c r="Y10" s="3599"/>
      <c r="Z10" s="52" t="str">
        <f t="shared" si="7"/>
        <v>土地使用年限（年）</v>
      </c>
      <c r="AA10" s="704">
        <f t="shared" si="3"/>
        <v>0.98039215686274506</v>
      </c>
      <c r="AB10" s="704">
        <f t="shared" si="4"/>
        <v>0.96153846153846156</v>
      </c>
      <c r="AC10" s="1959">
        <f t="shared" si="5"/>
        <v>0.96153846153846156</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5"/>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35"/>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35"/>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35"/>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3" t="s">
        <v>3459</v>
      </c>
      <c r="F15" s="392">
        <f>SUMIF(77:77,E16,78:78)-SUMIF(77:77,C16,78:78)+100</f>
        <v>100</v>
      </c>
      <c r="G15" s="393" t="s">
        <v>3459</v>
      </c>
      <c r="H15" s="392">
        <f>SUMIF(77:77,G16,78:78)-SUMIF(77:77,C16,78:78)+100</f>
        <v>100</v>
      </c>
      <c r="I15" s="393" t="s">
        <v>3459</v>
      </c>
      <c r="J15" s="392">
        <f>SUMIF(77:77,I16,78:78)-SUMIF(77:77,C16,78:78)+100</f>
        <v>100</v>
      </c>
      <c r="K15" s="563">
        <v>3</v>
      </c>
      <c r="L15" s="2717"/>
      <c r="M15" s="2711"/>
      <c r="N15" s="2711"/>
      <c r="O15" s="2711"/>
      <c r="P15" s="3733" t="s">
        <v>1691</v>
      </c>
      <c r="Q15" s="1352" t="str">
        <f t="shared" si="6"/>
        <v>办公集聚程度</v>
      </c>
      <c r="R15" s="705" t="s">
        <v>14</v>
      </c>
      <c r="S15" s="706">
        <f t="shared" si="0"/>
        <v>100</v>
      </c>
      <c r="T15" s="705" t="s">
        <v>14</v>
      </c>
      <c r="U15" s="706">
        <f t="shared" si="1"/>
        <v>100</v>
      </c>
      <c r="V15" s="705" t="s">
        <v>14</v>
      </c>
      <c r="W15" s="706">
        <f t="shared" si="2"/>
        <v>100</v>
      </c>
      <c r="X15" s="1355"/>
      <c r="Y15" s="3726" t="s">
        <v>1691</v>
      </c>
      <c r="Z15" s="1356" t="str">
        <f t="shared" si="7"/>
        <v>办公集聚程度</v>
      </c>
      <c r="AA15" s="1353">
        <f t="shared" si="3"/>
        <v>1</v>
      </c>
      <c r="AB15" s="1353">
        <f t="shared" si="4"/>
        <v>1</v>
      </c>
      <c r="AC15" s="1962">
        <f t="shared" si="5"/>
        <v>1</v>
      </c>
    </row>
    <row r="16" spans="1:29" ht="15">
      <c r="A16" s="379"/>
      <c r="B16" s="578"/>
      <c r="C16" s="1904" t="s">
        <v>3459</v>
      </c>
      <c r="D16" s="399"/>
      <c r="E16" s="1904" t="s">
        <v>3459</v>
      </c>
      <c r="F16" s="399"/>
      <c r="G16" s="1904" t="s">
        <v>3459</v>
      </c>
      <c r="H16" s="401"/>
      <c r="I16" s="1904" t="s">
        <v>3459</v>
      </c>
      <c r="J16" s="399"/>
      <c r="K16" s="564"/>
      <c r="L16" s="2717"/>
      <c r="M16" s="2711"/>
      <c r="N16" s="2711"/>
      <c r="O16" s="2711"/>
      <c r="P16" s="3734"/>
      <c r="Q16" s="1352"/>
      <c r="R16" s="705"/>
      <c r="S16" s="706"/>
      <c r="T16" s="705"/>
      <c r="U16" s="706"/>
      <c r="V16" s="705"/>
      <c r="W16" s="706"/>
      <c r="X16" s="1355"/>
      <c r="Y16" s="3727"/>
      <c r="Z16" s="1356"/>
      <c r="AA16" s="1353">
        <v>1</v>
      </c>
      <c r="AB16" s="1353">
        <v>1</v>
      </c>
      <c r="AC16" s="1962">
        <v>1</v>
      </c>
    </row>
    <row r="17" spans="1:29" ht="15">
      <c r="A17" s="379"/>
      <c r="B17" s="579" t="s">
        <v>1259</v>
      </c>
      <c r="C17" s="1963" t="str">
        <f>估价对象房地状况!C6</f>
        <v>好</v>
      </c>
      <c r="D17" s="401">
        <v>100</v>
      </c>
      <c r="E17" s="3504" t="s">
        <v>4704</v>
      </c>
      <c r="F17" s="401">
        <f>SUMIF(79:79,E18,80:80)-SUMIF(79:79,C18,80:80)+100</f>
        <v>97</v>
      </c>
      <c r="G17" s="3504" t="s">
        <v>4704</v>
      </c>
      <c r="H17" s="406">
        <f>SUMIF(79:79,G18,80:80)-SUMIF(79:79,C18,80:80)+100</f>
        <v>97</v>
      </c>
      <c r="I17" s="3504" t="s">
        <v>4704</v>
      </c>
      <c r="J17" s="406">
        <f>SUMIF(79:79,I18,80:80)-SUMIF(79:79,C18,80:80)+100</f>
        <v>97</v>
      </c>
      <c r="K17" s="563">
        <v>3</v>
      </c>
      <c r="L17" s="2717"/>
      <c r="M17" s="2711"/>
      <c r="N17" s="2711"/>
      <c r="O17" s="2711"/>
      <c r="P17" s="3734"/>
      <c r="Q17" s="1352" t="str">
        <f>B17</f>
        <v>交通便捷度</v>
      </c>
      <c r="R17" s="705" t="s">
        <v>14</v>
      </c>
      <c r="S17" s="706">
        <f>F17</f>
        <v>97</v>
      </c>
      <c r="T17" s="705" t="s">
        <v>14</v>
      </c>
      <c r="U17" s="706">
        <f>H17</f>
        <v>97</v>
      </c>
      <c r="V17" s="705" t="s">
        <v>14</v>
      </c>
      <c r="W17" s="706">
        <f>J17</f>
        <v>97</v>
      </c>
      <c r="X17" s="1355"/>
      <c r="Y17" s="3727"/>
      <c r="Z17" s="1356" t="str">
        <f>Q17</f>
        <v>交通便捷度</v>
      </c>
      <c r="AA17" s="1353">
        <f t="shared" si="3"/>
        <v>1.0309278350515463</v>
      </c>
      <c r="AB17" s="1353">
        <f t="shared" si="4"/>
        <v>1.0309278350515463</v>
      </c>
      <c r="AC17" s="1962">
        <f t="shared" si="5"/>
        <v>1.0309278350515463</v>
      </c>
    </row>
    <row r="18" spans="1:29" ht="15">
      <c r="A18" s="379"/>
      <c r="B18" s="580"/>
      <c r="C18" s="1964" t="s">
        <v>3461</v>
      </c>
      <c r="D18" s="401"/>
      <c r="E18" s="1902" t="s">
        <v>3459</v>
      </c>
      <c r="F18" s="401"/>
      <c r="G18" s="1902" t="s">
        <v>3459</v>
      </c>
      <c r="H18" s="399"/>
      <c r="I18" s="1902" t="s">
        <v>3459</v>
      </c>
      <c r="J18" s="399"/>
      <c r="K18" s="564"/>
      <c r="L18" s="2717"/>
      <c r="M18" s="2711"/>
      <c r="N18" s="2711"/>
      <c r="O18" s="2711"/>
      <c r="P18" s="3734"/>
      <c r="Q18" s="1352"/>
      <c r="R18" s="705"/>
      <c r="S18" s="706"/>
      <c r="T18" s="705"/>
      <c r="U18" s="706"/>
      <c r="V18" s="705"/>
      <c r="W18" s="706"/>
      <c r="X18" s="1355"/>
      <c r="Y18" s="3727"/>
      <c r="Z18" s="1356"/>
      <c r="AA18" s="1353">
        <v>1</v>
      </c>
      <c r="AB18" s="1353">
        <v>1</v>
      </c>
      <c r="AC18" s="1962">
        <v>1</v>
      </c>
    </row>
    <row r="19" spans="1:29" ht="15">
      <c r="A19" s="379"/>
      <c r="B19" s="579" t="s">
        <v>1812</v>
      </c>
      <c r="C19" s="1963" t="str">
        <f>估价对象房地状况!C7</f>
        <v>好</v>
      </c>
      <c r="D19" s="406">
        <v>100</v>
      </c>
      <c r="E19" s="410" t="s">
        <v>3459</v>
      </c>
      <c r="F19" s="406">
        <f>SUMIF(81:81,E20,82:82)-SUMIF(81:81,C20,82:82)+100</f>
        <v>97</v>
      </c>
      <c r="G19" s="410" t="s">
        <v>3459</v>
      </c>
      <c r="H19" s="401">
        <f>SUMIF(81:81,G20,82:82)-SUMIF(81:81,C20,82:82)+100</f>
        <v>97</v>
      </c>
      <c r="I19" s="410" t="s">
        <v>3459</v>
      </c>
      <c r="J19" s="401">
        <f>SUMIF(81:81,I20,82:82)-SUMIF(81:81,C20,82:82)+100</f>
        <v>97</v>
      </c>
      <c r="K19" s="563">
        <v>3</v>
      </c>
      <c r="L19" s="2717"/>
      <c r="M19" s="2711"/>
      <c r="N19" s="2711"/>
      <c r="O19" s="2711"/>
      <c r="P19" s="3734"/>
      <c r="Q19" s="1352" t="str">
        <f>B19</f>
        <v>公共配套设施</v>
      </c>
      <c r="R19" s="705" t="s">
        <v>14</v>
      </c>
      <c r="S19" s="706">
        <f>F19</f>
        <v>97</v>
      </c>
      <c r="T19" s="705" t="s">
        <v>14</v>
      </c>
      <c r="U19" s="706">
        <f>H19</f>
        <v>97</v>
      </c>
      <c r="V19" s="705" t="s">
        <v>14</v>
      </c>
      <c r="W19" s="706">
        <f>J19</f>
        <v>97</v>
      </c>
      <c r="X19" s="1355"/>
      <c r="Y19" s="3727"/>
      <c r="Z19" s="1356" t="str">
        <f>Q19</f>
        <v>公共配套设施</v>
      </c>
      <c r="AA19" s="1353">
        <f t="shared" si="3"/>
        <v>1.0309278350515463</v>
      </c>
      <c r="AB19" s="1353">
        <f t="shared" si="4"/>
        <v>1.0309278350515463</v>
      </c>
      <c r="AC19" s="1962">
        <f t="shared" si="5"/>
        <v>1.0309278350515463</v>
      </c>
    </row>
    <row r="20" spans="1:29" ht="15">
      <c r="A20" s="379"/>
      <c r="B20" s="580"/>
      <c r="C20" s="1904" t="s">
        <v>3461</v>
      </c>
      <c r="D20" s="399"/>
      <c r="E20" s="1897" t="s">
        <v>3459</v>
      </c>
      <c r="F20" s="399"/>
      <c r="G20" s="1897" t="s">
        <v>3459</v>
      </c>
      <c r="H20" s="399"/>
      <c r="I20" s="1897" t="s">
        <v>3459</v>
      </c>
      <c r="J20" s="399"/>
      <c r="K20" s="564"/>
      <c r="L20" s="2717"/>
      <c r="M20" s="2711"/>
      <c r="N20" s="2711"/>
      <c r="O20" s="2711"/>
      <c r="P20" s="3734"/>
      <c r="Q20" s="1352"/>
      <c r="R20" s="705"/>
      <c r="S20" s="706"/>
      <c r="T20" s="705"/>
      <c r="U20" s="706"/>
      <c r="V20" s="705"/>
      <c r="W20" s="706"/>
      <c r="X20" s="1355"/>
      <c r="Y20" s="3727"/>
      <c r="Z20" s="1356"/>
      <c r="AA20" s="1353">
        <v>1</v>
      </c>
      <c r="AB20" s="1353">
        <v>1</v>
      </c>
      <c r="AC20" s="1962">
        <v>1</v>
      </c>
    </row>
    <row r="21" spans="1:29" ht="15">
      <c r="A21" s="379"/>
      <c r="B21" s="581" t="s">
        <v>1813</v>
      </c>
      <c r="C21" s="1963" t="str">
        <f>估价对象房地状况!C8</f>
        <v>七通</v>
      </c>
      <c r="D21" s="401">
        <v>100</v>
      </c>
      <c r="E21" s="410" t="s">
        <v>3464</v>
      </c>
      <c r="F21" s="406">
        <f>SUMIF(83:83,E22,84:84)-SUMIF(83:83,C22,84:84)+100</f>
        <v>100</v>
      </c>
      <c r="G21" s="410" t="s">
        <v>3464</v>
      </c>
      <c r="H21" s="401">
        <f>SUMIF(83:83,G22,84:84)-SUMIF(83:83,C22,84:84)+100</f>
        <v>100</v>
      </c>
      <c r="I21" s="410" t="s">
        <v>3464</v>
      </c>
      <c r="J21" s="401">
        <f>SUMIF(83:83,I22,84:84)-SUMIF(83:83,C22,84:84)+100</f>
        <v>100</v>
      </c>
      <c r="K21" s="563">
        <v>1</v>
      </c>
      <c r="L21" s="2717"/>
      <c r="M21" s="2711"/>
      <c r="N21" s="2711"/>
      <c r="O21" s="2711"/>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962">
        <f t="shared" ref="AC21" si="10">D21/J21</f>
        <v>1</v>
      </c>
    </row>
    <row r="22" spans="1:29" ht="15">
      <c r="A22" s="379"/>
      <c r="B22" s="581"/>
      <c r="C22" s="1964" t="s">
        <v>3464</v>
      </c>
      <c r="D22" s="399"/>
      <c r="E22" s="398" t="s">
        <v>3464</v>
      </c>
      <c r="F22" s="399"/>
      <c r="G22" s="398" t="s">
        <v>3464</v>
      </c>
      <c r="H22" s="399"/>
      <c r="I22" s="398" t="s">
        <v>3464</v>
      </c>
      <c r="J22" s="399"/>
      <c r="K22" s="1130"/>
      <c r="L22" s="2717"/>
      <c r="M22" s="2711"/>
      <c r="N22" s="2711"/>
      <c r="O22" s="2711"/>
      <c r="P22" s="3734"/>
      <c r="Q22" s="1352"/>
      <c r="R22" s="705"/>
      <c r="S22" s="706"/>
      <c r="T22" s="705"/>
      <c r="U22" s="706"/>
      <c r="V22" s="705"/>
      <c r="W22" s="706"/>
      <c r="X22" s="1355"/>
      <c r="Y22" s="3727"/>
      <c r="Z22" s="1356"/>
      <c r="AA22" s="1353">
        <v>1</v>
      </c>
      <c r="AB22" s="1353">
        <v>1</v>
      </c>
      <c r="AC22" s="1962">
        <v>1</v>
      </c>
    </row>
    <row r="23" spans="1:29" ht="15">
      <c r="A23" s="379"/>
      <c r="B23" s="579" t="s">
        <v>1814</v>
      </c>
      <c r="C23" s="1963" t="str">
        <f>估价对象房地状况!C9</f>
        <v>好</v>
      </c>
      <c r="D23" s="401">
        <v>100</v>
      </c>
      <c r="E23" s="405" t="s">
        <v>3459</v>
      </c>
      <c r="F23" s="401">
        <f>SUMIF(85:85,E24,86:86)-SUMIF(85:85,C24,86:86)+100</f>
        <v>97</v>
      </c>
      <c r="G23" s="405" t="s">
        <v>3459</v>
      </c>
      <c r="H23" s="401">
        <f>SUMIF(85:85,G24,86:86)-SUMIF(85:85,C24,86:86)+100</f>
        <v>97</v>
      </c>
      <c r="I23" s="405" t="s">
        <v>3459</v>
      </c>
      <c r="J23" s="401">
        <f>SUMIF(85:85,I24,86:86)-SUMIF(85:85,C24,86:86)+100</f>
        <v>97</v>
      </c>
      <c r="K23" s="563">
        <v>3</v>
      </c>
      <c r="L23" s="2717"/>
      <c r="M23" s="2711"/>
      <c r="N23" s="2711"/>
      <c r="O23" s="2711"/>
      <c r="P23" s="3734"/>
      <c r="Q23" s="1352" t="str">
        <f>B23</f>
        <v>环境质量</v>
      </c>
      <c r="R23" s="705" t="s">
        <v>14</v>
      </c>
      <c r="S23" s="706">
        <f>F23</f>
        <v>97</v>
      </c>
      <c r="T23" s="705" t="s">
        <v>14</v>
      </c>
      <c r="U23" s="706">
        <f>H23</f>
        <v>97</v>
      </c>
      <c r="V23" s="705" t="s">
        <v>14</v>
      </c>
      <c r="W23" s="706">
        <f>J23</f>
        <v>97</v>
      </c>
      <c r="X23" s="1355"/>
      <c r="Y23" s="3727"/>
      <c r="Z23" s="1356" t="str">
        <f>Q23</f>
        <v>环境质量</v>
      </c>
      <c r="AA23" s="1353">
        <f t="shared" si="3"/>
        <v>1.0309278350515463</v>
      </c>
      <c r="AB23" s="1353">
        <f t="shared" si="4"/>
        <v>1.0309278350515463</v>
      </c>
      <c r="AC23" s="1962">
        <f t="shared" si="5"/>
        <v>1.0309278350515463</v>
      </c>
    </row>
    <row r="24" spans="1:29" ht="15">
      <c r="A24" s="379"/>
      <c r="B24" s="581"/>
      <c r="C24" s="1904" t="s">
        <v>3461</v>
      </c>
      <c r="D24" s="399"/>
      <c r="E24" s="1897" t="s">
        <v>3459</v>
      </c>
      <c r="F24" s="399"/>
      <c r="G24" s="1897" t="s">
        <v>3459</v>
      </c>
      <c r="H24" s="399"/>
      <c r="I24" s="1897" t="s">
        <v>3459</v>
      </c>
      <c r="J24" s="399"/>
      <c r="K24" s="564"/>
      <c r="L24" s="2717"/>
      <c r="M24" s="2711"/>
      <c r="N24" s="2711"/>
      <c r="O24" s="2711"/>
      <c r="P24" s="3734"/>
      <c r="Q24" s="1352"/>
      <c r="R24" s="705"/>
      <c r="S24" s="706"/>
      <c r="T24" s="705"/>
      <c r="U24" s="706"/>
      <c r="V24" s="705"/>
      <c r="W24" s="706"/>
      <c r="X24" s="1355"/>
      <c r="Y24" s="372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34"/>
      <c r="Q25" s="1352" t="str">
        <f>B25</f>
        <v>毗邻道路的类型与等级</v>
      </c>
      <c r="R25" s="705" t="s">
        <v>14</v>
      </c>
      <c r="S25" s="706">
        <f>F25</f>
        <v>100</v>
      </c>
      <c r="T25" s="705" t="s">
        <v>14</v>
      </c>
      <c r="U25" s="706">
        <f>H25</f>
        <v>100</v>
      </c>
      <c r="V25" s="705" t="s">
        <v>14</v>
      </c>
      <c r="W25" s="706">
        <f>J25</f>
        <v>100</v>
      </c>
      <c r="X25" s="1355"/>
      <c r="Y25" s="372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34"/>
      <c r="Q26" s="1352"/>
      <c r="R26" s="705"/>
      <c r="S26" s="706"/>
      <c r="T26" s="705"/>
      <c r="U26" s="706"/>
      <c r="V26" s="705"/>
      <c r="W26" s="706"/>
      <c r="X26" s="1355"/>
      <c r="Y26" s="372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4"/>
      <c r="Q27" s="1352" t="str">
        <f t="shared" ref="Q27:Q47" si="11">B27</f>
        <v>楼层</v>
      </c>
      <c r="R27" s="705" t="s">
        <v>14</v>
      </c>
      <c r="S27" s="706">
        <f>F27</f>
        <v>100</v>
      </c>
      <c r="T27" s="705" t="s">
        <v>14</v>
      </c>
      <c r="U27" s="706">
        <f>H27</f>
        <v>100</v>
      </c>
      <c r="V27" s="705" t="s">
        <v>14</v>
      </c>
      <c r="W27" s="706">
        <f>J27</f>
        <v>100</v>
      </c>
      <c r="X27" s="1355"/>
      <c r="Y27" s="372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34"/>
      <c r="Q28" s="1343" t="str">
        <f t="shared" si="11"/>
        <v>朝向</v>
      </c>
      <c r="R28" s="701" t="s">
        <v>14</v>
      </c>
      <c r="S28" s="702">
        <f>F28</f>
        <v>100</v>
      </c>
      <c r="T28" s="701" t="s">
        <v>14</v>
      </c>
      <c r="U28" s="702">
        <f>H28</f>
        <v>100</v>
      </c>
      <c r="V28" s="701" t="s">
        <v>14</v>
      </c>
      <c r="W28" s="702">
        <f>J28</f>
        <v>100</v>
      </c>
      <c r="X28" s="703"/>
      <c r="Y28" s="3727"/>
      <c r="Z28" s="52" t="str">
        <f>Q28</f>
        <v>朝向</v>
      </c>
      <c r="AA28" s="1353">
        <f>D28/F28</f>
        <v>1</v>
      </c>
      <c r="AB28" s="1353">
        <f>D28/H28</f>
        <v>1</v>
      </c>
      <c r="AC28" s="1962">
        <f>D28/J28</f>
        <v>1</v>
      </c>
    </row>
    <row r="29" spans="1:29" ht="15.75" thickBot="1">
      <c r="A29" s="379"/>
      <c r="B29" s="1966" t="str">
        <f>'比较法-商业'!B15</f>
        <v>商业繁华度</v>
      </c>
      <c r="C29" s="3508" t="s">
        <v>4725</v>
      </c>
      <c r="D29" s="386">
        <v>100</v>
      </c>
      <c r="E29" s="3494" t="s">
        <v>5217</v>
      </c>
      <c r="F29" s="386">
        <f>SUMIF(93:93,E29,94:94)-SUMIF(93:93,C29,94:94)+100</f>
        <v>94</v>
      </c>
      <c r="G29" s="3494" t="s">
        <v>5217</v>
      </c>
      <c r="H29" s="386">
        <f>SUMIF(93:93,G29,94:94)-SUMIF(93:93,C29,94:94)+100</f>
        <v>94</v>
      </c>
      <c r="I29" s="3494" t="s">
        <v>5217</v>
      </c>
      <c r="J29" s="386">
        <f>SUMIF(93:93,I29,94:94)-SUMIF(93:93,C29,94:94)+100</f>
        <v>94</v>
      </c>
      <c r="K29" s="562"/>
      <c r="L29" s="2717"/>
      <c r="M29" s="2711"/>
      <c r="N29" s="2711"/>
      <c r="O29" s="2711"/>
      <c r="P29" s="3734"/>
      <c r="Q29" s="1352" t="str">
        <f t="shared" si="11"/>
        <v>商业繁华度</v>
      </c>
      <c r="R29" s="705" t="s">
        <v>14</v>
      </c>
      <c r="S29" s="706">
        <f t="shared" ref="S29:S47" si="12">F29</f>
        <v>94</v>
      </c>
      <c r="T29" s="705" t="s">
        <v>14</v>
      </c>
      <c r="U29" s="706">
        <f t="shared" ref="U29:U47" si="13">H29</f>
        <v>94</v>
      </c>
      <c r="V29" s="705" t="s">
        <v>14</v>
      </c>
      <c r="W29" s="706">
        <f t="shared" ref="W29:W47" si="14">J29</f>
        <v>94</v>
      </c>
      <c r="X29" s="1355"/>
      <c r="Y29" s="3727"/>
      <c r="Z29" s="1356" t="str">
        <f t="shared" ref="Z29:Z47" si="15">Q29</f>
        <v>商业繁华度</v>
      </c>
      <c r="AA29" s="1353">
        <f t="shared" si="3"/>
        <v>1.0638297872340425</v>
      </c>
      <c r="AB29" s="1353">
        <f t="shared" si="4"/>
        <v>1.0638297872340425</v>
      </c>
      <c r="AC29" s="1962">
        <f t="shared" si="5"/>
        <v>1.0638297872340425</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34"/>
      <c r="Q32" s="1352">
        <f t="shared" si="11"/>
        <v>111</v>
      </c>
      <c r="R32" s="705" t="s">
        <v>14</v>
      </c>
      <c r="S32" s="706">
        <f t="shared" si="12"/>
        <v>100</v>
      </c>
      <c r="T32" s="705" t="s">
        <v>14</v>
      </c>
      <c r="U32" s="706">
        <f t="shared" si="13"/>
        <v>100</v>
      </c>
      <c r="V32" s="705" t="s">
        <v>14</v>
      </c>
      <c r="W32" s="706">
        <f t="shared" si="14"/>
        <v>100</v>
      </c>
      <c r="X32" s="1355"/>
      <c r="Y32" s="3727"/>
      <c r="Z32" s="1356">
        <f t="shared" si="15"/>
        <v>111</v>
      </c>
      <c r="AA32" s="1353">
        <f t="shared" si="3"/>
        <v>1</v>
      </c>
      <c r="AB32" s="1353">
        <f t="shared" si="4"/>
        <v>1</v>
      </c>
      <c r="AC32" s="1962">
        <f t="shared" si="5"/>
        <v>1</v>
      </c>
    </row>
    <row r="33" spans="1:29" ht="15">
      <c r="A33" s="391" t="s">
        <v>1694</v>
      </c>
      <c r="B33" s="63" t="s">
        <v>1817</v>
      </c>
      <c r="C33" s="1967" t="s">
        <v>4706</v>
      </c>
      <c r="D33" s="418">
        <v>100</v>
      </c>
      <c r="E33" s="1967" t="s">
        <v>4706</v>
      </c>
      <c r="F33" s="412">
        <f>SUMIF(101:101,E33,102:102)-SUMIF(101:101,C33,102:102)+100</f>
        <v>100</v>
      </c>
      <c r="G33" s="1967" t="s">
        <v>4706</v>
      </c>
      <c r="H33" s="386">
        <f>SUMIF(101:101,G33,102:102)-SUMIF(101:101,C33,102:102)+100</f>
        <v>100</v>
      </c>
      <c r="I33" s="1967" t="s">
        <v>4706</v>
      </c>
      <c r="J33" s="418">
        <f>SUMIF(101:101,I33,102:102)-SUMIF(101:101,C33,102:102)+100</f>
        <v>100</v>
      </c>
      <c r="K33" s="561">
        <v>5</v>
      </c>
      <c r="L33" s="2717"/>
      <c r="M33" s="2711"/>
      <c r="N33" s="2711"/>
      <c r="O33" s="2711"/>
      <c r="P33" s="3728" t="s">
        <v>1696</v>
      </c>
      <c r="Q33" s="1352" t="str">
        <f t="shared" si="11"/>
        <v>建筑类型</v>
      </c>
      <c r="R33" s="705" t="s">
        <v>14</v>
      </c>
      <c r="S33" s="706">
        <f t="shared" si="12"/>
        <v>100</v>
      </c>
      <c r="T33" s="705" t="s">
        <v>14</v>
      </c>
      <c r="U33" s="706">
        <f t="shared" si="13"/>
        <v>100</v>
      </c>
      <c r="V33" s="705" t="s">
        <v>14</v>
      </c>
      <c r="W33" s="706">
        <f t="shared" si="14"/>
        <v>100</v>
      </c>
      <c r="X33" s="1355"/>
      <c r="Y33" s="3731" t="s">
        <v>1696</v>
      </c>
      <c r="Z33" s="1356" t="str">
        <f t="shared" si="15"/>
        <v>建筑类型</v>
      </c>
      <c r="AA33" s="1353">
        <f t="shared" si="3"/>
        <v>1</v>
      </c>
      <c r="AB33" s="1353">
        <f t="shared" si="4"/>
        <v>1</v>
      </c>
      <c r="AC33" s="1962">
        <f t="shared" si="5"/>
        <v>1</v>
      </c>
    </row>
    <row r="34" spans="1:29" s="422" customFormat="1" ht="15">
      <c r="A34" s="419"/>
      <c r="B34" s="375" t="s">
        <v>1697</v>
      </c>
      <c r="C34" s="420">
        <f>'数据-汇总表'!E3</f>
        <v>45192.95</v>
      </c>
      <c r="D34" s="127">
        <v>100</v>
      </c>
      <c r="E34" s="3865">
        <f>'2022年大宗'!F91</f>
        <v>6461</v>
      </c>
      <c r="F34" s="376">
        <f>LOOKUP(E34,104:104,105:105)-LOOKUP(C34,104:104,105:105)+100</f>
        <v>104</v>
      </c>
      <c r="G34" s="3505">
        <f>大宗案例!$N$3</f>
        <v>19609</v>
      </c>
      <c r="H34" s="127">
        <f>LOOKUP(G34,104:104,105:105)-LOOKUP(C34,104:104,105:105)+100</f>
        <v>103</v>
      </c>
      <c r="I34" s="380">
        <f>大宗案例!$N$4</f>
        <v>7633</v>
      </c>
      <c r="J34" s="127">
        <f>LOOKUP(I34,104:104,105:105)-LOOKUP(C34,104:104,105:105)+100</f>
        <v>104</v>
      </c>
      <c r="K34" s="562"/>
      <c r="L34" s="2716"/>
      <c r="M34" s="2718"/>
      <c r="N34" s="2718"/>
      <c r="O34" s="2718"/>
      <c r="P34" s="3729"/>
      <c r="Q34" s="707" t="str">
        <f t="shared" si="11"/>
        <v>项目建筑规模</v>
      </c>
      <c r="R34" s="708" t="s">
        <v>14</v>
      </c>
      <c r="S34" s="709">
        <f t="shared" si="12"/>
        <v>104</v>
      </c>
      <c r="T34" s="708" t="s">
        <v>14</v>
      </c>
      <c r="U34" s="709">
        <f t="shared" si="13"/>
        <v>103</v>
      </c>
      <c r="V34" s="708" t="s">
        <v>14</v>
      </c>
      <c r="W34" s="709">
        <f t="shared" si="14"/>
        <v>104</v>
      </c>
      <c r="X34" s="710"/>
      <c r="Y34" s="3731"/>
      <c r="Z34" s="711" t="str">
        <f t="shared" si="15"/>
        <v>项目建筑规模</v>
      </c>
      <c r="AA34" s="1353">
        <f t="shared" si="3"/>
        <v>0.96153846153846156</v>
      </c>
      <c r="AB34" s="1353">
        <f t="shared" si="4"/>
        <v>0.970873786407767</v>
      </c>
      <c r="AC34" s="1962">
        <f t="shared" si="5"/>
        <v>0.96153846153846156</v>
      </c>
    </row>
    <row r="35" spans="1:29" ht="15">
      <c r="A35" s="423"/>
      <c r="B35" s="375" t="s">
        <v>1698</v>
      </c>
      <c r="C35" s="411" t="s">
        <v>3454</v>
      </c>
      <c r="D35" s="386">
        <v>100</v>
      </c>
      <c r="E35" s="411" t="s">
        <v>3454</v>
      </c>
      <c r="F35" s="412">
        <f>SUMIF(106:106,E35,107:107)-SUMIF(106:106,C35,107:107)+100</f>
        <v>100</v>
      </c>
      <c r="G35" s="411" t="s">
        <v>3454</v>
      </c>
      <c r="H35" s="386">
        <f>SUMIF(106:106,G35,107:107)-SUMIF(106:106,C35,107:107)+100</f>
        <v>100</v>
      </c>
      <c r="I35" s="411" t="s">
        <v>3454</v>
      </c>
      <c r="J35" s="386">
        <f>SUMIF(106:106,I35,107:107)-SUMIF(106:106,C35,107:107)+100</f>
        <v>100</v>
      </c>
      <c r="K35" s="561">
        <v>2</v>
      </c>
      <c r="L35" s="2717"/>
      <c r="M35" s="2711"/>
      <c r="N35" s="2711"/>
      <c r="O35" s="2711"/>
      <c r="P35" s="3729"/>
      <c r="Q35" s="1352" t="str">
        <f t="shared" si="11"/>
        <v>建筑结构</v>
      </c>
      <c r="R35" s="705" t="s">
        <v>14</v>
      </c>
      <c r="S35" s="706">
        <f t="shared" si="12"/>
        <v>100</v>
      </c>
      <c r="T35" s="705" t="s">
        <v>14</v>
      </c>
      <c r="U35" s="706">
        <f t="shared" si="13"/>
        <v>100</v>
      </c>
      <c r="V35" s="705" t="s">
        <v>14</v>
      </c>
      <c r="W35" s="706">
        <f t="shared" si="14"/>
        <v>100</v>
      </c>
      <c r="X35" s="1355"/>
      <c r="Y35" s="3731"/>
      <c r="Z35" s="1356" t="str">
        <f t="shared" si="15"/>
        <v>建筑结构</v>
      </c>
      <c r="AA35" s="1353">
        <f t="shared" si="3"/>
        <v>1</v>
      </c>
      <c r="AB35" s="1353">
        <f t="shared" si="4"/>
        <v>1</v>
      </c>
      <c r="AC35" s="1962">
        <f t="shared" si="5"/>
        <v>1</v>
      </c>
    </row>
    <row r="36" spans="1:29" ht="15">
      <c r="A36" s="423"/>
      <c r="B36" s="375" t="s">
        <v>1785</v>
      </c>
      <c r="C36" s="411" t="s">
        <v>4667</v>
      </c>
      <c r="D36" s="386">
        <v>100</v>
      </c>
      <c r="E36" s="411" t="s">
        <v>4667</v>
      </c>
      <c r="F36" s="412">
        <f>SUMIF(108:108,E36,109:109)-SUMIF(108:108,C36,109:109)+100</f>
        <v>100</v>
      </c>
      <c r="G36" s="411" t="s">
        <v>4667</v>
      </c>
      <c r="H36" s="386">
        <f>SUMIF(108:108,G36,109:109)-SUMIF(108:108,C36,109:109)+100</f>
        <v>100</v>
      </c>
      <c r="I36" s="411" t="s">
        <v>4667</v>
      </c>
      <c r="J36" s="386">
        <f>SUMIF(108:108,I36,109:109)-SUMIF(108:108,C36,109:109)+100</f>
        <v>100</v>
      </c>
      <c r="K36" s="561">
        <v>2</v>
      </c>
      <c r="L36" s="2717"/>
      <c r="M36" s="2711"/>
      <c r="N36" s="2711"/>
      <c r="O36" s="2711"/>
      <c r="P36" s="3729"/>
      <c r="Q36" s="1352" t="str">
        <f t="shared" si="11"/>
        <v>公共部分装修</v>
      </c>
      <c r="R36" s="705" t="s">
        <v>14</v>
      </c>
      <c r="S36" s="706">
        <f t="shared" si="12"/>
        <v>100</v>
      </c>
      <c r="T36" s="705" t="s">
        <v>14</v>
      </c>
      <c r="U36" s="706">
        <f t="shared" si="13"/>
        <v>100</v>
      </c>
      <c r="V36" s="705" t="s">
        <v>14</v>
      </c>
      <c r="W36" s="706">
        <f t="shared" si="14"/>
        <v>100</v>
      </c>
      <c r="X36" s="1355"/>
      <c r="Y36" s="3731"/>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0.85</v>
      </c>
      <c r="F37" s="412">
        <f>LOOKUP(E37,111:111,112:112)-LOOKUP(C37,111:111,112:112)+100</f>
        <v>100</v>
      </c>
      <c r="G37" s="425">
        <v>0.9</v>
      </c>
      <c r="H37" s="412">
        <f>LOOKUP(G37,111:111,112:112)-LOOKUP(C37,111:111,112:112)+100</f>
        <v>102</v>
      </c>
      <c r="I37" s="425">
        <v>0.9</v>
      </c>
      <c r="J37" s="386">
        <f>LOOKUP(I37,111:111,112:112)-LOOKUP(C37,111:111,112:112)+100</f>
        <v>102</v>
      </c>
      <c r="K37" s="561">
        <v>2</v>
      </c>
      <c r="L37" s="2717"/>
      <c r="M37" s="2711"/>
      <c r="N37" s="2711"/>
      <c r="O37" s="2711"/>
      <c r="P37" s="3729"/>
      <c r="Q37" s="1352" t="str">
        <f t="shared" si="11"/>
        <v>成新度</v>
      </c>
      <c r="R37" s="705" t="s">
        <v>14</v>
      </c>
      <c r="S37" s="706">
        <f t="shared" si="12"/>
        <v>100</v>
      </c>
      <c r="T37" s="705" t="s">
        <v>14</v>
      </c>
      <c r="U37" s="706">
        <f t="shared" si="13"/>
        <v>102</v>
      </c>
      <c r="V37" s="705" t="s">
        <v>14</v>
      </c>
      <c r="W37" s="706">
        <f t="shared" si="14"/>
        <v>102</v>
      </c>
      <c r="X37" s="1355"/>
      <c r="Y37" s="3731"/>
      <c r="Z37" s="1356" t="str">
        <f t="shared" si="15"/>
        <v>成新度</v>
      </c>
      <c r="AA37" s="1353">
        <f t="shared" si="3"/>
        <v>1</v>
      </c>
      <c r="AB37" s="1353">
        <f t="shared" si="4"/>
        <v>0.98039215686274506</v>
      </c>
      <c r="AC37" s="1962">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9"/>
      <c r="Q38" s="1343"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9">
        <f t="shared" si="5"/>
        <v>1</v>
      </c>
    </row>
    <row r="39" spans="1:29" ht="15">
      <c r="A39" s="423"/>
      <c r="B39" s="375" t="s">
        <v>1819</v>
      </c>
      <c r="C39" s="411" t="s">
        <v>4713</v>
      </c>
      <c r="D39" s="386">
        <v>100</v>
      </c>
      <c r="E39" s="411" t="s">
        <v>4713</v>
      </c>
      <c r="F39" s="412">
        <f>SUMIF(115:115,E39,116:116)-SUMIF(115:115,C39,116:116)+100</f>
        <v>100</v>
      </c>
      <c r="G39" s="411" t="s">
        <v>4713</v>
      </c>
      <c r="H39" s="386">
        <f>SUMIF(115:115,G39,116:116)-SUMIF(115:115,C39,116:116)+100</f>
        <v>100</v>
      </c>
      <c r="I39" s="411" t="s">
        <v>4713</v>
      </c>
      <c r="J39" s="386">
        <f>SUMIF(115:115,I39,116:116)-SUMIF(115:115,C39,116:116)+100</f>
        <v>100</v>
      </c>
      <c r="K39" s="561">
        <v>2</v>
      </c>
      <c r="L39" s="2717"/>
      <c r="M39" s="2711"/>
      <c r="N39" s="2711"/>
      <c r="O39" s="2711"/>
      <c r="P39" s="3729" t="s">
        <v>1696</v>
      </c>
      <c r="Q39" s="1352" t="str">
        <f t="shared" si="11"/>
        <v>物业管理</v>
      </c>
      <c r="R39" s="705" t="s">
        <v>14</v>
      </c>
      <c r="S39" s="706">
        <f t="shared" si="12"/>
        <v>100</v>
      </c>
      <c r="T39" s="705" t="s">
        <v>14</v>
      </c>
      <c r="U39" s="706">
        <f t="shared" si="13"/>
        <v>100</v>
      </c>
      <c r="V39" s="705" t="s">
        <v>14</v>
      </c>
      <c r="W39" s="706">
        <f t="shared" si="14"/>
        <v>100</v>
      </c>
      <c r="X39" s="1355"/>
      <c r="Y39" s="3731" t="s">
        <v>1696</v>
      </c>
      <c r="Z39" s="1356" t="str">
        <f t="shared" si="15"/>
        <v>物业管理</v>
      </c>
      <c r="AA39" s="1353">
        <f t="shared" si="3"/>
        <v>1</v>
      </c>
      <c r="AB39" s="1353">
        <f t="shared" si="4"/>
        <v>1</v>
      </c>
      <c r="AC39" s="1962">
        <f t="shared" si="5"/>
        <v>1</v>
      </c>
    </row>
    <row r="40" spans="1:29" ht="15">
      <c r="A40" s="423"/>
      <c r="B40" s="375" t="s">
        <v>1787</v>
      </c>
      <c r="C40" s="411" t="s">
        <v>4674</v>
      </c>
      <c r="D40" s="386">
        <v>100</v>
      </c>
      <c r="E40" s="411" t="s">
        <v>4674</v>
      </c>
      <c r="F40" s="412">
        <f>SUMIF(117:117,E40,118:118)-SUMIF(117:117,C40,118:118)+100</f>
        <v>100</v>
      </c>
      <c r="G40" s="411" t="s">
        <v>4674</v>
      </c>
      <c r="H40" s="386">
        <f>SUMIF(117:117,G40,118:118)-SUMIF(117:117,C40,118:118)+100</f>
        <v>100</v>
      </c>
      <c r="I40" s="411" t="s">
        <v>4674</v>
      </c>
      <c r="J40" s="386">
        <f>SUMIF(117:117,I40,118:118)-SUMIF(117:117,C40,118:118)+100</f>
        <v>100</v>
      </c>
      <c r="K40" s="561">
        <v>1</v>
      </c>
      <c r="L40" s="2717"/>
      <c r="M40" s="2711"/>
      <c r="N40" s="2711"/>
      <c r="O40" s="2711"/>
      <c r="P40" s="3729"/>
      <c r="Q40" s="1352" t="str">
        <f t="shared" si="11"/>
        <v>市政基础设施</v>
      </c>
      <c r="R40" s="705" t="s">
        <v>14</v>
      </c>
      <c r="S40" s="706">
        <f t="shared" si="12"/>
        <v>100</v>
      </c>
      <c r="T40" s="705" t="s">
        <v>14</v>
      </c>
      <c r="U40" s="706">
        <f t="shared" si="13"/>
        <v>100</v>
      </c>
      <c r="V40" s="705" t="s">
        <v>14</v>
      </c>
      <c r="W40" s="706">
        <f t="shared" si="14"/>
        <v>100</v>
      </c>
      <c r="X40" s="1355"/>
      <c r="Y40" s="373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9"/>
      <c r="Q41" s="1352" t="str">
        <f t="shared" si="11"/>
        <v>层高</v>
      </c>
      <c r="R41" s="705" t="s">
        <v>14</v>
      </c>
      <c r="S41" s="706">
        <f t="shared" si="12"/>
        <v>100</v>
      </c>
      <c r="T41" s="705" t="s">
        <v>14</v>
      </c>
      <c r="U41" s="706">
        <f t="shared" si="13"/>
        <v>100</v>
      </c>
      <c r="V41" s="705" t="s">
        <v>14</v>
      </c>
      <c r="W41" s="706">
        <f t="shared" si="14"/>
        <v>100</v>
      </c>
      <c r="X41" s="1355"/>
      <c r="Y41" s="373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3">
        <f t="shared" si="3"/>
        <v>1</v>
      </c>
      <c r="AB42" s="1353">
        <f t="shared" si="4"/>
        <v>1</v>
      </c>
      <c r="AC42" s="1962">
        <f t="shared" si="5"/>
        <v>1</v>
      </c>
    </row>
    <row r="43" spans="1:29" ht="15">
      <c r="A43" s="423"/>
      <c r="B43" s="375" t="s">
        <v>1792</v>
      </c>
      <c r="C43" s="411" t="s">
        <v>4671</v>
      </c>
      <c r="D43" s="386">
        <v>100</v>
      </c>
      <c r="E43" s="411" t="s">
        <v>4671</v>
      </c>
      <c r="F43" s="412">
        <f>SUMIF(123:123,E43,124:124)-SUMIF(123:123,C43,124:124)+100</f>
        <v>100</v>
      </c>
      <c r="G43" s="411" t="s">
        <v>4671</v>
      </c>
      <c r="H43" s="386">
        <f>SUMIF(123:123,G43,124:124)-SUMIF(123:123,C43,124:124)+100</f>
        <v>100</v>
      </c>
      <c r="I43" s="411" t="s">
        <v>4671</v>
      </c>
      <c r="J43" s="386">
        <f>SUMIF(123:123,I43,124:124)-SUMIF(123:123,C43,124:124)+100</f>
        <v>100</v>
      </c>
      <c r="K43" s="561">
        <v>2</v>
      </c>
      <c r="L43" s="2717"/>
      <c r="M43" s="2711"/>
      <c r="N43" s="2711"/>
      <c r="O43" s="2711"/>
      <c r="P43" s="3729"/>
      <c r="Q43" s="1352" t="str">
        <f t="shared" si="11"/>
        <v>内部装修</v>
      </c>
      <c r="R43" s="705" t="s">
        <v>14</v>
      </c>
      <c r="S43" s="706">
        <f t="shared" si="12"/>
        <v>100</v>
      </c>
      <c r="T43" s="705" t="s">
        <v>14</v>
      </c>
      <c r="U43" s="706">
        <f t="shared" si="13"/>
        <v>100</v>
      </c>
      <c r="V43" s="705" t="s">
        <v>14</v>
      </c>
      <c r="W43" s="706">
        <f t="shared" si="14"/>
        <v>100</v>
      </c>
      <c r="X43" s="1355"/>
      <c r="Y43" s="3731"/>
      <c r="Z43" s="1356" t="str">
        <f t="shared" si="15"/>
        <v>内部装修</v>
      </c>
      <c r="AA43" s="1353">
        <f t="shared" si="3"/>
        <v>1</v>
      </c>
      <c r="AB43" s="1353">
        <f t="shared" si="4"/>
        <v>1</v>
      </c>
      <c r="AC43" s="1962">
        <f t="shared" si="5"/>
        <v>1</v>
      </c>
    </row>
    <row r="44" spans="1:29" ht="15">
      <c r="A44" s="423"/>
      <c r="B44" s="375" t="s">
        <v>1707</v>
      </c>
      <c r="C44" s="411" t="s">
        <v>3459</v>
      </c>
      <c r="D44" s="386">
        <v>100</v>
      </c>
      <c r="E44" s="411" t="s">
        <v>3459</v>
      </c>
      <c r="F44" s="412">
        <f>SUMIF(125:125,E44,126:126)-SUMIF(125:125,C44,126:126)+100</f>
        <v>100</v>
      </c>
      <c r="G44" s="411" t="s">
        <v>3459</v>
      </c>
      <c r="H44" s="386">
        <f>SUMIF(125:125,G44,126:126)-SUMIF(125:125,C44,126:126)+100</f>
        <v>100</v>
      </c>
      <c r="I44" s="411" t="s">
        <v>3459</v>
      </c>
      <c r="J44" s="386">
        <f>SUMIF(125:125,I44,126:126)-SUMIF(125:125,C44,126:126)+100</f>
        <v>100</v>
      </c>
      <c r="K44" s="561">
        <v>2</v>
      </c>
      <c r="L44" s="2717"/>
      <c r="M44" s="2711"/>
      <c r="N44" s="2711"/>
      <c r="O44" s="2711"/>
      <c r="P44" s="3729"/>
      <c r="Q44" s="1352" t="str">
        <f t="shared" si="11"/>
        <v>内部装修维护情况</v>
      </c>
      <c r="R44" s="705" t="s">
        <v>14</v>
      </c>
      <c r="S44" s="706">
        <f t="shared" si="12"/>
        <v>100</v>
      </c>
      <c r="T44" s="705" t="s">
        <v>14</v>
      </c>
      <c r="U44" s="706">
        <f t="shared" si="13"/>
        <v>100</v>
      </c>
      <c r="V44" s="705" t="s">
        <v>14</v>
      </c>
      <c r="W44" s="706">
        <f t="shared" si="14"/>
        <v>100</v>
      </c>
      <c r="X44" s="1355"/>
      <c r="Y44" s="3731"/>
      <c r="Z44" s="1356" t="str">
        <f t="shared" si="15"/>
        <v>内部装修维护情况</v>
      </c>
      <c r="AA44" s="1353">
        <f t="shared" si="3"/>
        <v>1</v>
      </c>
      <c r="AB44" s="1353">
        <f t="shared" si="4"/>
        <v>1</v>
      </c>
      <c r="AC44" s="1962">
        <f t="shared" si="5"/>
        <v>1</v>
      </c>
    </row>
    <row r="45" spans="1:29" s="108" customFormat="1" ht="15.75" thickBot="1">
      <c r="A45" s="424"/>
      <c r="B45" s="3498" t="s">
        <v>4716</v>
      </c>
      <c r="C45" s="420" t="str">
        <f>H127</f>
        <v>20-30%</v>
      </c>
      <c r="D45" s="127">
        <v>100</v>
      </c>
      <c r="E45" s="3507">
        <v>0</v>
      </c>
      <c r="F45" s="376">
        <f>SUMIF(127:127,E45,128:128)-SUMIF(127:127,C45,128:128)+100</f>
        <v>117.5</v>
      </c>
      <c r="G45" s="3507">
        <v>0</v>
      </c>
      <c r="H45" s="127">
        <f>SUMIF(127:127,G45,128:128)-SUMIF(127:127,C45,128:128)+100</f>
        <v>117.5</v>
      </c>
      <c r="I45" s="3507">
        <v>0</v>
      </c>
      <c r="J45" s="127">
        <f>SUMIF(127:127,I45,128:128)-SUMIF(127:127,C45,128:128)+100</f>
        <v>117.5</v>
      </c>
      <c r="K45" s="562"/>
      <c r="L45" s="2712"/>
      <c r="M45" s="2713"/>
      <c r="N45" s="2713"/>
      <c r="O45" s="2713"/>
      <c r="P45" s="3729"/>
      <c r="Q45" s="1343" t="str">
        <f t="shared" si="11"/>
        <v>地下占比</v>
      </c>
      <c r="R45" s="701" t="s">
        <v>14</v>
      </c>
      <c r="S45" s="702">
        <f t="shared" si="12"/>
        <v>117.5</v>
      </c>
      <c r="T45" s="701" t="s">
        <v>14</v>
      </c>
      <c r="U45" s="702">
        <f t="shared" si="13"/>
        <v>117.5</v>
      </c>
      <c r="V45" s="701" t="s">
        <v>14</v>
      </c>
      <c r="W45" s="702">
        <f t="shared" si="14"/>
        <v>117.5</v>
      </c>
      <c r="X45" s="703"/>
      <c r="Y45" s="3731"/>
      <c r="Z45" s="52" t="str">
        <f t="shared" si="15"/>
        <v>地下占比</v>
      </c>
      <c r="AA45" s="704">
        <f t="shared" si="3"/>
        <v>0.85106382978723405</v>
      </c>
      <c r="AB45" s="704">
        <f t="shared" si="4"/>
        <v>0.85106382978723405</v>
      </c>
      <c r="AC45" s="1959">
        <f t="shared" si="5"/>
        <v>0.85106382978723405</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0"/>
      <c r="Q47" s="1352">
        <f t="shared" si="11"/>
        <v>111</v>
      </c>
      <c r="R47" s="705" t="s">
        <v>14</v>
      </c>
      <c r="S47" s="706">
        <f t="shared" si="12"/>
        <v>100</v>
      </c>
      <c r="T47" s="705" t="s">
        <v>14</v>
      </c>
      <c r="U47" s="706">
        <f t="shared" si="13"/>
        <v>100</v>
      </c>
      <c r="V47" s="705" t="s">
        <v>14</v>
      </c>
      <c r="W47" s="706">
        <f t="shared" si="14"/>
        <v>100</v>
      </c>
      <c r="X47" s="1355"/>
      <c r="Y47" s="3732"/>
      <c r="Z47" s="1356">
        <f t="shared" si="15"/>
        <v>111</v>
      </c>
      <c r="AA47" s="1353">
        <f t="shared" si="3"/>
        <v>1</v>
      </c>
      <c r="AB47" s="1353">
        <f t="shared" si="4"/>
        <v>1</v>
      </c>
      <c r="AC47" s="1962">
        <f t="shared" si="5"/>
        <v>1</v>
      </c>
    </row>
    <row r="48" spans="1:29" ht="15">
      <c r="A48" s="430" t="s">
        <v>1708</v>
      </c>
      <c r="B48" s="431"/>
      <c r="C48" s="1154" t="s">
        <v>0</v>
      </c>
      <c r="D48" s="1155"/>
      <c r="E48" s="3866">
        <f>'2022年大宗'!L91</f>
        <v>49683</v>
      </c>
      <c r="F48" s="1157"/>
      <c r="G48" s="3506">
        <f>大宗案例!$M$3</f>
        <v>48663</v>
      </c>
      <c r="H48" s="1159"/>
      <c r="I48" s="1156">
        <f>大宗案例!$M$4</f>
        <v>57251</v>
      </c>
      <c r="J48" s="436"/>
      <c r="K48" s="714"/>
      <c r="L48" s="2719"/>
      <c r="M48" s="2711"/>
      <c r="N48" s="2711"/>
      <c r="O48" s="2711"/>
      <c r="P48" s="3735" t="str">
        <f>A48</f>
        <v>成交单价（元/平方米）</v>
      </c>
      <c r="Q48" s="3724"/>
      <c r="R48" s="3725">
        <f>E48</f>
        <v>49683</v>
      </c>
      <c r="S48" s="3725"/>
      <c r="T48" s="3725">
        <f>G48</f>
        <v>48663</v>
      </c>
      <c r="U48" s="3725"/>
      <c r="V48" s="3725">
        <f>I48</f>
        <v>57251</v>
      </c>
      <c r="W48" s="3725"/>
      <c r="X48" s="397"/>
      <c r="Y48" s="712"/>
      <c r="Z48" s="397"/>
      <c r="AA48" s="397"/>
      <c r="AB48" s="397"/>
      <c r="AC48" s="578"/>
    </row>
    <row r="49" spans="1:29" ht="15.75" thickBot="1">
      <c r="A49" s="437" t="s">
        <v>1793</v>
      </c>
      <c r="B49" s="438"/>
      <c r="C49" s="1160">
        <f>R50</f>
        <v>47375</v>
      </c>
      <c r="D49" s="2317" t="s">
        <v>2138</v>
      </c>
      <c r="E49" s="1161">
        <f>R49</f>
        <v>46462</v>
      </c>
      <c r="F49" s="2318"/>
      <c r="G49" s="1160">
        <f>T49</f>
        <v>44182</v>
      </c>
      <c r="H49" s="2318"/>
      <c r="I49" s="1161">
        <f>V49</f>
        <v>51480</v>
      </c>
      <c r="J49" s="2318"/>
      <c r="K49" s="2320">
        <f>F49+H49+J49</f>
        <v>0</v>
      </c>
      <c r="L49" s="2719"/>
      <c r="M49" s="2711"/>
      <c r="N49" s="2711"/>
      <c r="O49" s="2711"/>
      <c r="P49" s="3735" t="str">
        <f>A49</f>
        <v>比较价值（元/平方米）</v>
      </c>
      <c r="Q49" s="3724"/>
      <c r="R49" s="3725">
        <f>IF(F1="售价",ROUND(PRODUCT(R48,AA7:AA47),0),ROUND(PRODUCT(R48,AA7:AA47),1))</f>
        <v>46462</v>
      </c>
      <c r="S49" s="3725"/>
      <c r="T49" s="3725">
        <f>IF(F1="售价",ROUND(PRODUCT(T48,AB7:AB47),0),ROUND(PRODUCT(T48,AB7:AB47),1))</f>
        <v>44182</v>
      </c>
      <c r="U49" s="3725"/>
      <c r="V49" s="3725">
        <f>IF(F1="售价",ROUND(PRODUCT(V48,AC7:AC47),0),ROUND(PRODUCT(V48,AC7:AC47),1))</f>
        <v>51480</v>
      </c>
      <c r="W49" s="3725"/>
      <c r="X49" s="397"/>
      <c r="Y49" s="397"/>
      <c r="Z49" s="397"/>
      <c r="AA49" s="397"/>
      <c r="AB49" s="397"/>
      <c r="AC49" s="578"/>
    </row>
    <row r="50" spans="1:29" ht="15.75" thickBot="1">
      <c r="A50" s="441" t="s">
        <v>1794</v>
      </c>
      <c r="B50" s="442"/>
      <c r="C50" s="1163">
        <f>R50</f>
        <v>47375</v>
      </c>
      <c r="D50" s="1163"/>
      <c r="E50" s="1163"/>
      <c r="F50" s="1163"/>
      <c r="G50" s="1163"/>
      <c r="H50" s="1163"/>
      <c r="I50" s="1163"/>
      <c r="J50" s="443"/>
      <c r="K50" s="715"/>
      <c r="L50" s="2719"/>
      <c r="M50" s="2711"/>
      <c r="N50" s="2711"/>
      <c r="O50" s="2711"/>
      <c r="P50" s="3767" t="str">
        <f>A50</f>
        <v>估价对象XX用房的比较价值（楼面单价，元/平方米）</v>
      </c>
      <c r="Q50" s="3768"/>
      <c r="R50" s="3769">
        <f>IF(F1="售价",ROUND(IF(D49="简单平均",AVERAGE(R49:V49),R49*F49+T49*H49+V49*J49),0),ROUND(IF(D49="简单平均",AVERAGE(R49:V49),R49*F49+T49*H49+V49*J49),1))</f>
        <v>47375</v>
      </c>
      <c r="S50" s="3769"/>
      <c r="T50" s="3769"/>
      <c r="U50" s="3769"/>
      <c r="V50" s="3769"/>
      <c r="W50" s="3769"/>
      <c r="X50" s="1946"/>
      <c r="Y50" s="1946"/>
      <c r="Z50" s="1946"/>
      <c r="AA50" s="1946"/>
      <c r="AB50" s="1946"/>
      <c r="AC50" s="1947"/>
    </row>
    <row r="51" spans="1:29">
      <c r="A51" s="2720"/>
      <c r="B51" s="2720"/>
      <c r="C51" s="2720">
        <v>2004</v>
      </c>
      <c r="D51" s="2720"/>
      <c r="E51" s="2720" t="s">
        <v>5216</v>
      </c>
      <c r="F51" s="2720"/>
      <c r="G51" s="2720" t="s">
        <v>4700</v>
      </c>
      <c r="H51" s="2720"/>
      <c r="I51" s="2720" t="s">
        <v>4701</v>
      </c>
      <c r="J51" s="2720"/>
      <c r="K51" s="2725"/>
      <c r="L51" s="2721"/>
      <c r="M51" s="2720"/>
      <c r="N51" s="2720"/>
      <c r="O51" s="2720"/>
      <c r="P51" s="2750"/>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0"/>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6.9325470276785373E-2</v>
      </c>
      <c r="F53" s="449" t="str">
        <f>IF(OR(E53&gt;=0.3,E53&lt;=-0.3),"超过30%","")</f>
        <v/>
      </c>
      <c r="G53" s="448">
        <f>IF(G48&lt;G49,G49/G48-1,G48/G49-1)</f>
        <v>0.10142139332759958</v>
      </c>
      <c r="H53" s="449" t="str">
        <f>IF(OR(G53&gt;=0.3,G53&lt;=-0.3),"超过30%","")</f>
        <v/>
      </c>
      <c r="I53" s="448">
        <f>IF(I48&lt;I49,I49/I48-1,I48/I49-1)</f>
        <v>0.11210178710178709</v>
      </c>
      <c r="J53" s="449" t="str">
        <f>IF(OR(I53&gt;=0.3,I53&lt;=-0.3),"超过30%","")</f>
        <v/>
      </c>
      <c r="K53" s="2725"/>
      <c r="L53" s="2721"/>
      <c r="M53" s="2720"/>
      <c r="N53" s="2720"/>
      <c r="O53" s="2720"/>
      <c r="P53" s="2750"/>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5.16047259064778E-2</v>
      </c>
      <c r="F54" s="449" t="str">
        <f>IF(OR(E54&gt;=0.2,E54&lt;=-0.2),"超过20%","")</f>
        <v/>
      </c>
      <c r="G54" s="448">
        <f>IF(G49&lt;I49,I49/G49-1,G49/I49-1)</f>
        <v>0.16518039020415554</v>
      </c>
      <c r="H54" s="449" t="str">
        <f>IF(OR(G54&gt;=0.2,G54&lt;=-0.2),"超过20%","")</f>
        <v/>
      </c>
      <c r="I54" s="448">
        <f>IF(I49&lt;E49,E49/I49-1,I49/E49-1)</f>
        <v>0.10800223838836032</v>
      </c>
      <c r="J54" s="449" t="str">
        <f>IF(OR(I54&gt;=0.2,I54&lt;=-0.2),"超过20%","")</f>
        <v/>
      </c>
      <c r="K54" s="2725"/>
      <c r="L54" s="2721"/>
      <c r="M54" s="2720"/>
      <c r="N54" s="2720"/>
      <c r="O54" s="2720"/>
      <c r="P54" s="2750"/>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2.0960483324085954E-2</v>
      </c>
      <c r="F55" s="449" t="str">
        <f>IF(OR(E55&gt;=0.3,E55&lt;=-0.3),"超过30%","")</f>
        <v/>
      </c>
      <c r="G55" s="448">
        <f>IF(G48&lt;I48,I48/G48-1,G48/I48-1)</f>
        <v>0.17647904979142259</v>
      </c>
      <c r="H55" s="449" t="str">
        <f>IF(OR(G55&gt;=0.3,G55&lt;=-0.3),"超过30%","")</f>
        <v/>
      </c>
      <c r="I55" s="448">
        <f>IF(I48&lt;E48,E48/I48-1,I48/E48-1)</f>
        <v>0.15232574522472486</v>
      </c>
      <c r="J55" s="449" t="str">
        <f>IF(OR(I55&gt;=0.3,I55&lt;=-0.3),"超过30%","")</f>
        <v/>
      </c>
      <c r="K55" s="2728"/>
      <c r="L55" s="2722"/>
      <c r="M55" s="2723"/>
      <c r="N55" s="2723"/>
      <c r="O55" s="2723"/>
      <c r="P55" s="2751"/>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1"/>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0"/>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3"/>
      <c r="O58" s="2763"/>
      <c r="P58" s="2752"/>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492">
        <f t="shared" ref="P59" si="17">EDATE(O59,-1)</f>
        <v>45108</v>
      </c>
      <c r="Q59" s="3492">
        <f t="shared" ref="Q59" si="18">EDATE(P59,-1)</f>
        <v>45078</v>
      </c>
      <c r="R59" s="3492">
        <f t="shared" ref="R59" si="19">EDATE(Q59,-1)</f>
        <v>45047</v>
      </c>
      <c r="S59" s="3492">
        <f t="shared" ref="S59" si="20">EDATE(R59,-1)</f>
        <v>45017</v>
      </c>
      <c r="T59" s="3492">
        <f t="shared" ref="T59" si="21">EDATE(S59,-1)</f>
        <v>44986</v>
      </c>
      <c r="U59" s="3492">
        <f t="shared" ref="U59" si="22">EDATE(T59,-1)</f>
        <v>44958</v>
      </c>
      <c r="V59" s="3492">
        <f t="shared" ref="V59" si="23">EDATE(U59,-1)</f>
        <v>44927</v>
      </c>
      <c r="W59" s="3492">
        <f t="shared" ref="W59" si="24">EDATE(V59,-1)</f>
        <v>44896</v>
      </c>
      <c r="X59" s="3492">
        <f t="shared" ref="X59" si="25">EDATE(W59,-1)</f>
        <v>44866</v>
      </c>
      <c r="Y59" s="3492">
        <f t="shared" ref="Y59" si="26">EDATE(X59,-1)</f>
        <v>44835</v>
      </c>
      <c r="Z59" s="3492">
        <f t="shared" ref="Z59" si="27">EDATE(Y59,-1)</f>
        <v>44805</v>
      </c>
      <c r="AA59" s="3492">
        <f t="shared" ref="AA59" si="28">EDATE(Z59,-1)</f>
        <v>44774</v>
      </c>
      <c r="AB59" s="3492">
        <f t="shared" ref="AB59" si="29">EDATE(AA59,-1)</f>
        <v>44743</v>
      </c>
      <c r="AC59" s="3492">
        <f t="shared" ref="AC59" si="30">EDATE(AB59,-1)</f>
        <v>44713</v>
      </c>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row>
    <row r="61" spans="1:29" s="108" customFormat="1" ht="15.75" thickBot="1">
      <c r="A61" s="464" t="s">
        <v>1716</v>
      </c>
      <c r="B61" s="465"/>
      <c r="C61" s="466"/>
      <c r="D61" s="467"/>
      <c r="E61" s="467"/>
      <c r="F61" s="467"/>
      <c r="G61" s="467"/>
      <c r="H61" s="467"/>
      <c r="I61" s="467"/>
      <c r="J61" s="467"/>
      <c r="K61" s="467"/>
      <c r="L61" s="467"/>
      <c r="M61" s="468"/>
      <c r="N61" s="467"/>
      <c r="O61" s="468"/>
      <c r="P61" s="2754"/>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4"/>
      <c r="R63" s="2656"/>
      <c r="S63" s="2656"/>
      <c r="T63" s="2656"/>
      <c r="U63" s="2656"/>
      <c r="V63" s="2656"/>
      <c r="W63" s="2656"/>
      <c r="X63" s="2656"/>
      <c r="Y63" s="2656"/>
      <c r="Z63" s="2656"/>
      <c r="AA63" s="2656"/>
      <c r="AB63" s="2656"/>
      <c r="AC63" s="2656"/>
    </row>
    <row r="64" spans="1:29">
      <c r="A64" s="476" t="s">
        <v>1719</v>
      </c>
      <c r="B64" s="477" t="s">
        <v>1685</v>
      </c>
      <c r="C64" s="478" t="str">
        <f>C9</f>
        <v>综合</v>
      </c>
      <c r="D64" s="3493" t="s">
        <v>5224</v>
      </c>
      <c r="E64" s="479"/>
      <c r="F64" s="479"/>
      <c r="G64" s="479"/>
      <c r="H64" s="479"/>
      <c r="I64" s="479"/>
      <c r="J64" s="479"/>
      <c r="K64" s="480"/>
      <c r="L64" s="481"/>
      <c r="M64" s="482"/>
      <c r="N64" s="2747"/>
      <c r="O64" s="2747"/>
      <c r="P64" s="2756"/>
      <c r="Q64" s="2734"/>
      <c r="R64" s="2720"/>
      <c r="S64" s="2720"/>
      <c r="T64" s="2720"/>
      <c r="U64" s="2720"/>
      <c r="V64" s="2720"/>
      <c r="W64" s="2720"/>
      <c r="X64" s="2720"/>
      <c r="Y64" s="2720"/>
      <c r="Z64" s="2720"/>
      <c r="AA64" s="2720"/>
      <c r="AB64" s="2720"/>
      <c r="AC64" s="2720"/>
    </row>
    <row r="65" spans="1:29" ht="15.75" thickBot="1">
      <c r="A65" s="483"/>
      <c r="B65" s="484"/>
      <c r="C65" s="485">
        <v>100</v>
      </c>
      <c r="D65" s="485">
        <v>100</v>
      </c>
      <c r="E65" s="485"/>
      <c r="F65" s="485"/>
      <c r="G65" s="485"/>
      <c r="H65" s="485"/>
      <c r="I65" s="485"/>
      <c r="J65" s="485"/>
      <c r="K65" s="485"/>
      <c r="L65" s="485"/>
      <c r="M65" s="486"/>
      <c r="N65" s="2748"/>
      <c r="O65" s="2748"/>
      <c r="P65" s="2756"/>
      <c r="Q65" s="2734"/>
      <c r="R65" s="2720"/>
      <c r="S65" s="2720"/>
      <c r="T65" s="2720"/>
      <c r="U65" s="2720"/>
      <c r="V65" s="2720"/>
      <c r="W65" s="2720"/>
      <c r="X65" s="2720"/>
      <c r="Y65" s="2720"/>
      <c r="Z65" s="2720"/>
      <c r="AA65" s="2720"/>
      <c r="AB65" s="2720"/>
      <c r="AC65" s="2720"/>
    </row>
    <row r="66" spans="1:29" ht="27.75" thickTop="1">
      <c r="A66" s="483"/>
      <c r="B66" s="487" t="s">
        <v>1688</v>
      </c>
      <c r="C66" s="532" t="s">
        <v>4661</v>
      </c>
      <c r="D66" s="532" t="s">
        <v>4662</v>
      </c>
      <c r="E66" s="532" t="s">
        <v>4663</v>
      </c>
      <c r="F66" s="532"/>
      <c r="G66" s="532"/>
      <c r="H66" s="532"/>
      <c r="I66" s="532"/>
      <c r="J66" s="532"/>
      <c r="K66" s="533"/>
      <c r="L66" s="534"/>
      <c r="M66" s="535"/>
      <c r="N66" s="2747"/>
      <c r="O66" s="2747"/>
      <c r="P66" s="2756"/>
      <c r="Q66" s="2734"/>
      <c r="R66" s="2720"/>
      <c r="S66" s="2720"/>
      <c r="T66" s="2720"/>
      <c r="U66" s="2720"/>
      <c r="V66" s="2720"/>
      <c r="W66" s="2720"/>
      <c r="X66" s="2720"/>
      <c r="Y66" s="2720"/>
      <c r="Z66" s="2720"/>
      <c r="AA66" s="2720"/>
      <c r="AB66" s="2720"/>
      <c r="AC66" s="2720"/>
    </row>
    <row r="67" spans="1:29" ht="15.75" thickBot="1">
      <c r="A67" s="483"/>
      <c r="B67" s="492"/>
      <c r="C67" s="485">
        <v>100</v>
      </c>
      <c r="D67" s="485">
        <f>C67-2</f>
        <v>98</v>
      </c>
      <c r="E67" s="485">
        <f>D67-2</f>
        <v>96</v>
      </c>
      <c r="F67" s="485"/>
      <c r="G67" s="485"/>
      <c r="H67" s="485"/>
      <c r="I67" s="485"/>
      <c r="J67" s="485"/>
      <c r="K67" s="485"/>
      <c r="L67" s="485"/>
      <c r="M67" s="486"/>
      <c r="N67" s="2748"/>
      <c r="O67" s="2748"/>
      <c r="P67" s="2756"/>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31">D69&amp;"（含）"&amp;"-"&amp;E69</f>
        <v>3（含）-</v>
      </c>
      <c r="E68" s="496" t="str">
        <f t="shared" si="31"/>
        <v>（含）-</v>
      </c>
      <c r="F68" s="496" t="str">
        <f t="shared" si="31"/>
        <v>（含）-</v>
      </c>
      <c r="G68" s="496" t="str">
        <f t="shared" si="31"/>
        <v>（含）-</v>
      </c>
      <c r="H68" s="496" t="str">
        <f t="shared" si="31"/>
        <v>（含）-</v>
      </c>
      <c r="I68" s="496" t="str">
        <f t="shared" si="31"/>
        <v>（含）-</v>
      </c>
      <c r="J68" s="496" t="str">
        <f t="shared" si="31"/>
        <v>（含）-</v>
      </c>
      <c r="K68" s="496" t="str">
        <f t="shared" si="31"/>
        <v>（含）-</v>
      </c>
      <c r="L68" s="496" t="str">
        <f t="shared" si="31"/>
        <v>（含）-</v>
      </c>
      <c r="M68" s="399" t="str">
        <f>M69&amp;"（含）"&amp;"-"&amp;P69</f>
        <v>（含）-</v>
      </c>
      <c r="N68" s="2748"/>
      <c r="O68" s="2748"/>
      <c r="P68" s="2756"/>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7"/>
      <c r="O69" s="2747"/>
      <c r="P69" s="2756"/>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32">C70-$K11</f>
        <v>100</v>
      </c>
      <c r="E70" s="493">
        <f t="shared" si="32"/>
        <v>100</v>
      </c>
      <c r="F70" s="493">
        <f t="shared" si="32"/>
        <v>100</v>
      </c>
      <c r="G70" s="493">
        <f t="shared" si="32"/>
        <v>100</v>
      </c>
      <c r="H70" s="493">
        <f t="shared" si="32"/>
        <v>100</v>
      </c>
      <c r="I70" s="493">
        <f t="shared" si="32"/>
        <v>100</v>
      </c>
      <c r="J70" s="493">
        <f t="shared" si="32"/>
        <v>100</v>
      </c>
      <c r="K70" s="493">
        <f t="shared" si="32"/>
        <v>100</v>
      </c>
      <c r="L70" s="493">
        <f t="shared" si="32"/>
        <v>100</v>
      </c>
      <c r="M70" s="494">
        <f t="shared" si="32"/>
        <v>100</v>
      </c>
      <c r="N70" s="2748"/>
      <c r="O70" s="2748"/>
      <c r="P70" s="2756"/>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8"/>
      <c r="O78" s="2748"/>
      <c r="P78" s="2756"/>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4"/>
      <c r="R79" s="2720"/>
      <c r="S79" s="2720"/>
      <c r="T79" s="2720"/>
      <c r="U79" s="2720"/>
      <c r="V79" s="2720"/>
      <c r="W79" s="2720"/>
      <c r="X79" s="2720"/>
      <c r="Y79" s="2720"/>
      <c r="Z79" s="2720"/>
      <c r="AA79" s="2720"/>
      <c r="AB79" s="2720"/>
      <c r="AC79" s="2720"/>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4"/>
      <c r="R81" s="2720"/>
      <c r="S81" s="2720"/>
      <c r="T81" s="2720"/>
      <c r="U81" s="2720"/>
      <c r="V81" s="2720"/>
      <c r="W81" s="2720"/>
      <c r="X81" s="2720"/>
      <c r="Y81" s="2720"/>
      <c r="Z81" s="2720"/>
      <c r="AA81" s="2720"/>
      <c r="AB81" s="2720"/>
      <c r="AC81" s="2720"/>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6"/>
      <c r="O87" s="2746"/>
      <c r="P87" s="2756"/>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33">C88-$K25</f>
        <v>100</v>
      </c>
      <c r="E88" s="493">
        <f t="shared" si="33"/>
        <v>100</v>
      </c>
      <c r="F88" s="493">
        <f t="shared" si="33"/>
        <v>100</v>
      </c>
      <c r="G88" s="493">
        <f t="shared" si="33"/>
        <v>100</v>
      </c>
      <c r="H88" s="493">
        <f t="shared" si="33"/>
        <v>100</v>
      </c>
      <c r="I88" s="493">
        <f t="shared" si="33"/>
        <v>100</v>
      </c>
      <c r="J88" s="493">
        <f t="shared" si="33"/>
        <v>100</v>
      </c>
      <c r="K88" s="493">
        <f t="shared" si="33"/>
        <v>100</v>
      </c>
      <c r="L88" s="493">
        <f t="shared" si="33"/>
        <v>100</v>
      </c>
      <c r="M88" s="493">
        <f t="shared" si="33"/>
        <v>100</v>
      </c>
      <c r="N88" s="2748"/>
      <c r="O88" s="2748"/>
      <c r="P88" s="2756"/>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34">D90-$K27</f>
        <v>100</v>
      </c>
      <c r="F90" s="493">
        <f t="shared" si="34"/>
        <v>100</v>
      </c>
      <c r="G90" s="493">
        <f t="shared" si="34"/>
        <v>100</v>
      </c>
      <c r="H90" s="493">
        <f t="shared" si="34"/>
        <v>100</v>
      </c>
      <c r="I90" s="493">
        <f t="shared" si="34"/>
        <v>100</v>
      </c>
      <c r="J90" s="493">
        <f t="shared" si="34"/>
        <v>100</v>
      </c>
      <c r="K90" s="493">
        <f t="shared" si="34"/>
        <v>100</v>
      </c>
      <c r="L90" s="493">
        <f t="shared" si="34"/>
        <v>100</v>
      </c>
      <c r="M90" s="493">
        <f t="shared" si="34"/>
        <v>100</v>
      </c>
      <c r="N90" s="2748"/>
      <c r="O90" s="2748"/>
      <c r="P90" s="2756"/>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35">C92-$K28</f>
        <v>100</v>
      </c>
      <c r="E92" s="493">
        <f t="shared" si="35"/>
        <v>100</v>
      </c>
      <c r="F92" s="493">
        <f t="shared" si="35"/>
        <v>100</v>
      </c>
      <c r="G92" s="493">
        <f t="shared" si="35"/>
        <v>100</v>
      </c>
      <c r="H92" s="493">
        <f t="shared" si="35"/>
        <v>100</v>
      </c>
      <c r="I92" s="493">
        <f t="shared" si="35"/>
        <v>100</v>
      </c>
      <c r="J92" s="493">
        <f t="shared" si="35"/>
        <v>100</v>
      </c>
      <c r="K92" s="493">
        <f t="shared" si="35"/>
        <v>100</v>
      </c>
      <c r="L92" s="493">
        <f t="shared" si="35"/>
        <v>100</v>
      </c>
      <c r="M92" s="493">
        <f t="shared" si="35"/>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t="str">
        <f>B29</f>
        <v>商业繁华度</v>
      </c>
      <c r="C93" s="3496" t="s">
        <v>4725</v>
      </c>
      <c r="D93" s="3496" t="s">
        <v>4726</v>
      </c>
      <c r="E93" s="3496" t="s">
        <v>4727</v>
      </c>
      <c r="F93" s="503"/>
      <c r="G93" s="503"/>
      <c r="H93" s="503"/>
      <c r="I93" s="503"/>
      <c r="J93" s="503"/>
      <c r="K93" s="503"/>
      <c r="L93" s="529"/>
      <c r="M93" s="530"/>
      <c r="N93" s="2747"/>
      <c r="O93" s="2747"/>
      <c r="P93" s="2756"/>
      <c r="Q93" s="2734"/>
      <c r="R93" s="2720"/>
      <c r="S93" s="2720"/>
      <c r="T93" s="2720"/>
      <c r="U93" s="2720"/>
      <c r="V93" s="2720"/>
      <c r="W93" s="2720"/>
      <c r="X93" s="2720"/>
      <c r="Y93" s="2720"/>
      <c r="Z93" s="2720"/>
      <c r="AA93" s="2720"/>
      <c r="AB93" s="2720"/>
      <c r="AC93" s="2720"/>
    </row>
    <row r="94" spans="1:29" ht="15.75" thickBot="1">
      <c r="A94" s="483"/>
      <c r="B94" s="492"/>
      <c r="C94" s="509">
        <v>100</v>
      </c>
      <c r="D94" s="485">
        <v>97</v>
      </c>
      <c r="E94" s="485">
        <v>94</v>
      </c>
      <c r="F94" s="485"/>
      <c r="G94" s="485"/>
      <c r="H94" s="485"/>
      <c r="I94" s="485"/>
      <c r="J94" s="485"/>
      <c r="K94" s="485"/>
      <c r="L94" s="485"/>
      <c r="M94" s="486"/>
      <c r="N94" s="2748"/>
      <c r="O94" s="2748"/>
      <c r="P94" s="2756"/>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7"/>
      <c r="O95" s="2747"/>
      <c r="P95" s="2756"/>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8"/>
      <c r="O96" s="2748"/>
      <c r="P96" s="2756"/>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7"/>
      <c r="O97" s="2747"/>
      <c r="P97" s="2756"/>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8"/>
      <c r="O98" s="2748"/>
      <c r="P98" s="2756"/>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7"/>
      <c r="O99" s="2747"/>
      <c r="P99" s="2756"/>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8"/>
      <c r="O100" s="2748"/>
      <c r="P100" s="2756"/>
      <c r="Q100" s="2734"/>
      <c r="R100" s="2720"/>
      <c r="S100" s="2720"/>
      <c r="T100" s="2720"/>
      <c r="U100" s="2720"/>
      <c r="V100" s="2720"/>
      <c r="W100" s="2720"/>
      <c r="X100" s="2720"/>
      <c r="Y100" s="2720"/>
      <c r="Z100" s="2720"/>
      <c r="AA100" s="2720"/>
      <c r="AB100" s="2720"/>
      <c r="AC100" s="2720"/>
    </row>
    <row r="101" spans="1:29">
      <c r="A101" s="476" t="s">
        <v>1694</v>
      </c>
      <c r="B101" s="477" t="s">
        <v>1736</v>
      </c>
      <c r="C101" s="3493" t="s">
        <v>4707</v>
      </c>
      <c r="D101" s="479"/>
      <c r="E101" s="479"/>
      <c r="F101" s="479"/>
      <c r="G101" s="479"/>
      <c r="H101" s="479"/>
      <c r="I101" s="479"/>
      <c r="J101" s="479"/>
      <c r="K101" s="480"/>
      <c r="L101" s="481"/>
      <c r="M101" s="482"/>
      <c r="N101" s="2747"/>
      <c r="O101" s="2747"/>
      <c r="P101" s="2756"/>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36">C102-$K33</f>
        <v>95</v>
      </c>
      <c r="E102" s="493">
        <f t="shared" si="36"/>
        <v>90</v>
      </c>
      <c r="F102" s="493">
        <f t="shared" si="36"/>
        <v>85</v>
      </c>
      <c r="G102" s="493">
        <f t="shared" si="36"/>
        <v>80</v>
      </c>
      <c r="H102" s="493">
        <f t="shared" si="36"/>
        <v>75</v>
      </c>
      <c r="I102" s="493">
        <f t="shared" si="36"/>
        <v>70</v>
      </c>
      <c r="J102" s="493">
        <f t="shared" si="36"/>
        <v>65</v>
      </c>
      <c r="K102" s="493">
        <f t="shared" si="36"/>
        <v>60</v>
      </c>
      <c r="L102" s="493">
        <f t="shared" si="36"/>
        <v>55</v>
      </c>
      <c r="M102" s="494">
        <f t="shared" si="36"/>
        <v>50</v>
      </c>
      <c r="N102" s="2748"/>
      <c r="O102" s="2748"/>
      <c r="P102" s="2756"/>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0(含)-10000</v>
      </c>
      <c r="D103" s="527" t="str">
        <f t="shared" ref="D103:L103" si="37">D104&amp;"(含)"&amp;"-"&amp;E104</f>
        <v>10000(含)-20000</v>
      </c>
      <c r="E103" s="527" t="str">
        <f t="shared" si="37"/>
        <v>20000(含)-30000</v>
      </c>
      <c r="F103" s="527" t="str">
        <f t="shared" si="37"/>
        <v>30000(含)-40000</v>
      </c>
      <c r="G103" s="527" t="str">
        <f t="shared" si="37"/>
        <v>40000(含)-50000</v>
      </c>
      <c r="H103" s="527" t="str">
        <f t="shared" si="37"/>
        <v>50000(含)-</v>
      </c>
      <c r="I103" s="527" t="str">
        <f t="shared" si="37"/>
        <v>(含)-</v>
      </c>
      <c r="J103" s="527" t="str">
        <f t="shared" si="37"/>
        <v>(含)-</v>
      </c>
      <c r="K103" s="527" t="str">
        <f t="shared" si="37"/>
        <v>(含)-</v>
      </c>
      <c r="L103" s="527" t="str">
        <f t="shared" si="37"/>
        <v>(含)-</v>
      </c>
      <c r="M103" s="570" t="str">
        <f>M104&amp;"(含)"&amp;"-"&amp;P104</f>
        <v>(含)-</v>
      </c>
      <c r="N103" s="2746"/>
      <c r="O103" s="2746"/>
      <c r="P103" s="2756"/>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10000</v>
      </c>
      <c r="E104" s="544">
        <v>20000</v>
      </c>
      <c r="F104" s="544">
        <v>30000</v>
      </c>
      <c r="G104" s="544">
        <v>40000</v>
      </c>
      <c r="H104" s="544">
        <v>50000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96" t="s">
        <v>4708</v>
      </c>
      <c r="D106" s="503"/>
      <c r="E106" s="532"/>
      <c r="F106" s="532"/>
      <c r="G106" s="532"/>
      <c r="H106" s="532"/>
      <c r="I106" s="532"/>
      <c r="J106" s="532"/>
      <c r="K106" s="533"/>
      <c r="L106" s="534"/>
      <c r="M106" s="535"/>
      <c r="N106" s="2747"/>
      <c r="O106" s="2747"/>
      <c r="P106" s="2756"/>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38">C107-$K35</f>
        <v>98</v>
      </c>
      <c r="E107" s="493">
        <f t="shared" si="38"/>
        <v>96</v>
      </c>
      <c r="F107" s="493">
        <f t="shared" si="38"/>
        <v>94</v>
      </c>
      <c r="G107" s="493">
        <f t="shared" si="38"/>
        <v>92</v>
      </c>
      <c r="H107" s="493">
        <f t="shared" si="38"/>
        <v>90</v>
      </c>
      <c r="I107" s="493">
        <f t="shared" si="38"/>
        <v>88</v>
      </c>
      <c r="J107" s="493">
        <f t="shared" si="38"/>
        <v>86</v>
      </c>
      <c r="K107" s="493">
        <f t="shared" si="38"/>
        <v>84</v>
      </c>
      <c r="L107" s="493">
        <f t="shared" si="38"/>
        <v>82</v>
      </c>
      <c r="M107" s="494">
        <f t="shared" si="38"/>
        <v>80</v>
      </c>
      <c r="N107" s="2748"/>
      <c r="O107" s="2748"/>
      <c r="P107" s="2756"/>
      <c r="Q107" s="2734"/>
      <c r="R107" s="2720"/>
      <c r="S107" s="2720"/>
      <c r="T107" s="2720"/>
      <c r="U107" s="2720"/>
      <c r="V107" s="2720"/>
      <c r="W107" s="2720"/>
      <c r="X107" s="2720"/>
      <c r="Y107" s="2720"/>
      <c r="Z107" s="2720"/>
      <c r="AA107" s="2720"/>
      <c r="AB107" s="2720"/>
      <c r="AC107" s="2720"/>
    </row>
    <row r="108" spans="1:29" ht="15" thickTop="1">
      <c r="A108" s="548"/>
      <c r="B108" s="487" t="s">
        <v>1740</v>
      </c>
      <c r="C108" s="3496" t="s">
        <v>4709</v>
      </c>
      <c r="D108" s="3496" t="s">
        <v>4710</v>
      </c>
      <c r="E108" s="3496" t="s">
        <v>4711</v>
      </c>
      <c r="F108" s="3497" t="s">
        <v>4712</v>
      </c>
      <c r="G108" s="532"/>
      <c r="H108" s="532"/>
      <c r="I108" s="532"/>
      <c r="J108" s="532"/>
      <c r="K108" s="533"/>
      <c r="L108" s="534"/>
      <c r="M108" s="535"/>
      <c r="N108" s="2747"/>
      <c r="O108" s="2747"/>
      <c r="P108" s="2756"/>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39">C109-$K36</f>
        <v>98</v>
      </c>
      <c r="E109" s="493">
        <f t="shared" si="39"/>
        <v>96</v>
      </c>
      <c r="F109" s="493">
        <f t="shared" si="39"/>
        <v>94</v>
      </c>
      <c r="G109" s="493">
        <f t="shared" si="39"/>
        <v>92</v>
      </c>
      <c r="H109" s="493">
        <f t="shared" si="39"/>
        <v>90</v>
      </c>
      <c r="I109" s="493">
        <f t="shared" si="39"/>
        <v>88</v>
      </c>
      <c r="J109" s="493">
        <f t="shared" si="39"/>
        <v>86</v>
      </c>
      <c r="K109" s="493">
        <f t="shared" si="39"/>
        <v>84</v>
      </c>
      <c r="L109" s="493">
        <f t="shared" si="39"/>
        <v>82</v>
      </c>
      <c r="M109" s="494">
        <f t="shared" si="39"/>
        <v>80</v>
      </c>
      <c r="N109" s="2748"/>
      <c r="O109" s="2748"/>
      <c r="P109" s="2756"/>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102</v>
      </c>
      <c r="E112" s="493">
        <f t="shared" ref="E112:M112" si="40">D112+$K37</f>
        <v>104</v>
      </c>
      <c r="F112" s="493">
        <f t="shared" si="40"/>
        <v>106</v>
      </c>
      <c r="G112" s="493">
        <f t="shared" si="40"/>
        <v>108</v>
      </c>
      <c r="H112" s="493">
        <f t="shared" si="40"/>
        <v>110</v>
      </c>
      <c r="I112" s="493">
        <f t="shared" si="40"/>
        <v>112</v>
      </c>
      <c r="J112" s="493">
        <f t="shared" si="40"/>
        <v>114</v>
      </c>
      <c r="K112" s="493">
        <f t="shared" si="40"/>
        <v>116</v>
      </c>
      <c r="L112" s="493">
        <f t="shared" si="40"/>
        <v>118</v>
      </c>
      <c r="M112" s="493">
        <f t="shared" si="40"/>
        <v>120</v>
      </c>
      <c r="N112" s="2748"/>
      <c r="O112" s="2748"/>
      <c r="P112" s="2756"/>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41">D114-$K38</f>
        <v>100</v>
      </c>
      <c r="F114" s="493">
        <f t="shared" si="41"/>
        <v>100</v>
      </c>
      <c r="G114" s="493">
        <f t="shared" si="41"/>
        <v>100</v>
      </c>
      <c r="H114" s="493">
        <f t="shared" si="41"/>
        <v>100</v>
      </c>
      <c r="I114" s="493">
        <f t="shared" si="41"/>
        <v>100</v>
      </c>
      <c r="J114" s="493">
        <f t="shared" si="41"/>
        <v>100</v>
      </c>
      <c r="K114" s="493">
        <f t="shared" si="41"/>
        <v>100</v>
      </c>
      <c r="L114" s="493">
        <f t="shared" si="41"/>
        <v>100</v>
      </c>
      <c r="M114" s="493">
        <f t="shared" si="41"/>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96" t="s">
        <v>4714</v>
      </c>
      <c r="D115" s="3496" t="s">
        <v>4715</v>
      </c>
      <c r="E115" s="532"/>
      <c r="F115" s="532"/>
      <c r="G115" s="532"/>
      <c r="H115" s="532"/>
      <c r="I115" s="532"/>
      <c r="J115" s="532"/>
      <c r="K115" s="533"/>
      <c r="L115" s="534"/>
      <c r="M115" s="535"/>
      <c r="N115" s="2747"/>
      <c r="O115" s="2747"/>
      <c r="P115" s="2756"/>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42">C116-$K39</f>
        <v>98</v>
      </c>
      <c r="E116" s="493">
        <f t="shared" si="42"/>
        <v>96</v>
      </c>
      <c r="F116" s="493">
        <f t="shared" si="42"/>
        <v>94</v>
      </c>
      <c r="G116" s="493">
        <f t="shared" si="42"/>
        <v>92</v>
      </c>
      <c r="H116" s="493">
        <f t="shared" si="42"/>
        <v>90</v>
      </c>
      <c r="I116" s="493">
        <f t="shared" si="42"/>
        <v>88</v>
      </c>
      <c r="J116" s="493">
        <f t="shared" si="42"/>
        <v>86</v>
      </c>
      <c r="K116" s="493">
        <f t="shared" si="42"/>
        <v>84</v>
      </c>
      <c r="L116" s="493">
        <f t="shared" si="42"/>
        <v>82</v>
      </c>
      <c r="M116" s="494">
        <f t="shared" si="42"/>
        <v>80</v>
      </c>
      <c r="N116" s="2748"/>
      <c r="O116" s="2748"/>
      <c r="P116" s="2756"/>
      <c r="Q116" s="2734"/>
      <c r="R116" s="2720"/>
      <c r="S116" s="2720"/>
      <c r="T116" s="2720"/>
      <c r="U116" s="2720"/>
      <c r="V116" s="2720"/>
      <c r="W116" s="2720"/>
      <c r="X116" s="2720"/>
      <c r="Y116" s="2720"/>
      <c r="Z116" s="2720"/>
      <c r="AA116" s="2720"/>
      <c r="AB116" s="2720"/>
      <c r="AC116" s="2720"/>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8"/>
      <c r="O119" s="2748"/>
      <c r="P119" s="2761"/>
      <c r="Q119" s="2762"/>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43">D120-$K41</f>
        <v>100</v>
      </c>
      <c r="F120" s="493">
        <f t="shared" si="43"/>
        <v>100</v>
      </c>
      <c r="G120" s="493">
        <f t="shared" si="43"/>
        <v>100</v>
      </c>
      <c r="H120" s="493">
        <f t="shared" si="43"/>
        <v>100</v>
      </c>
      <c r="I120" s="493">
        <f t="shared" si="43"/>
        <v>100</v>
      </c>
      <c r="J120" s="493">
        <f t="shared" si="43"/>
        <v>100</v>
      </c>
      <c r="K120" s="493">
        <f t="shared" si="43"/>
        <v>100</v>
      </c>
      <c r="L120" s="493">
        <f t="shared" si="43"/>
        <v>100</v>
      </c>
      <c r="M120" s="493">
        <f t="shared" si="43"/>
        <v>100</v>
      </c>
      <c r="N120" s="2748"/>
      <c r="O120" s="2748"/>
      <c r="P120" s="2756"/>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7"/>
      <c r="O123" s="2747"/>
      <c r="P123" s="2756"/>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44">C124-$K43</f>
        <v>98</v>
      </c>
      <c r="E124" s="493">
        <f t="shared" si="44"/>
        <v>96</v>
      </c>
      <c r="F124" s="493">
        <f t="shared" si="44"/>
        <v>94</v>
      </c>
      <c r="G124" s="493">
        <f t="shared" si="44"/>
        <v>92</v>
      </c>
      <c r="H124" s="493">
        <f t="shared" si="44"/>
        <v>90</v>
      </c>
      <c r="I124" s="493">
        <f t="shared" si="44"/>
        <v>88</v>
      </c>
      <c r="J124" s="493">
        <f t="shared" si="44"/>
        <v>86</v>
      </c>
      <c r="K124" s="493">
        <f t="shared" si="44"/>
        <v>84</v>
      </c>
      <c r="L124" s="493">
        <f t="shared" si="44"/>
        <v>82</v>
      </c>
      <c r="M124" s="494">
        <f t="shared" si="44"/>
        <v>80</v>
      </c>
      <c r="N124" s="2748"/>
      <c r="O124" s="2748"/>
      <c r="P124" s="2756"/>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地下占比</v>
      </c>
      <c r="C127" s="503">
        <v>0</v>
      </c>
      <c r="D127" s="503" t="s">
        <v>4717</v>
      </c>
      <c r="E127" s="503" t="s">
        <v>4718</v>
      </c>
      <c r="F127" s="503" t="s">
        <v>4719</v>
      </c>
      <c r="G127" s="503" t="s">
        <v>4720</v>
      </c>
      <c r="H127" s="504" t="s">
        <v>4721</v>
      </c>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v>100</v>
      </c>
      <c r="D128" s="485">
        <f>C128-3.5</f>
        <v>96.5</v>
      </c>
      <c r="E128" s="485">
        <f>D128-3.5</f>
        <v>93</v>
      </c>
      <c r="F128" s="485">
        <f>E128-3.5</f>
        <v>89.5</v>
      </c>
      <c r="G128" s="485">
        <f>F128-3.5</f>
        <v>86</v>
      </c>
      <c r="H128" s="485">
        <f>G128-3.5</f>
        <v>82.5</v>
      </c>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8"/>
      <c r="O130" s="2748"/>
      <c r="P130" s="2756"/>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7"/>
      <c r="O131" s="2747"/>
      <c r="P131" s="2756"/>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8"/>
      <c r="O132" s="2748"/>
      <c r="P132" s="2756"/>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18"/>
  <sheetViews>
    <sheetView workbookViewId="0">
      <pane xSplit="2" ySplit="7" topLeftCell="I8" activePane="bottomRight" state="frozen"/>
      <selection pane="topRight" activeCell="C1" sqref="C1"/>
      <selection pane="bottomLeft" activeCell="A2" sqref="A2"/>
      <selection pane="bottomRight" activeCell="Q37" sqref="Q37"/>
    </sheetView>
  </sheetViews>
  <sheetFormatPr defaultColWidth="24.75" defaultRowHeight="13.5"/>
  <cols>
    <col min="1" max="1" width="24.75" style="3482"/>
    <col min="2" max="2" width="24.75" style="3482" customWidth="1"/>
    <col min="3" max="3" width="11.5" style="3482" customWidth="1"/>
    <col min="4" max="4" width="11.875" style="3482" customWidth="1"/>
    <col min="5" max="5" width="11.25" style="3482" customWidth="1"/>
    <col min="6" max="6" width="14.625" style="3482" customWidth="1"/>
    <col min="7" max="7" width="20.125" style="3482" customWidth="1"/>
    <col min="8" max="8" width="7.125" style="3482" customWidth="1"/>
    <col min="9" max="9" width="11.625" style="3488" customWidth="1"/>
    <col min="10" max="10" width="7.875" style="3482" customWidth="1"/>
    <col min="11" max="11" width="12.5" style="3482" customWidth="1"/>
    <col min="12" max="12" width="11.5" style="3489" customWidth="1"/>
    <col min="13" max="13" width="10.375" style="3489" customWidth="1"/>
    <col min="14" max="14" width="10.25" style="3489" customWidth="1"/>
    <col min="15" max="15" width="20" style="3482" customWidth="1"/>
    <col min="16" max="16" width="18.25" style="3482" customWidth="1"/>
    <col min="17" max="16384" width="24.75" style="3482"/>
  </cols>
  <sheetData>
    <row r="1" spans="1:17" s="3478" customFormat="1" ht="27">
      <c r="A1" s="3476" t="s">
        <v>3469</v>
      </c>
      <c r="B1" s="3476" t="s">
        <v>3470</v>
      </c>
      <c r="C1" s="3476" t="s">
        <v>3471</v>
      </c>
      <c r="D1" s="3476" t="s">
        <v>3472</v>
      </c>
      <c r="E1" s="3476" t="s">
        <v>3473</v>
      </c>
      <c r="F1" s="3476" t="s">
        <v>3474</v>
      </c>
      <c r="G1" s="3476" t="s">
        <v>3475</v>
      </c>
      <c r="H1" s="3476" t="s">
        <v>3476</v>
      </c>
      <c r="I1" s="3477" t="s">
        <v>3477</v>
      </c>
      <c r="J1" s="3476" t="s">
        <v>3478</v>
      </c>
      <c r="K1" s="3476" t="s">
        <v>3479</v>
      </c>
      <c r="L1" s="3476" t="s">
        <v>3480</v>
      </c>
      <c r="M1" s="3476" t="s">
        <v>3481</v>
      </c>
      <c r="N1" s="3476" t="s">
        <v>3482</v>
      </c>
      <c r="O1" s="3476" t="s">
        <v>3483</v>
      </c>
      <c r="P1" s="3476" t="s">
        <v>3484</v>
      </c>
    </row>
    <row r="2" spans="1:17" s="3487" customFormat="1" ht="27">
      <c r="A2" s="3484" t="s">
        <v>4683</v>
      </c>
      <c r="B2" s="3503" t="s">
        <v>4703</v>
      </c>
      <c r="C2" s="3484" t="s">
        <v>3487</v>
      </c>
      <c r="D2" s="3484" t="s">
        <v>3603</v>
      </c>
      <c r="E2" s="3484" t="s">
        <v>3942</v>
      </c>
      <c r="F2" s="3484" t="s">
        <v>3499</v>
      </c>
      <c r="G2" s="3484" t="s">
        <v>3499</v>
      </c>
      <c r="H2" s="3484" t="s">
        <v>3534</v>
      </c>
      <c r="I2" s="3485">
        <v>45322</v>
      </c>
      <c r="J2" s="3484" t="s">
        <v>3491</v>
      </c>
      <c r="K2" s="3484" t="s">
        <v>3530</v>
      </c>
      <c r="L2" s="3486">
        <v>240000</v>
      </c>
      <c r="M2" s="3486">
        <v>53621</v>
      </c>
      <c r="N2" s="3486">
        <v>44759</v>
      </c>
      <c r="O2" s="3484" t="s">
        <v>4204</v>
      </c>
      <c r="P2" s="3484" t="s">
        <v>4205</v>
      </c>
    </row>
    <row r="3" spans="1:17" s="3487" customFormat="1" ht="27">
      <c r="A3" s="3484" t="s">
        <v>4684</v>
      </c>
      <c r="B3" s="3503" t="s">
        <v>4696</v>
      </c>
      <c r="C3" s="3484" t="s">
        <v>3487</v>
      </c>
      <c r="D3" s="3484" t="s">
        <v>3598</v>
      </c>
      <c r="E3" s="3484" t="s">
        <v>3672</v>
      </c>
      <c r="F3" s="3484" t="s">
        <v>3499</v>
      </c>
      <c r="G3" s="3484" t="s">
        <v>3499</v>
      </c>
      <c r="H3" s="3484" t="s">
        <v>3561</v>
      </c>
      <c r="I3" s="3485">
        <v>44896</v>
      </c>
      <c r="J3" s="3484" t="s">
        <v>3491</v>
      </c>
      <c r="K3" s="3484" t="s">
        <v>3492</v>
      </c>
      <c r="L3" s="3502">
        <v>95422.38</v>
      </c>
      <c r="M3" s="3501">
        <v>48663</v>
      </c>
      <c r="N3" s="3501">
        <v>19609</v>
      </c>
      <c r="O3" s="3484" t="s">
        <v>633</v>
      </c>
      <c r="P3" s="3484" t="s">
        <v>4155</v>
      </c>
      <c r="Q3" s="3482"/>
    </row>
    <row r="4" spans="1:17" s="3487" customFormat="1">
      <c r="A4" s="3484" t="s">
        <v>4242</v>
      </c>
      <c r="B4" s="3503" t="s">
        <v>4698</v>
      </c>
      <c r="C4" s="3484" t="s">
        <v>3487</v>
      </c>
      <c r="D4" s="3484" t="s">
        <v>3598</v>
      </c>
      <c r="E4" s="3484" t="s">
        <v>3672</v>
      </c>
      <c r="F4" s="3484" t="s">
        <v>3499</v>
      </c>
      <c r="G4" s="3484" t="s">
        <v>3499</v>
      </c>
      <c r="H4" s="3484" t="s">
        <v>3534</v>
      </c>
      <c r="I4" s="3485">
        <v>44804</v>
      </c>
      <c r="J4" s="3484" t="s">
        <v>3491</v>
      </c>
      <c r="K4" s="3484" t="s">
        <v>3492</v>
      </c>
      <c r="L4" s="3486">
        <v>43700</v>
      </c>
      <c r="M4" s="3486">
        <v>57251</v>
      </c>
      <c r="N4" s="3486">
        <v>7633</v>
      </c>
      <c r="O4" s="3484" t="s">
        <v>633</v>
      </c>
      <c r="P4" s="3484" t="s">
        <v>4033</v>
      </c>
    </row>
    <row r="7" spans="1:17" s="3478" customFormat="1" ht="27">
      <c r="A7" s="3476" t="s">
        <v>3469</v>
      </c>
      <c r="B7" s="3476" t="s">
        <v>3470</v>
      </c>
      <c r="C7" s="3476" t="s">
        <v>3471</v>
      </c>
      <c r="D7" s="3476" t="s">
        <v>3472</v>
      </c>
      <c r="E7" s="3476" t="s">
        <v>3473</v>
      </c>
      <c r="F7" s="3476" t="s">
        <v>3474</v>
      </c>
      <c r="G7" s="3476" t="s">
        <v>3475</v>
      </c>
      <c r="H7" s="3476" t="s">
        <v>3476</v>
      </c>
      <c r="I7" s="3477" t="s">
        <v>3477</v>
      </c>
      <c r="J7" s="3476" t="s">
        <v>3478</v>
      </c>
      <c r="K7" s="3476" t="s">
        <v>3479</v>
      </c>
      <c r="L7" s="3476" t="s">
        <v>3480</v>
      </c>
      <c r="M7" s="3476" t="s">
        <v>3481</v>
      </c>
      <c r="N7" s="3476" t="s">
        <v>3482</v>
      </c>
      <c r="O7" s="3476" t="s">
        <v>3483</v>
      </c>
      <c r="P7" s="3476" t="s">
        <v>3484</v>
      </c>
    </row>
    <row r="8" spans="1:17" ht="40.5" hidden="1">
      <c r="A8" s="3479" t="s">
        <v>3485</v>
      </c>
      <c r="B8" s="3479" t="s">
        <v>3486</v>
      </c>
      <c r="C8" s="3479" t="s">
        <v>3487</v>
      </c>
      <c r="D8" s="3479" t="s">
        <v>3488</v>
      </c>
      <c r="E8" s="3479" t="s">
        <v>3489</v>
      </c>
      <c r="F8" s="3479" t="s">
        <v>3</v>
      </c>
      <c r="G8" s="3479" t="s">
        <v>3490</v>
      </c>
      <c r="H8" s="3479" t="s">
        <v>633</v>
      </c>
      <c r="I8" s="3480">
        <v>45084</v>
      </c>
      <c r="J8" s="3479" t="s">
        <v>3491</v>
      </c>
      <c r="K8" s="3479" t="s">
        <v>3492</v>
      </c>
      <c r="L8" s="3481">
        <v>10700</v>
      </c>
      <c r="M8" s="3481">
        <v>3083</v>
      </c>
      <c r="N8" s="3481">
        <v>34700</v>
      </c>
      <c r="O8" s="3479" t="s">
        <v>3493</v>
      </c>
      <c r="P8" s="3479" t="s">
        <v>3494</v>
      </c>
    </row>
    <row r="9" spans="1:17" ht="27">
      <c r="A9" s="3479" t="s">
        <v>3495</v>
      </c>
      <c r="B9" s="3479" t="s">
        <v>3496</v>
      </c>
      <c r="C9" s="3479" t="s">
        <v>3487</v>
      </c>
      <c r="D9" s="3479" t="s">
        <v>3497</v>
      </c>
      <c r="E9" s="3479" t="s">
        <v>3498</v>
      </c>
      <c r="F9" s="3479" t="s">
        <v>3499</v>
      </c>
      <c r="G9" s="3479" t="s">
        <v>3499</v>
      </c>
      <c r="H9" s="3479" t="s">
        <v>633</v>
      </c>
      <c r="I9" s="3480">
        <v>44835</v>
      </c>
      <c r="J9" s="3479" t="s">
        <v>3491</v>
      </c>
      <c r="K9" s="3479" t="s">
        <v>3492</v>
      </c>
      <c r="L9" s="3481">
        <v>42603</v>
      </c>
      <c r="M9" s="3481">
        <v>3807</v>
      </c>
      <c r="N9" s="3481">
        <v>111800</v>
      </c>
      <c r="O9" s="3479" t="s">
        <v>3500</v>
      </c>
      <c r="P9" s="3479" t="s">
        <v>3501</v>
      </c>
    </row>
    <row r="10" spans="1:17" ht="40.5" hidden="1">
      <c r="A10" s="3479" t="s">
        <v>3502</v>
      </c>
      <c r="B10" s="3479" t="s">
        <v>3503</v>
      </c>
      <c r="C10" s="3479" t="s">
        <v>3487</v>
      </c>
      <c r="D10" s="3479" t="s">
        <v>3504</v>
      </c>
      <c r="E10" s="3479" t="s">
        <v>3505</v>
      </c>
      <c r="F10" s="3479" t="s">
        <v>3</v>
      </c>
      <c r="G10" s="3479" t="s">
        <v>3490</v>
      </c>
      <c r="H10" s="3479" t="s">
        <v>633</v>
      </c>
      <c r="I10" s="3480">
        <v>45134</v>
      </c>
      <c r="J10" s="3479" t="s">
        <v>3491</v>
      </c>
      <c r="K10" s="3479" t="s">
        <v>3506</v>
      </c>
      <c r="L10" s="3481">
        <v>5176</v>
      </c>
      <c r="M10" s="3481">
        <v>3926</v>
      </c>
      <c r="N10" s="3481">
        <v>13181.14</v>
      </c>
      <c r="O10" s="3479" t="s">
        <v>3507</v>
      </c>
      <c r="P10" s="3479" t="s">
        <v>3508</v>
      </c>
    </row>
    <row r="11" spans="1:17" ht="40.5" hidden="1">
      <c r="A11" s="3479" t="s">
        <v>3509</v>
      </c>
      <c r="B11" s="3479" t="s">
        <v>3510</v>
      </c>
      <c r="C11" s="3479" t="s">
        <v>3487</v>
      </c>
      <c r="D11" s="3479" t="s">
        <v>3511</v>
      </c>
      <c r="E11" s="3479" t="s">
        <v>3512</v>
      </c>
      <c r="F11" s="3479" t="s">
        <v>673</v>
      </c>
      <c r="G11" s="3479" t="s">
        <v>3513</v>
      </c>
      <c r="H11" s="3479" t="s">
        <v>633</v>
      </c>
      <c r="I11" s="3480">
        <v>45387</v>
      </c>
      <c r="J11" s="3479" t="s">
        <v>3491</v>
      </c>
      <c r="K11" s="3479" t="s">
        <v>3506</v>
      </c>
      <c r="L11" s="3481">
        <v>1315.34</v>
      </c>
      <c r="M11" s="3481">
        <v>4982</v>
      </c>
      <c r="N11" s="3481">
        <v>2640.17</v>
      </c>
      <c r="O11" s="3479" t="s">
        <v>633</v>
      </c>
      <c r="P11" s="3479" t="s">
        <v>3514</v>
      </c>
    </row>
    <row r="12" spans="1:17" ht="27" hidden="1">
      <c r="A12" s="3479" t="s">
        <v>3515</v>
      </c>
      <c r="B12" s="3479" t="s">
        <v>3516</v>
      </c>
      <c r="C12" s="3479" t="s">
        <v>3487</v>
      </c>
      <c r="D12" s="3479" t="s">
        <v>3517</v>
      </c>
      <c r="E12" s="3479" t="s">
        <v>633</v>
      </c>
      <c r="F12" s="3479" t="s">
        <v>3</v>
      </c>
      <c r="G12" s="3479" t="s">
        <v>3518</v>
      </c>
      <c r="H12" s="3479" t="s">
        <v>633</v>
      </c>
      <c r="I12" s="3480">
        <v>43821</v>
      </c>
      <c r="J12" s="3479" t="s">
        <v>3491</v>
      </c>
      <c r="K12" s="3479" t="s">
        <v>3492</v>
      </c>
      <c r="L12" s="3481">
        <v>24808.91</v>
      </c>
      <c r="M12" s="3481">
        <v>5195</v>
      </c>
      <c r="N12" s="3481">
        <v>47754</v>
      </c>
      <c r="O12" s="3479" t="s">
        <v>3519</v>
      </c>
      <c r="P12" s="3479" t="s">
        <v>3520</v>
      </c>
    </row>
    <row r="13" spans="1:17">
      <c r="A13" s="3479" t="s">
        <v>3521</v>
      </c>
      <c r="B13" s="3479" t="s">
        <v>3522</v>
      </c>
      <c r="C13" s="3479" t="s">
        <v>3487</v>
      </c>
      <c r="D13" s="3479" t="s">
        <v>3523</v>
      </c>
      <c r="E13" s="3479" t="s">
        <v>3524</v>
      </c>
      <c r="F13" s="3479" t="s">
        <v>3499</v>
      </c>
      <c r="G13" s="3479" t="s">
        <v>3499</v>
      </c>
      <c r="H13" s="3479" t="s">
        <v>633</v>
      </c>
      <c r="I13" s="3480">
        <v>44834</v>
      </c>
      <c r="J13" s="3479" t="s">
        <v>3491</v>
      </c>
      <c r="K13" s="3479" t="s">
        <v>3492</v>
      </c>
      <c r="L13" s="3481">
        <v>10300</v>
      </c>
      <c r="M13" s="3481">
        <v>5351</v>
      </c>
      <c r="N13" s="3481">
        <v>19247</v>
      </c>
      <c r="O13" s="3479" t="s">
        <v>3525</v>
      </c>
      <c r="P13" s="3479" t="s">
        <v>633</v>
      </c>
    </row>
    <row r="14" spans="1:17" ht="27">
      <c r="A14" s="3479" t="s">
        <v>3526</v>
      </c>
      <c r="B14" s="3479" t="s">
        <v>3527</v>
      </c>
      <c r="C14" s="3479" t="s">
        <v>3528</v>
      </c>
      <c r="D14" s="3479" t="s">
        <v>633</v>
      </c>
      <c r="E14" s="3479" t="s">
        <v>633</v>
      </c>
      <c r="F14" s="3479" t="s">
        <v>3529</v>
      </c>
      <c r="G14" s="3479" t="s">
        <v>3529</v>
      </c>
      <c r="H14" s="3479" t="s">
        <v>633</v>
      </c>
      <c r="I14" s="3480">
        <v>44859</v>
      </c>
      <c r="J14" s="3479" t="s">
        <v>3491</v>
      </c>
      <c r="K14" s="3479" t="s">
        <v>3530</v>
      </c>
      <c r="L14" s="3481">
        <v>14325</v>
      </c>
      <c r="M14" s="3481">
        <v>5445</v>
      </c>
      <c r="N14" s="3481">
        <v>26304.98</v>
      </c>
      <c r="O14" s="3479" t="s">
        <v>633</v>
      </c>
      <c r="P14" s="3479" t="s">
        <v>3531</v>
      </c>
    </row>
    <row r="15" spans="1:17" ht="40.5" hidden="1">
      <c r="A15" s="3479" t="s">
        <v>3532</v>
      </c>
      <c r="B15" s="3479" t="s">
        <v>3533</v>
      </c>
      <c r="C15" s="3479" t="s">
        <v>3487</v>
      </c>
      <c r="D15" s="3479" t="s">
        <v>3488</v>
      </c>
      <c r="E15" s="3479" t="s">
        <v>3489</v>
      </c>
      <c r="F15" s="3479" t="s">
        <v>3499</v>
      </c>
      <c r="G15" s="3479" t="s">
        <v>3499</v>
      </c>
      <c r="H15" s="3479" t="s">
        <v>3534</v>
      </c>
      <c r="I15" s="3480">
        <v>45429</v>
      </c>
      <c r="J15" s="3479" t="s">
        <v>3491</v>
      </c>
      <c r="K15" s="3479" t="s">
        <v>3506</v>
      </c>
      <c r="L15" s="3481">
        <v>9086.66</v>
      </c>
      <c r="M15" s="3481">
        <v>5477</v>
      </c>
      <c r="N15" s="3481">
        <v>16591.18</v>
      </c>
      <c r="O15" s="3479" t="s">
        <v>3535</v>
      </c>
      <c r="P15" s="3479" t="s">
        <v>633</v>
      </c>
    </row>
    <row r="16" spans="1:17" ht="40.5" hidden="1">
      <c r="A16" s="3479" t="s">
        <v>3532</v>
      </c>
      <c r="B16" s="3479" t="s">
        <v>3533</v>
      </c>
      <c r="C16" s="3479" t="s">
        <v>3487</v>
      </c>
      <c r="D16" s="3479" t="s">
        <v>3488</v>
      </c>
      <c r="E16" s="3479" t="s">
        <v>3489</v>
      </c>
      <c r="F16" s="3479" t="s">
        <v>3499</v>
      </c>
      <c r="G16" s="3479" t="s">
        <v>3499</v>
      </c>
      <c r="H16" s="3479" t="s">
        <v>3534</v>
      </c>
      <c r="I16" s="3480">
        <v>45429</v>
      </c>
      <c r="J16" s="3479" t="s">
        <v>3491</v>
      </c>
      <c r="K16" s="3479" t="s">
        <v>3506</v>
      </c>
      <c r="L16" s="3481">
        <v>9086.66</v>
      </c>
      <c r="M16" s="3481">
        <v>5477</v>
      </c>
      <c r="N16" s="3481">
        <v>16591.18</v>
      </c>
      <c r="O16" s="3479" t="s">
        <v>3535</v>
      </c>
      <c r="P16" s="3479" t="s">
        <v>633</v>
      </c>
    </row>
    <row r="17" spans="1:16" ht="27" hidden="1">
      <c r="A17" s="3479" t="s">
        <v>3536</v>
      </c>
      <c r="B17" s="3479" t="s">
        <v>3537</v>
      </c>
      <c r="C17" s="3479" t="s">
        <v>3487</v>
      </c>
      <c r="D17" s="3479" t="s">
        <v>3538</v>
      </c>
      <c r="E17" s="3479" t="s">
        <v>3539</v>
      </c>
      <c r="F17" s="3479" t="s">
        <v>3</v>
      </c>
      <c r="G17" s="3479" t="s">
        <v>3490</v>
      </c>
      <c r="H17" s="3479" t="s">
        <v>633</v>
      </c>
      <c r="I17" s="3480">
        <v>45150</v>
      </c>
      <c r="J17" s="3479" t="s">
        <v>3491</v>
      </c>
      <c r="K17" s="3479" t="s">
        <v>3506</v>
      </c>
      <c r="L17" s="3481">
        <v>1537.2</v>
      </c>
      <c r="M17" s="3481">
        <v>5543</v>
      </c>
      <c r="N17" s="3481">
        <v>2772.84</v>
      </c>
      <c r="O17" s="3479" t="s">
        <v>3540</v>
      </c>
      <c r="P17" s="3479" t="s">
        <v>3541</v>
      </c>
    </row>
    <row r="18" spans="1:16" ht="40.5" hidden="1">
      <c r="A18" s="3479" t="s">
        <v>3542</v>
      </c>
      <c r="B18" s="3479" t="s">
        <v>3543</v>
      </c>
      <c r="C18" s="3479" t="s">
        <v>3487</v>
      </c>
      <c r="D18" s="3479" t="s">
        <v>3544</v>
      </c>
      <c r="E18" s="3479" t="s">
        <v>3545</v>
      </c>
      <c r="F18" s="3479" t="s">
        <v>3546</v>
      </c>
      <c r="G18" s="3479" t="s">
        <v>3546</v>
      </c>
      <c r="H18" s="3479" t="s">
        <v>633</v>
      </c>
      <c r="I18" s="3480">
        <v>45039</v>
      </c>
      <c r="J18" s="3479" t="s">
        <v>3491</v>
      </c>
      <c r="K18" s="3479" t="s">
        <v>3506</v>
      </c>
      <c r="L18" s="3481">
        <v>68592.08</v>
      </c>
      <c r="M18" s="3481">
        <v>5969</v>
      </c>
      <c r="N18" s="3481">
        <v>114905</v>
      </c>
      <c r="O18" s="3479" t="s">
        <v>3547</v>
      </c>
      <c r="P18" s="3479" t="s">
        <v>3548</v>
      </c>
    </row>
    <row r="19" spans="1:16" ht="67.5" hidden="1">
      <c r="A19" s="3479" t="s">
        <v>3549</v>
      </c>
      <c r="B19" s="3479" t="s">
        <v>3550</v>
      </c>
      <c r="C19" s="3479" t="s">
        <v>3487</v>
      </c>
      <c r="D19" s="3479" t="s">
        <v>3551</v>
      </c>
      <c r="E19" s="3479" t="s">
        <v>633</v>
      </c>
      <c r="F19" s="3479" t="s">
        <v>3</v>
      </c>
      <c r="G19" s="3479" t="s">
        <v>3490</v>
      </c>
      <c r="H19" s="3479" t="s">
        <v>633</v>
      </c>
      <c r="I19" s="3480">
        <v>45437</v>
      </c>
      <c r="J19" s="3479" t="s">
        <v>3491</v>
      </c>
      <c r="K19" s="3479" t="s">
        <v>3506</v>
      </c>
      <c r="L19" s="3481">
        <v>32672.5</v>
      </c>
      <c r="M19" s="3481">
        <v>6672</v>
      </c>
      <c r="N19" s="3481">
        <v>48970.36</v>
      </c>
      <c r="O19" s="3479" t="s">
        <v>3552</v>
      </c>
      <c r="P19" s="3479" t="s">
        <v>3553</v>
      </c>
    </row>
    <row r="20" spans="1:16" ht="27" hidden="1">
      <c r="A20" s="3479" t="s">
        <v>3554</v>
      </c>
      <c r="B20" s="3479" t="s">
        <v>3555</v>
      </c>
      <c r="C20" s="3479" t="s">
        <v>3487</v>
      </c>
      <c r="D20" s="3479" t="s">
        <v>3488</v>
      </c>
      <c r="E20" s="3479" t="s">
        <v>3556</v>
      </c>
      <c r="F20" s="3479" t="s">
        <v>3546</v>
      </c>
      <c r="G20" s="3479" t="s">
        <v>3546</v>
      </c>
      <c r="H20" s="3479" t="s">
        <v>633</v>
      </c>
      <c r="I20" s="3480">
        <v>44798</v>
      </c>
      <c r="J20" s="3479" t="s">
        <v>3491</v>
      </c>
      <c r="K20" s="3479" t="s">
        <v>3492</v>
      </c>
      <c r="L20" s="3481">
        <v>84385</v>
      </c>
      <c r="M20" s="3481">
        <v>7091</v>
      </c>
      <c r="N20" s="3481">
        <v>118997</v>
      </c>
      <c r="O20" s="3479" t="s">
        <v>3557</v>
      </c>
      <c r="P20" s="3479" t="s">
        <v>633</v>
      </c>
    </row>
    <row r="21" spans="1:16" ht="54" hidden="1">
      <c r="A21" s="3479" t="s">
        <v>3558</v>
      </c>
      <c r="B21" s="3479" t="s">
        <v>3559</v>
      </c>
      <c r="C21" s="3479" t="s">
        <v>3487</v>
      </c>
      <c r="D21" s="3479" t="s">
        <v>3504</v>
      </c>
      <c r="E21" s="3479" t="s">
        <v>3560</v>
      </c>
      <c r="F21" s="3479" t="s">
        <v>3</v>
      </c>
      <c r="G21" s="3479" t="s">
        <v>3490</v>
      </c>
      <c r="H21" s="3479" t="s">
        <v>3561</v>
      </c>
      <c r="I21" s="3480">
        <v>45091</v>
      </c>
      <c r="J21" s="3479" t="s">
        <v>3491</v>
      </c>
      <c r="K21" s="3479" t="s">
        <v>3506</v>
      </c>
      <c r="L21" s="3481">
        <v>11177</v>
      </c>
      <c r="M21" s="3481">
        <v>7296</v>
      </c>
      <c r="N21" s="3481">
        <v>15318.5</v>
      </c>
      <c r="O21" s="3479" t="s">
        <v>633</v>
      </c>
      <c r="P21" s="3479" t="s">
        <v>3562</v>
      </c>
    </row>
    <row r="22" spans="1:16" ht="40.5" hidden="1">
      <c r="A22" s="3479" t="s">
        <v>3563</v>
      </c>
      <c r="B22" s="3479" t="s">
        <v>3564</v>
      </c>
      <c r="C22" s="3479" t="s">
        <v>3487</v>
      </c>
      <c r="D22" s="3479" t="s">
        <v>3488</v>
      </c>
      <c r="E22" s="3479" t="s">
        <v>3489</v>
      </c>
      <c r="F22" s="3479" t="s">
        <v>3499</v>
      </c>
      <c r="G22" s="3479" t="s">
        <v>3499</v>
      </c>
      <c r="H22" s="3479" t="s">
        <v>3561</v>
      </c>
      <c r="I22" s="3480">
        <v>45394</v>
      </c>
      <c r="J22" s="3479" t="s">
        <v>3491</v>
      </c>
      <c r="K22" s="3479" t="s">
        <v>3506</v>
      </c>
      <c r="L22" s="3481">
        <v>2050</v>
      </c>
      <c r="M22" s="3481">
        <v>8461</v>
      </c>
      <c r="N22" s="3481">
        <v>2423.02</v>
      </c>
      <c r="O22" s="3479" t="s">
        <v>633</v>
      </c>
      <c r="P22" s="3479" t="s">
        <v>3565</v>
      </c>
    </row>
    <row r="23" spans="1:16" ht="40.5" hidden="1">
      <c r="A23" s="3479" t="s">
        <v>3566</v>
      </c>
      <c r="B23" s="3479" t="s">
        <v>3567</v>
      </c>
      <c r="C23" s="3479" t="s">
        <v>3487</v>
      </c>
      <c r="D23" s="3479" t="s">
        <v>3517</v>
      </c>
      <c r="E23" s="3479" t="s">
        <v>633</v>
      </c>
      <c r="F23" s="3479" t="s">
        <v>633</v>
      </c>
      <c r="G23" s="3479" t="s">
        <v>633</v>
      </c>
      <c r="H23" s="3479" t="s">
        <v>633</v>
      </c>
      <c r="I23" s="3480">
        <v>44463</v>
      </c>
      <c r="J23" s="3479" t="s">
        <v>3491</v>
      </c>
      <c r="K23" s="3479" t="s">
        <v>3492</v>
      </c>
      <c r="L23" s="3481">
        <v>197006</v>
      </c>
      <c r="M23" s="3481">
        <v>8525</v>
      </c>
      <c r="N23" s="3481">
        <v>231078</v>
      </c>
      <c r="O23" s="3479" t="s">
        <v>3568</v>
      </c>
      <c r="P23" s="3479" t="s">
        <v>3569</v>
      </c>
    </row>
    <row r="24" spans="1:16" ht="27">
      <c r="A24" s="3479" t="s">
        <v>3570</v>
      </c>
      <c r="B24" s="3479" t="s">
        <v>3571</v>
      </c>
      <c r="C24" s="3479" t="s">
        <v>3487</v>
      </c>
      <c r="D24" s="3479" t="s">
        <v>3517</v>
      </c>
      <c r="E24" s="3479" t="s">
        <v>633</v>
      </c>
      <c r="F24" s="3479" t="s">
        <v>673</v>
      </c>
      <c r="G24" s="3479" t="s">
        <v>3572</v>
      </c>
      <c r="H24" s="3479" t="s">
        <v>633</v>
      </c>
      <c r="I24" s="3480">
        <v>44572</v>
      </c>
      <c r="J24" s="3479" t="s">
        <v>3491</v>
      </c>
      <c r="K24" s="3479" t="s">
        <v>3492</v>
      </c>
      <c r="L24" s="3481">
        <v>16296</v>
      </c>
      <c r="M24" s="3481">
        <v>9439</v>
      </c>
      <c r="N24" s="3481">
        <v>17265</v>
      </c>
      <c r="O24" s="3479" t="s">
        <v>3573</v>
      </c>
      <c r="P24" s="3479" t="s">
        <v>3574</v>
      </c>
    </row>
    <row r="25" spans="1:16" ht="27" hidden="1">
      <c r="A25" s="3479" t="s">
        <v>3575</v>
      </c>
      <c r="B25" s="3479" t="s">
        <v>3576</v>
      </c>
      <c r="C25" s="3479" t="s">
        <v>3487</v>
      </c>
      <c r="D25" s="3479" t="s">
        <v>3517</v>
      </c>
      <c r="E25" s="3479" t="s">
        <v>3489</v>
      </c>
      <c r="F25" s="3479" t="s">
        <v>3499</v>
      </c>
      <c r="G25" s="3479" t="s">
        <v>3499</v>
      </c>
      <c r="H25" s="3479" t="s">
        <v>3518</v>
      </c>
      <c r="I25" s="3480">
        <v>45341</v>
      </c>
      <c r="J25" s="3479" t="s">
        <v>3491</v>
      </c>
      <c r="K25" s="3479" t="s">
        <v>3506</v>
      </c>
      <c r="L25" s="3481">
        <v>2278.0300000000002</v>
      </c>
      <c r="M25" s="3481">
        <v>11470</v>
      </c>
      <c r="N25" s="3481">
        <v>1986.08</v>
      </c>
      <c r="O25" s="3479" t="s">
        <v>3577</v>
      </c>
      <c r="P25" s="3479" t="s">
        <v>3578</v>
      </c>
    </row>
    <row r="26" spans="1:16" ht="27" hidden="1">
      <c r="A26" s="3479" t="s">
        <v>3579</v>
      </c>
      <c r="B26" s="3479" t="s">
        <v>3580</v>
      </c>
      <c r="C26" s="3479" t="s">
        <v>3487</v>
      </c>
      <c r="D26" s="3479" t="s">
        <v>3544</v>
      </c>
      <c r="E26" s="3479" t="s">
        <v>3581</v>
      </c>
      <c r="F26" s="3479" t="s">
        <v>633</v>
      </c>
      <c r="G26" s="3479" t="s">
        <v>633</v>
      </c>
      <c r="H26" s="3479" t="s">
        <v>3534</v>
      </c>
      <c r="I26" s="3480">
        <v>44918</v>
      </c>
      <c r="J26" s="3479" t="s">
        <v>3491</v>
      </c>
      <c r="K26" s="3479" t="s">
        <v>3530</v>
      </c>
      <c r="L26" s="3481">
        <v>150000</v>
      </c>
      <c r="M26" s="3481">
        <v>11538</v>
      </c>
      <c r="N26" s="3481">
        <v>130000</v>
      </c>
      <c r="O26" s="3479" t="s">
        <v>3582</v>
      </c>
      <c r="P26" s="3479" t="s">
        <v>3583</v>
      </c>
    </row>
    <row r="27" spans="1:16" ht="40.5">
      <c r="A27" s="3479" t="s">
        <v>3584</v>
      </c>
      <c r="B27" s="3479" t="s">
        <v>3585</v>
      </c>
      <c r="C27" s="3479" t="s">
        <v>3487</v>
      </c>
      <c r="D27" s="3479" t="s">
        <v>3586</v>
      </c>
      <c r="E27" s="3479" t="s">
        <v>3587</v>
      </c>
      <c r="F27" s="3479" t="s">
        <v>673</v>
      </c>
      <c r="G27" s="3479" t="s">
        <v>3572</v>
      </c>
      <c r="H27" s="3479" t="s">
        <v>633</v>
      </c>
      <c r="I27" s="3480">
        <v>44909</v>
      </c>
      <c r="J27" s="3479" t="s">
        <v>3491</v>
      </c>
      <c r="K27" s="3479" t="s">
        <v>3492</v>
      </c>
      <c r="L27" s="3481">
        <v>17900</v>
      </c>
      <c r="M27" s="3481">
        <v>12285</v>
      </c>
      <c r="N27" s="3481">
        <v>14569.8</v>
      </c>
      <c r="O27" s="3479" t="s">
        <v>3588</v>
      </c>
      <c r="P27" s="3479" t="s">
        <v>3589</v>
      </c>
    </row>
    <row r="28" spans="1:16" ht="27" hidden="1">
      <c r="A28" s="3479" t="s">
        <v>3590</v>
      </c>
      <c r="B28" s="3479" t="s">
        <v>3591</v>
      </c>
      <c r="C28" s="3479" t="s">
        <v>3487</v>
      </c>
      <c r="D28" s="3479" t="s">
        <v>3592</v>
      </c>
      <c r="E28" s="3479" t="s">
        <v>3593</v>
      </c>
      <c r="F28" s="3479" t="s">
        <v>673</v>
      </c>
      <c r="G28" s="3479" t="s">
        <v>3572</v>
      </c>
      <c r="H28" s="3479" t="s">
        <v>3534</v>
      </c>
      <c r="I28" s="3480">
        <v>43773</v>
      </c>
      <c r="J28" s="3479" t="s">
        <v>3491</v>
      </c>
      <c r="K28" s="3479" t="s">
        <v>3492</v>
      </c>
      <c r="L28" s="3481">
        <v>159382.46</v>
      </c>
      <c r="M28" s="3481">
        <v>12452</v>
      </c>
      <c r="N28" s="3481">
        <v>127997</v>
      </c>
      <c r="O28" s="3479" t="s">
        <v>3594</v>
      </c>
      <c r="P28" s="3479" t="s">
        <v>3595</v>
      </c>
    </row>
    <row r="29" spans="1:16" ht="40.5" hidden="1">
      <c r="A29" s="3479" t="s">
        <v>3596</v>
      </c>
      <c r="B29" s="3479" t="s">
        <v>3597</v>
      </c>
      <c r="C29" s="3479" t="s">
        <v>3487</v>
      </c>
      <c r="D29" s="3479" t="s">
        <v>3598</v>
      </c>
      <c r="E29" s="3479" t="s">
        <v>3599</v>
      </c>
      <c r="F29" s="3479" t="s">
        <v>673</v>
      </c>
      <c r="G29" s="3479" t="s">
        <v>3513</v>
      </c>
      <c r="H29" s="3479" t="s">
        <v>633</v>
      </c>
      <c r="I29" s="3480">
        <v>45373</v>
      </c>
      <c r="J29" s="3479" t="s">
        <v>3491</v>
      </c>
      <c r="K29" s="3479" t="s">
        <v>3506</v>
      </c>
      <c r="L29" s="3481">
        <v>1395.6</v>
      </c>
      <c r="M29" s="3481">
        <v>13068</v>
      </c>
      <c r="N29" s="3481">
        <v>1067.95</v>
      </c>
      <c r="O29" s="3479" t="s">
        <v>633</v>
      </c>
      <c r="P29" s="3479" t="s">
        <v>3600</v>
      </c>
    </row>
    <row r="30" spans="1:16" ht="27">
      <c r="A30" s="3479" t="s">
        <v>3601</v>
      </c>
      <c r="B30" s="3479" t="s">
        <v>3602</v>
      </c>
      <c r="C30" s="3479" t="s">
        <v>3487</v>
      </c>
      <c r="D30" s="3479" t="s">
        <v>3603</v>
      </c>
      <c r="E30" s="3479" t="s">
        <v>3604</v>
      </c>
      <c r="F30" s="3479" t="s">
        <v>673</v>
      </c>
      <c r="G30" s="3479" t="s">
        <v>3605</v>
      </c>
      <c r="H30" s="3479" t="s">
        <v>633</v>
      </c>
      <c r="I30" s="3480">
        <v>44773</v>
      </c>
      <c r="J30" s="3479" t="s">
        <v>3491</v>
      </c>
      <c r="K30" s="3479" t="s">
        <v>3492</v>
      </c>
      <c r="L30" s="3481">
        <v>22900</v>
      </c>
      <c r="M30" s="3481">
        <v>13861</v>
      </c>
      <c r="N30" s="3481">
        <v>16520</v>
      </c>
      <c r="O30" s="3479" t="s">
        <v>633</v>
      </c>
      <c r="P30" s="3479" t="s">
        <v>3606</v>
      </c>
    </row>
    <row r="31" spans="1:16" ht="27" hidden="1">
      <c r="A31" s="3479" t="s">
        <v>3607</v>
      </c>
      <c r="B31" s="3479" t="s">
        <v>3608</v>
      </c>
      <c r="C31" s="3479" t="s">
        <v>3487</v>
      </c>
      <c r="D31" s="3479" t="s">
        <v>3497</v>
      </c>
      <c r="E31" s="3479" t="s">
        <v>3609</v>
      </c>
      <c r="F31" s="3479" t="s">
        <v>3499</v>
      </c>
      <c r="G31" s="3479" t="s">
        <v>3499</v>
      </c>
      <c r="H31" s="3479" t="s">
        <v>633</v>
      </c>
      <c r="I31" s="3480">
        <v>45177</v>
      </c>
      <c r="J31" s="3479" t="s">
        <v>3491</v>
      </c>
      <c r="K31" s="3479" t="s">
        <v>3506</v>
      </c>
      <c r="L31" s="3481">
        <v>1140.7</v>
      </c>
      <c r="M31" s="3481">
        <v>14203</v>
      </c>
      <c r="N31" s="3481">
        <v>803.12</v>
      </c>
      <c r="O31" s="3479" t="s">
        <v>3610</v>
      </c>
      <c r="P31" s="3479" t="s">
        <v>3611</v>
      </c>
    </row>
    <row r="32" spans="1:16" ht="27" hidden="1">
      <c r="A32" s="3479" t="s">
        <v>3612</v>
      </c>
      <c r="B32" s="3479" t="s">
        <v>3613</v>
      </c>
      <c r="C32" s="3479" t="s">
        <v>3487</v>
      </c>
      <c r="D32" s="3479" t="s">
        <v>3603</v>
      </c>
      <c r="E32" s="3479" t="s">
        <v>3614</v>
      </c>
      <c r="F32" s="3479" t="s">
        <v>3499</v>
      </c>
      <c r="G32" s="3479" t="s">
        <v>3499</v>
      </c>
      <c r="H32" s="3479" t="s">
        <v>3561</v>
      </c>
      <c r="I32" s="3480">
        <v>45422</v>
      </c>
      <c r="J32" s="3479" t="s">
        <v>3491</v>
      </c>
      <c r="K32" s="3479" t="s">
        <v>3506</v>
      </c>
      <c r="L32" s="3481">
        <v>11991.45</v>
      </c>
      <c r="M32" s="3481">
        <v>14675</v>
      </c>
      <c r="N32" s="3481">
        <v>8171.47</v>
      </c>
      <c r="O32" s="3479" t="s">
        <v>633</v>
      </c>
      <c r="P32" s="3479" t="s">
        <v>3615</v>
      </c>
    </row>
    <row r="33" spans="1:16" ht="27" hidden="1">
      <c r="A33" s="3479" t="s">
        <v>3616</v>
      </c>
      <c r="B33" s="3479" t="s">
        <v>3617</v>
      </c>
      <c r="C33" s="3479" t="s">
        <v>3487</v>
      </c>
      <c r="D33" s="3479" t="s">
        <v>3517</v>
      </c>
      <c r="E33" s="3479" t="s">
        <v>3618</v>
      </c>
      <c r="F33" s="3479" t="s">
        <v>673</v>
      </c>
      <c r="G33" s="3479" t="s">
        <v>3513</v>
      </c>
      <c r="H33" s="3479" t="s">
        <v>3534</v>
      </c>
      <c r="I33" s="3480">
        <v>45364</v>
      </c>
      <c r="J33" s="3479" t="s">
        <v>3491</v>
      </c>
      <c r="K33" s="3479" t="s">
        <v>3506</v>
      </c>
      <c r="L33" s="3481">
        <v>1103.83</v>
      </c>
      <c r="M33" s="3481">
        <v>14859</v>
      </c>
      <c r="N33" s="3481">
        <v>742.87</v>
      </c>
      <c r="O33" s="3479" t="s">
        <v>3619</v>
      </c>
      <c r="P33" s="3479" t="s">
        <v>633</v>
      </c>
    </row>
    <row r="34" spans="1:16" ht="27" hidden="1">
      <c r="A34" s="3479" t="s">
        <v>3620</v>
      </c>
      <c r="B34" s="3479" t="s">
        <v>3621</v>
      </c>
      <c r="C34" s="3479" t="s">
        <v>3487</v>
      </c>
      <c r="D34" s="3479" t="s">
        <v>3551</v>
      </c>
      <c r="E34" s="3479" t="s">
        <v>3489</v>
      </c>
      <c r="F34" s="3479" t="s">
        <v>3546</v>
      </c>
      <c r="G34" s="3479" t="s">
        <v>3546</v>
      </c>
      <c r="H34" s="3479" t="s">
        <v>3534</v>
      </c>
      <c r="I34" s="3480">
        <v>42916</v>
      </c>
      <c r="J34" s="3479" t="s">
        <v>3491</v>
      </c>
      <c r="K34" s="3479" t="s">
        <v>633</v>
      </c>
      <c r="L34" s="3481">
        <v>14100</v>
      </c>
      <c r="M34" s="3481">
        <v>15000</v>
      </c>
      <c r="N34" s="3481">
        <v>9400</v>
      </c>
      <c r="O34" s="3479" t="s">
        <v>633</v>
      </c>
      <c r="P34" s="3479" t="s">
        <v>633</v>
      </c>
    </row>
    <row r="35" spans="1:16" ht="27" hidden="1">
      <c r="A35" s="3479" t="s">
        <v>3622</v>
      </c>
      <c r="B35" s="3479" t="s">
        <v>3623</v>
      </c>
      <c r="C35" s="3479" t="s">
        <v>3487</v>
      </c>
      <c r="D35" s="3479" t="s">
        <v>633</v>
      </c>
      <c r="E35" s="3479" t="s">
        <v>633</v>
      </c>
      <c r="F35" s="3479" t="s">
        <v>633</v>
      </c>
      <c r="G35" s="3479" t="s">
        <v>633</v>
      </c>
      <c r="H35" s="3479" t="s">
        <v>633</v>
      </c>
      <c r="I35" s="3480">
        <v>44681</v>
      </c>
      <c r="J35" s="3479" t="s">
        <v>3491</v>
      </c>
      <c r="K35" s="3479" t="s">
        <v>3492</v>
      </c>
      <c r="L35" s="3481">
        <v>280000</v>
      </c>
      <c r="M35" s="3481">
        <v>15911</v>
      </c>
      <c r="N35" s="3481">
        <v>175969</v>
      </c>
      <c r="O35" s="3479" t="s">
        <v>3624</v>
      </c>
      <c r="P35" s="3479" t="s">
        <v>3625</v>
      </c>
    </row>
    <row r="36" spans="1:16" ht="40.5" hidden="1">
      <c r="A36" s="3479" t="s">
        <v>3626</v>
      </c>
      <c r="B36" s="3479" t="s">
        <v>3510</v>
      </c>
      <c r="C36" s="3479" t="s">
        <v>3487</v>
      </c>
      <c r="D36" s="3479" t="s">
        <v>3511</v>
      </c>
      <c r="E36" s="3479" t="s">
        <v>3512</v>
      </c>
      <c r="F36" s="3479" t="s">
        <v>673</v>
      </c>
      <c r="G36" s="3479" t="s">
        <v>3513</v>
      </c>
      <c r="H36" s="3479" t="s">
        <v>633</v>
      </c>
      <c r="I36" s="3480">
        <v>45398</v>
      </c>
      <c r="J36" s="3479" t="s">
        <v>3491</v>
      </c>
      <c r="K36" s="3479" t="s">
        <v>3506</v>
      </c>
      <c r="L36" s="3481">
        <v>1001.98</v>
      </c>
      <c r="M36" s="3481">
        <v>15939</v>
      </c>
      <c r="N36" s="3481">
        <v>628.64</v>
      </c>
      <c r="O36" s="3479" t="s">
        <v>633</v>
      </c>
      <c r="P36" s="3479" t="s">
        <v>3514</v>
      </c>
    </row>
    <row r="37" spans="1:16" ht="27">
      <c r="A37" s="3479" t="s">
        <v>3627</v>
      </c>
      <c r="B37" s="3479" t="s">
        <v>3628</v>
      </c>
      <c r="C37" s="3479" t="s">
        <v>3487</v>
      </c>
      <c r="D37" s="3479" t="s">
        <v>3488</v>
      </c>
      <c r="E37" s="3479" t="s">
        <v>3556</v>
      </c>
      <c r="F37" s="3479" t="s">
        <v>3499</v>
      </c>
      <c r="G37" s="3479" t="s">
        <v>3499</v>
      </c>
      <c r="H37" s="3479" t="s">
        <v>633</v>
      </c>
      <c r="I37" s="3480">
        <v>44926</v>
      </c>
      <c r="J37" s="3479" t="s">
        <v>3491</v>
      </c>
      <c r="K37" s="3479" t="s">
        <v>3492</v>
      </c>
      <c r="L37" s="3481">
        <v>59200</v>
      </c>
      <c r="M37" s="3481">
        <v>16000</v>
      </c>
      <c r="N37" s="3481">
        <v>37000</v>
      </c>
      <c r="O37" s="3479" t="s">
        <v>3629</v>
      </c>
      <c r="P37" s="3479" t="s">
        <v>3630</v>
      </c>
    </row>
    <row r="38" spans="1:16" ht="27" hidden="1">
      <c r="A38" s="3479" t="s">
        <v>3631</v>
      </c>
      <c r="B38" s="3479" t="s">
        <v>3632</v>
      </c>
      <c r="C38" s="3479" t="s">
        <v>3487</v>
      </c>
      <c r="D38" s="3479" t="s">
        <v>3544</v>
      </c>
      <c r="E38" s="3479" t="s">
        <v>3633</v>
      </c>
      <c r="F38" s="3479" t="s">
        <v>3546</v>
      </c>
      <c r="G38" s="3479" t="s">
        <v>3546</v>
      </c>
      <c r="H38" s="3479" t="s">
        <v>633</v>
      </c>
      <c r="I38" s="3480">
        <v>43055</v>
      </c>
      <c r="J38" s="3479" t="s">
        <v>3491</v>
      </c>
      <c r="K38" s="3479" t="s">
        <v>3530</v>
      </c>
      <c r="L38" s="3481">
        <v>16000.5</v>
      </c>
      <c r="M38" s="3481">
        <v>16000</v>
      </c>
      <c r="N38" s="3481">
        <v>10000</v>
      </c>
      <c r="O38" s="3479" t="s">
        <v>633</v>
      </c>
      <c r="P38" s="3479" t="s">
        <v>3634</v>
      </c>
    </row>
    <row r="39" spans="1:16" ht="40.5" hidden="1">
      <c r="A39" s="3479" t="s">
        <v>3635</v>
      </c>
      <c r="B39" s="3479" t="s">
        <v>3636</v>
      </c>
      <c r="C39" s="3479" t="s">
        <v>3487</v>
      </c>
      <c r="D39" s="3479" t="s">
        <v>3603</v>
      </c>
      <c r="E39" s="3479" t="s">
        <v>3637</v>
      </c>
      <c r="F39" s="3479" t="s">
        <v>3499</v>
      </c>
      <c r="G39" s="3479" t="s">
        <v>3499</v>
      </c>
      <c r="H39" s="3479" t="s">
        <v>3534</v>
      </c>
      <c r="I39" s="3480">
        <v>45073</v>
      </c>
      <c r="J39" s="3479" t="s">
        <v>3491</v>
      </c>
      <c r="K39" s="3479" t="s">
        <v>3506</v>
      </c>
      <c r="L39" s="3481">
        <v>3020.48</v>
      </c>
      <c r="M39" s="3481">
        <v>16150</v>
      </c>
      <c r="N39" s="3481">
        <v>1870.16</v>
      </c>
      <c r="O39" s="3479" t="s">
        <v>633</v>
      </c>
      <c r="P39" s="3479" t="s">
        <v>633</v>
      </c>
    </row>
    <row r="40" spans="1:16" ht="27" hidden="1">
      <c r="A40" s="3479" t="s">
        <v>3638</v>
      </c>
      <c r="B40" s="3479" t="s">
        <v>3639</v>
      </c>
      <c r="C40" s="3479" t="s">
        <v>3487</v>
      </c>
      <c r="D40" s="3479" t="s">
        <v>3517</v>
      </c>
      <c r="E40" s="3479" t="s">
        <v>3640</v>
      </c>
      <c r="F40" s="3479" t="s">
        <v>3499</v>
      </c>
      <c r="G40" s="3479" t="s">
        <v>3499</v>
      </c>
      <c r="H40" s="3479" t="s">
        <v>633</v>
      </c>
      <c r="I40" s="3480">
        <v>43921</v>
      </c>
      <c r="J40" s="3479" t="s">
        <v>3491</v>
      </c>
      <c r="K40" s="3479" t="s">
        <v>3492</v>
      </c>
      <c r="L40" s="3481">
        <v>68800</v>
      </c>
      <c r="M40" s="3481">
        <v>16255</v>
      </c>
      <c r="N40" s="3481">
        <v>42325</v>
      </c>
      <c r="O40" s="3479" t="s">
        <v>3641</v>
      </c>
      <c r="P40" s="3479" t="s">
        <v>3642</v>
      </c>
    </row>
    <row r="41" spans="1:16" ht="27" hidden="1">
      <c r="A41" s="3479" t="s">
        <v>3643</v>
      </c>
      <c r="B41" s="3479" t="s">
        <v>3644</v>
      </c>
      <c r="C41" s="3479" t="s">
        <v>3487</v>
      </c>
      <c r="D41" s="3479" t="s">
        <v>3603</v>
      </c>
      <c r="E41" s="3479" t="s">
        <v>3645</v>
      </c>
      <c r="F41" s="3479" t="s">
        <v>3529</v>
      </c>
      <c r="G41" s="3479" t="s">
        <v>3529</v>
      </c>
      <c r="H41" s="3479" t="s">
        <v>3561</v>
      </c>
      <c r="I41" s="3480">
        <v>43917</v>
      </c>
      <c r="J41" s="3479" t="s">
        <v>3491</v>
      </c>
      <c r="K41" s="3479" t="s">
        <v>633</v>
      </c>
      <c r="L41" s="3481">
        <v>68800</v>
      </c>
      <c r="M41" s="3481">
        <v>16255</v>
      </c>
      <c r="N41" s="3481">
        <v>42324</v>
      </c>
      <c r="O41" s="3479" t="s">
        <v>3646</v>
      </c>
      <c r="P41" s="3479" t="s">
        <v>3647</v>
      </c>
    </row>
    <row r="42" spans="1:16" ht="40.5">
      <c r="A42" s="3479" t="s">
        <v>3648</v>
      </c>
      <c r="B42" s="3479" t="s">
        <v>3649</v>
      </c>
      <c r="C42" s="3479" t="s">
        <v>3650</v>
      </c>
      <c r="D42" s="3479" t="s">
        <v>633</v>
      </c>
      <c r="E42" s="3479" t="s">
        <v>633</v>
      </c>
      <c r="F42" s="3479" t="s">
        <v>3499</v>
      </c>
      <c r="G42" s="3479" t="s">
        <v>3499</v>
      </c>
      <c r="H42" s="3479" t="s">
        <v>633</v>
      </c>
      <c r="I42" s="3480">
        <v>45026</v>
      </c>
      <c r="J42" s="3479" t="s">
        <v>3491</v>
      </c>
      <c r="K42" s="3479" t="s">
        <v>3492</v>
      </c>
      <c r="L42" s="3481">
        <v>198600</v>
      </c>
      <c r="M42" s="3481">
        <v>16278</v>
      </c>
      <c r="N42" s="3481">
        <v>122000</v>
      </c>
      <c r="O42" s="3479" t="s">
        <v>3651</v>
      </c>
      <c r="P42" s="3479" t="s">
        <v>3652</v>
      </c>
    </row>
    <row r="43" spans="1:16" ht="27" hidden="1">
      <c r="A43" s="3479" t="s">
        <v>3653</v>
      </c>
      <c r="B43" s="3479" t="s">
        <v>3654</v>
      </c>
      <c r="C43" s="3479" t="s">
        <v>3487</v>
      </c>
      <c r="D43" s="3479" t="s">
        <v>3523</v>
      </c>
      <c r="E43" s="3479" t="s">
        <v>3655</v>
      </c>
      <c r="F43" s="3479" t="s">
        <v>673</v>
      </c>
      <c r="G43" s="3479" t="s">
        <v>3513</v>
      </c>
      <c r="H43" s="3479" t="s">
        <v>633</v>
      </c>
      <c r="I43" s="3480">
        <v>45358</v>
      </c>
      <c r="J43" s="3479" t="s">
        <v>3491</v>
      </c>
      <c r="K43" s="3479" t="s">
        <v>3506</v>
      </c>
      <c r="L43" s="3481">
        <v>1725</v>
      </c>
      <c r="M43" s="3481">
        <v>16468</v>
      </c>
      <c r="N43" s="3481">
        <v>1047.47</v>
      </c>
      <c r="O43" s="3479" t="s">
        <v>633</v>
      </c>
      <c r="P43" s="3479" t="s">
        <v>633</v>
      </c>
    </row>
    <row r="44" spans="1:16" ht="40.5" hidden="1">
      <c r="A44" s="3479" t="s">
        <v>3656</v>
      </c>
      <c r="B44" s="3479" t="s">
        <v>3636</v>
      </c>
      <c r="C44" s="3479" t="s">
        <v>3487</v>
      </c>
      <c r="D44" s="3479" t="s">
        <v>3603</v>
      </c>
      <c r="E44" s="3479" t="s">
        <v>3637</v>
      </c>
      <c r="F44" s="3479" t="s">
        <v>3499</v>
      </c>
      <c r="G44" s="3479" t="s">
        <v>3499</v>
      </c>
      <c r="H44" s="3479" t="s">
        <v>3534</v>
      </c>
      <c r="I44" s="3480">
        <v>45073</v>
      </c>
      <c r="J44" s="3479" t="s">
        <v>3491</v>
      </c>
      <c r="K44" s="3479" t="s">
        <v>3506</v>
      </c>
      <c r="L44" s="3481">
        <v>2090.9499999999998</v>
      </c>
      <c r="M44" s="3481">
        <v>16482</v>
      </c>
      <c r="N44" s="3481">
        <v>1268.5999999999999</v>
      </c>
      <c r="O44" s="3479" t="s">
        <v>633</v>
      </c>
      <c r="P44" s="3479" t="s">
        <v>633</v>
      </c>
    </row>
    <row r="45" spans="1:16" ht="27">
      <c r="A45" s="3479" t="s">
        <v>3657</v>
      </c>
      <c r="B45" s="3479" t="s">
        <v>3658</v>
      </c>
      <c r="C45" s="3479" t="s">
        <v>3487</v>
      </c>
      <c r="D45" s="3479" t="s">
        <v>3488</v>
      </c>
      <c r="E45" s="3479" t="s">
        <v>3659</v>
      </c>
      <c r="F45" s="3479" t="s">
        <v>3499</v>
      </c>
      <c r="G45" s="3479" t="s">
        <v>3499</v>
      </c>
      <c r="H45" s="3479" t="s">
        <v>633</v>
      </c>
      <c r="I45" s="3480">
        <v>44834</v>
      </c>
      <c r="J45" s="3479" t="s">
        <v>3491</v>
      </c>
      <c r="K45" s="3479" t="s">
        <v>3492</v>
      </c>
      <c r="L45" s="3481">
        <v>10200</v>
      </c>
      <c r="M45" s="3481">
        <v>16547</v>
      </c>
      <c r="N45" s="3481">
        <v>6164</v>
      </c>
      <c r="O45" s="3479" t="s">
        <v>3660</v>
      </c>
      <c r="P45" s="3479" t="s">
        <v>3661</v>
      </c>
    </row>
    <row r="46" spans="1:16" ht="27" hidden="1">
      <c r="A46" s="3479" t="s">
        <v>3662</v>
      </c>
      <c r="B46" s="3479" t="s">
        <v>3663</v>
      </c>
      <c r="C46" s="3479" t="s">
        <v>3487</v>
      </c>
      <c r="D46" s="3479" t="s">
        <v>3598</v>
      </c>
      <c r="E46" s="3479" t="s">
        <v>633</v>
      </c>
      <c r="F46" s="3479" t="s">
        <v>3499</v>
      </c>
      <c r="G46" s="3479" t="s">
        <v>3499</v>
      </c>
      <c r="H46" s="3479" t="s">
        <v>633</v>
      </c>
      <c r="I46" s="3480">
        <v>44299</v>
      </c>
      <c r="J46" s="3479" t="s">
        <v>3491</v>
      </c>
      <c r="K46" s="3479" t="s">
        <v>3506</v>
      </c>
      <c r="L46" s="3481">
        <v>72000</v>
      </c>
      <c r="M46" s="3481">
        <v>17184</v>
      </c>
      <c r="N46" s="3483" t="s">
        <v>633</v>
      </c>
      <c r="O46" s="3479" t="s">
        <v>3664</v>
      </c>
      <c r="P46" s="3479" t="s">
        <v>3665</v>
      </c>
    </row>
    <row r="47" spans="1:16" ht="27" hidden="1">
      <c r="A47" s="3479" t="s">
        <v>3666</v>
      </c>
      <c r="B47" s="3479" t="s">
        <v>3667</v>
      </c>
      <c r="C47" s="3479" t="s">
        <v>3487</v>
      </c>
      <c r="D47" s="3479" t="s">
        <v>3603</v>
      </c>
      <c r="E47" s="3479" t="s">
        <v>633</v>
      </c>
      <c r="F47" s="3479" t="s">
        <v>3499</v>
      </c>
      <c r="G47" s="3479" t="s">
        <v>3499</v>
      </c>
      <c r="H47" s="3479" t="s">
        <v>633</v>
      </c>
      <c r="I47" s="3480">
        <v>43067</v>
      </c>
      <c r="J47" s="3479" t="s">
        <v>3491</v>
      </c>
      <c r="K47" s="3479" t="s">
        <v>633</v>
      </c>
      <c r="L47" s="3481">
        <v>202764.29</v>
      </c>
      <c r="M47" s="3481">
        <v>17184</v>
      </c>
      <c r="N47" s="3481">
        <v>117997</v>
      </c>
      <c r="O47" s="3479" t="s">
        <v>3668</v>
      </c>
      <c r="P47" s="3479" t="s">
        <v>3669</v>
      </c>
    </row>
    <row r="48" spans="1:16" ht="27">
      <c r="A48" s="3479" t="s">
        <v>3670</v>
      </c>
      <c r="B48" s="3479" t="s">
        <v>3671</v>
      </c>
      <c r="C48" s="3479" t="s">
        <v>3487</v>
      </c>
      <c r="D48" s="3479" t="s">
        <v>3598</v>
      </c>
      <c r="E48" s="3479" t="s">
        <v>3672</v>
      </c>
      <c r="F48" s="3479" t="s">
        <v>3499</v>
      </c>
      <c r="G48" s="3479" t="s">
        <v>3499</v>
      </c>
      <c r="H48" s="3479" t="s">
        <v>3561</v>
      </c>
      <c r="I48" s="3480">
        <v>45086</v>
      </c>
      <c r="J48" s="3479" t="s">
        <v>3491</v>
      </c>
      <c r="K48" s="3479" t="s">
        <v>3492</v>
      </c>
      <c r="L48" s="3481">
        <v>21318.400000000001</v>
      </c>
      <c r="M48" s="3481">
        <v>17191</v>
      </c>
      <c r="N48" s="3481">
        <v>12400.44</v>
      </c>
      <c r="O48" s="3479" t="s">
        <v>3673</v>
      </c>
      <c r="P48" s="3479" t="s">
        <v>3674</v>
      </c>
    </row>
    <row r="49" spans="1:16" ht="27" hidden="1">
      <c r="A49" s="3479" t="s">
        <v>3675</v>
      </c>
      <c r="B49" s="3479" t="s">
        <v>3676</v>
      </c>
      <c r="C49" s="3479" t="s">
        <v>3487</v>
      </c>
      <c r="D49" s="3479" t="s">
        <v>3603</v>
      </c>
      <c r="E49" s="3479" t="s">
        <v>3677</v>
      </c>
      <c r="F49" s="3479" t="s">
        <v>3499</v>
      </c>
      <c r="G49" s="3479" t="s">
        <v>3499</v>
      </c>
      <c r="H49" s="3479" t="s">
        <v>633</v>
      </c>
      <c r="I49" s="3480">
        <v>45342</v>
      </c>
      <c r="J49" s="3479" t="s">
        <v>3491</v>
      </c>
      <c r="K49" s="3479" t="s">
        <v>3506</v>
      </c>
      <c r="L49" s="3481">
        <v>1800.26</v>
      </c>
      <c r="M49" s="3481">
        <v>17339</v>
      </c>
      <c r="N49" s="3481">
        <v>1038.28</v>
      </c>
      <c r="O49" s="3479" t="s">
        <v>3678</v>
      </c>
      <c r="P49" s="3479" t="s">
        <v>633</v>
      </c>
    </row>
    <row r="50" spans="1:16" ht="27">
      <c r="A50" s="3479" t="s">
        <v>3679</v>
      </c>
      <c r="B50" s="3479" t="s">
        <v>3680</v>
      </c>
      <c r="C50" s="3479" t="s">
        <v>3487</v>
      </c>
      <c r="D50" s="3479" t="s">
        <v>3592</v>
      </c>
      <c r="E50" s="3479" t="s">
        <v>633</v>
      </c>
      <c r="F50" s="3479" t="s">
        <v>3499</v>
      </c>
      <c r="G50" s="3479" t="s">
        <v>633</v>
      </c>
      <c r="H50" s="3479" t="s">
        <v>633</v>
      </c>
      <c r="I50" s="3480">
        <v>44783</v>
      </c>
      <c r="J50" s="3479" t="s">
        <v>3491</v>
      </c>
      <c r="K50" s="3479" t="s">
        <v>3492</v>
      </c>
      <c r="L50" s="3483" t="s">
        <v>633</v>
      </c>
      <c r="M50" s="3481">
        <v>17352</v>
      </c>
      <c r="N50" s="3483" t="s">
        <v>633</v>
      </c>
      <c r="O50" s="3479" t="s">
        <v>633</v>
      </c>
      <c r="P50" s="3479" t="s">
        <v>633</v>
      </c>
    </row>
    <row r="51" spans="1:16" ht="54" hidden="1">
      <c r="A51" s="3479" t="s">
        <v>3681</v>
      </c>
      <c r="B51" s="3479" t="s">
        <v>3682</v>
      </c>
      <c r="C51" s="3479" t="s">
        <v>3487</v>
      </c>
      <c r="D51" s="3479" t="s">
        <v>3683</v>
      </c>
      <c r="E51" s="3479" t="s">
        <v>633</v>
      </c>
      <c r="F51" s="3479" t="s">
        <v>3684</v>
      </c>
      <c r="G51" s="3479" t="s">
        <v>3684</v>
      </c>
      <c r="H51" s="3479" t="s">
        <v>633</v>
      </c>
      <c r="I51" s="3480">
        <v>45426</v>
      </c>
      <c r="J51" s="3479" t="s">
        <v>3491</v>
      </c>
      <c r="K51" s="3479" t="s">
        <v>3506</v>
      </c>
      <c r="L51" s="3481">
        <v>70036.05</v>
      </c>
      <c r="M51" s="3481">
        <v>17740</v>
      </c>
      <c r="N51" s="3481">
        <v>39479.03</v>
      </c>
      <c r="O51" s="3479" t="s">
        <v>3685</v>
      </c>
      <c r="P51" s="3479" t="s">
        <v>3686</v>
      </c>
    </row>
    <row r="52" spans="1:16" ht="27">
      <c r="A52" s="3479" t="s">
        <v>3687</v>
      </c>
      <c r="B52" s="3479" t="s">
        <v>3688</v>
      </c>
      <c r="C52" s="3479" t="s">
        <v>3487</v>
      </c>
      <c r="D52" s="3479" t="s">
        <v>3603</v>
      </c>
      <c r="E52" s="3479" t="s">
        <v>3689</v>
      </c>
      <c r="F52" s="3479" t="s">
        <v>3499</v>
      </c>
      <c r="G52" s="3479" t="s">
        <v>3499</v>
      </c>
      <c r="H52" s="3479" t="s">
        <v>3534</v>
      </c>
      <c r="I52" s="3480">
        <v>44853</v>
      </c>
      <c r="J52" s="3479" t="s">
        <v>3491</v>
      </c>
      <c r="K52" s="3479" t="s">
        <v>3492</v>
      </c>
      <c r="L52" s="3481">
        <v>4098.28</v>
      </c>
      <c r="M52" s="3481">
        <v>18266</v>
      </c>
      <c r="N52" s="3481">
        <v>2243.5500000000002</v>
      </c>
      <c r="O52" s="3479" t="s">
        <v>633</v>
      </c>
      <c r="P52" s="3479" t="s">
        <v>3690</v>
      </c>
    </row>
    <row r="53" spans="1:16" ht="27" hidden="1">
      <c r="A53" s="3479" t="s">
        <v>3691</v>
      </c>
      <c r="B53" s="3479" t="s">
        <v>3692</v>
      </c>
      <c r="C53" s="3479" t="s">
        <v>3487</v>
      </c>
      <c r="D53" s="3479" t="s">
        <v>3693</v>
      </c>
      <c r="E53" s="3479" t="s">
        <v>633</v>
      </c>
      <c r="F53" s="3479" t="s">
        <v>673</v>
      </c>
      <c r="G53" s="3479" t="s">
        <v>3518</v>
      </c>
      <c r="H53" s="3479" t="s">
        <v>633</v>
      </c>
      <c r="I53" s="3480">
        <v>45435</v>
      </c>
      <c r="J53" s="3479" t="s">
        <v>3491</v>
      </c>
      <c r="K53" s="3479" t="s">
        <v>3506</v>
      </c>
      <c r="L53" s="3481">
        <v>4210.2</v>
      </c>
      <c r="M53" s="3481">
        <v>18532</v>
      </c>
      <c r="N53" s="3481">
        <v>2271.9</v>
      </c>
      <c r="O53" s="3479" t="s">
        <v>3694</v>
      </c>
      <c r="P53" s="3479" t="s">
        <v>3695</v>
      </c>
    </row>
    <row r="54" spans="1:16" ht="27" hidden="1">
      <c r="A54" s="3479" t="s">
        <v>3691</v>
      </c>
      <c r="B54" s="3479" t="s">
        <v>3692</v>
      </c>
      <c r="C54" s="3479" t="s">
        <v>3487</v>
      </c>
      <c r="D54" s="3479" t="s">
        <v>3693</v>
      </c>
      <c r="E54" s="3479" t="s">
        <v>633</v>
      </c>
      <c r="F54" s="3479" t="s">
        <v>673</v>
      </c>
      <c r="G54" s="3479" t="s">
        <v>3518</v>
      </c>
      <c r="H54" s="3479" t="s">
        <v>633</v>
      </c>
      <c r="I54" s="3480">
        <v>45435</v>
      </c>
      <c r="J54" s="3479" t="s">
        <v>3491</v>
      </c>
      <c r="K54" s="3479" t="s">
        <v>3506</v>
      </c>
      <c r="L54" s="3481">
        <v>4210.2</v>
      </c>
      <c r="M54" s="3481">
        <v>18532</v>
      </c>
      <c r="N54" s="3481">
        <v>2271.9</v>
      </c>
      <c r="O54" s="3479" t="s">
        <v>3694</v>
      </c>
      <c r="P54" s="3479" t="s">
        <v>3695</v>
      </c>
    </row>
    <row r="55" spans="1:16">
      <c r="A55" s="3479" t="s">
        <v>3696</v>
      </c>
      <c r="B55" s="3479" t="s">
        <v>3671</v>
      </c>
      <c r="C55" s="3479" t="s">
        <v>3487</v>
      </c>
      <c r="D55" s="3479" t="s">
        <v>3598</v>
      </c>
      <c r="E55" s="3479" t="s">
        <v>3672</v>
      </c>
      <c r="F55" s="3479" t="s">
        <v>3499</v>
      </c>
      <c r="G55" s="3479" t="s">
        <v>3499</v>
      </c>
      <c r="H55" s="3479" t="s">
        <v>3561</v>
      </c>
      <c r="I55" s="3480">
        <v>45107</v>
      </c>
      <c r="J55" s="3479" t="s">
        <v>3491</v>
      </c>
      <c r="K55" s="3479" t="s">
        <v>3492</v>
      </c>
      <c r="L55" s="3481">
        <v>23000</v>
      </c>
      <c r="M55" s="3481">
        <v>18543</v>
      </c>
      <c r="N55" s="3481">
        <v>12403</v>
      </c>
      <c r="O55" s="3479" t="s">
        <v>3697</v>
      </c>
      <c r="P55" s="3479" t="s">
        <v>3698</v>
      </c>
    </row>
    <row r="56" spans="1:16" ht="40.5">
      <c r="A56" s="3479" t="s">
        <v>3699</v>
      </c>
      <c r="B56" s="3479" t="s">
        <v>3671</v>
      </c>
      <c r="C56" s="3479" t="s">
        <v>3487</v>
      </c>
      <c r="D56" s="3479" t="s">
        <v>3598</v>
      </c>
      <c r="E56" s="3479" t="s">
        <v>3672</v>
      </c>
      <c r="F56" s="3479" t="s">
        <v>3499</v>
      </c>
      <c r="G56" s="3479" t="s">
        <v>3499</v>
      </c>
      <c r="H56" s="3479" t="s">
        <v>3561</v>
      </c>
      <c r="I56" s="3480">
        <v>44926</v>
      </c>
      <c r="J56" s="3479" t="s">
        <v>3491</v>
      </c>
      <c r="K56" s="3479" t="s">
        <v>3492</v>
      </c>
      <c r="L56" s="3481">
        <v>23100</v>
      </c>
      <c r="M56" s="3481">
        <v>18629</v>
      </c>
      <c r="N56" s="3481">
        <v>12400</v>
      </c>
      <c r="O56" s="3479" t="s">
        <v>3700</v>
      </c>
      <c r="P56" s="3479" t="s">
        <v>3701</v>
      </c>
    </row>
    <row r="57" spans="1:16" ht="27" hidden="1">
      <c r="A57" s="3479" t="s">
        <v>3702</v>
      </c>
      <c r="B57" s="3479" t="s">
        <v>3703</v>
      </c>
      <c r="C57" s="3479" t="s">
        <v>3487</v>
      </c>
      <c r="D57" s="3479" t="s">
        <v>3586</v>
      </c>
      <c r="E57" s="3479" t="s">
        <v>633</v>
      </c>
      <c r="F57" s="3479" t="s">
        <v>3684</v>
      </c>
      <c r="G57" s="3479" t="s">
        <v>3684</v>
      </c>
      <c r="H57" s="3479" t="s">
        <v>633</v>
      </c>
      <c r="I57" s="3480">
        <v>43281</v>
      </c>
      <c r="J57" s="3479" t="s">
        <v>3491</v>
      </c>
      <c r="K57" s="3479" t="s">
        <v>3530</v>
      </c>
      <c r="L57" s="3481">
        <v>66700</v>
      </c>
      <c r="M57" s="3481">
        <v>19328</v>
      </c>
      <c r="N57" s="3481">
        <v>58000</v>
      </c>
      <c r="O57" s="3479" t="s">
        <v>3704</v>
      </c>
      <c r="P57" s="3479" t="s">
        <v>3705</v>
      </c>
    </row>
    <row r="58" spans="1:16" ht="54" hidden="1">
      <c r="A58" s="3479" t="s">
        <v>3706</v>
      </c>
      <c r="B58" s="3479" t="s">
        <v>3707</v>
      </c>
      <c r="C58" s="3479" t="s">
        <v>3487</v>
      </c>
      <c r="D58" s="3479" t="s">
        <v>3603</v>
      </c>
      <c r="E58" s="3479" t="s">
        <v>3708</v>
      </c>
      <c r="F58" s="3479" t="s">
        <v>673</v>
      </c>
      <c r="G58" s="3479" t="s">
        <v>3572</v>
      </c>
      <c r="H58" s="3479" t="s">
        <v>3534</v>
      </c>
      <c r="I58" s="3480">
        <v>44406</v>
      </c>
      <c r="J58" s="3479" t="s">
        <v>3491</v>
      </c>
      <c r="K58" s="3479" t="s">
        <v>3506</v>
      </c>
      <c r="L58" s="3481">
        <v>164900</v>
      </c>
      <c r="M58" s="3481">
        <v>19978</v>
      </c>
      <c r="N58" s="3481">
        <v>82341.570000000007</v>
      </c>
      <c r="O58" s="3479" t="s">
        <v>3709</v>
      </c>
      <c r="P58" s="3479" t="s">
        <v>3710</v>
      </c>
    </row>
    <row r="59" spans="1:16" ht="40.5" hidden="1">
      <c r="A59" s="3479" t="s">
        <v>3620</v>
      </c>
      <c r="B59" s="3479" t="s">
        <v>3711</v>
      </c>
      <c r="C59" s="3479" t="s">
        <v>3487</v>
      </c>
      <c r="D59" s="3479" t="s">
        <v>3488</v>
      </c>
      <c r="E59" s="3479" t="s">
        <v>3489</v>
      </c>
      <c r="F59" s="3479" t="s">
        <v>3499</v>
      </c>
      <c r="G59" s="3479" t="s">
        <v>3499</v>
      </c>
      <c r="H59" s="3479" t="s">
        <v>3534</v>
      </c>
      <c r="I59" s="3480">
        <v>44462</v>
      </c>
      <c r="J59" s="3479" t="s">
        <v>3491</v>
      </c>
      <c r="K59" s="3479" t="s">
        <v>3492</v>
      </c>
      <c r="L59" s="3481">
        <v>11582</v>
      </c>
      <c r="M59" s="3481">
        <v>20000</v>
      </c>
      <c r="N59" s="3481">
        <v>5791</v>
      </c>
      <c r="O59" s="3479" t="s">
        <v>3712</v>
      </c>
      <c r="P59" s="3479" t="s">
        <v>3713</v>
      </c>
    </row>
    <row r="60" spans="1:16" ht="27" hidden="1">
      <c r="A60" s="3479" t="s">
        <v>3714</v>
      </c>
      <c r="B60" s="3479" t="s">
        <v>3715</v>
      </c>
      <c r="C60" s="3479" t="s">
        <v>3487</v>
      </c>
      <c r="D60" s="3479" t="s">
        <v>3517</v>
      </c>
      <c r="E60" s="3479" t="s">
        <v>633</v>
      </c>
      <c r="F60" s="3479" t="s">
        <v>3518</v>
      </c>
      <c r="G60" s="3479" t="s">
        <v>3518</v>
      </c>
      <c r="H60" s="3479" t="s">
        <v>633</v>
      </c>
      <c r="I60" s="3480">
        <v>43709</v>
      </c>
      <c r="J60" s="3479" t="s">
        <v>3491</v>
      </c>
      <c r="K60" s="3479" t="s">
        <v>633</v>
      </c>
      <c r="L60" s="3481">
        <v>49331</v>
      </c>
      <c r="M60" s="3481">
        <v>20000</v>
      </c>
      <c r="N60" s="3481">
        <v>24663</v>
      </c>
      <c r="O60" s="3479" t="s">
        <v>3716</v>
      </c>
      <c r="P60" s="3479" t="s">
        <v>3717</v>
      </c>
    </row>
    <row r="61" spans="1:16" ht="27">
      <c r="A61" s="3479" t="s">
        <v>3718</v>
      </c>
      <c r="B61" s="3479" t="s">
        <v>3719</v>
      </c>
      <c r="C61" s="3479" t="s">
        <v>3487</v>
      </c>
      <c r="D61" s="3479" t="s">
        <v>3544</v>
      </c>
      <c r="E61" s="3479" t="s">
        <v>3633</v>
      </c>
      <c r="F61" s="3479" t="s">
        <v>3499</v>
      </c>
      <c r="G61" s="3479" t="s">
        <v>3499</v>
      </c>
      <c r="H61" s="3479" t="s">
        <v>3561</v>
      </c>
      <c r="I61" s="3480">
        <v>44720</v>
      </c>
      <c r="J61" s="3479" t="s">
        <v>3491</v>
      </c>
      <c r="K61" s="3479" t="s">
        <v>3492</v>
      </c>
      <c r="L61" s="3481">
        <v>29363</v>
      </c>
      <c r="M61" s="3481">
        <v>20132</v>
      </c>
      <c r="N61" s="3481">
        <v>14585</v>
      </c>
      <c r="O61" s="3479" t="s">
        <v>3720</v>
      </c>
      <c r="P61" s="3479" t="s">
        <v>3721</v>
      </c>
    </row>
    <row r="62" spans="1:16" ht="27">
      <c r="A62" s="3479" t="s">
        <v>3722</v>
      </c>
      <c r="B62" s="3479" t="s">
        <v>3723</v>
      </c>
      <c r="C62" s="3479" t="s">
        <v>3487</v>
      </c>
      <c r="D62" s="3479" t="s">
        <v>3544</v>
      </c>
      <c r="E62" s="3479" t="s">
        <v>3633</v>
      </c>
      <c r="F62" s="3479" t="s">
        <v>3499</v>
      </c>
      <c r="G62" s="3479" t="s">
        <v>3499</v>
      </c>
      <c r="H62" s="3479" t="s">
        <v>3561</v>
      </c>
      <c r="I62" s="3480">
        <v>44804</v>
      </c>
      <c r="J62" s="3479" t="s">
        <v>3491</v>
      </c>
      <c r="K62" s="3479" t="s">
        <v>3492</v>
      </c>
      <c r="L62" s="3481">
        <v>29400</v>
      </c>
      <c r="M62" s="3481">
        <v>20157</v>
      </c>
      <c r="N62" s="3481">
        <v>14585</v>
      </c>
      <c r="O62" s="3479" t="s">
        <v>3724</v>
      </c>
      <c r="P62" s="3479" t="s">
        <v>3725</v>
      </c>
    </row>
    <row r="63" spans="1:16" ht="40.5">
      <c r="A63" s="3479" t="s">
        <v>3726</v>
      </c>
      <c r="B63" s="3479" t="s">
        <v>3727</v>
      </c>
      <c r="C63" s="3479" t="s">
        <v>3487</v>
      </c>
      <c r="D63" s="3479" t="s">
        <v>3598</v>
      </c>
      <c r="E63" s="3479" t="s">
        <v>3728</v>
      </c>
      <c r="F63" s="3479" t="s">
        <v>3499</v>
      </c>
      <c r="G63" s="3479" t="s">
        <v>3499</v>
      </c>
      <c r="H63" s="3479" t="s">
        <v>3534</v>
      </c>
      <c r="I63" s="3480">
        <v>44935</v>
      </c>
      <c r="J63" s="3479" t="s">
        <v>3491</v>
      </c>
      <c r="K63" s="3479" t="s">
        <v>3492</v>
      </c>
      <c r="L63" s="3481">
        <v>640000</v>
      </c>
      <c r="M63" s="3481">
        <v>20189</v>
      </c>
      <c r="N63" s="3481">
        <v>317000</v>
      </c>
      <c r="O63" s="3479" t="s">
        <v>3729</v>
      </c>
      <c r="P63" s="3479" t="s">
        <v>3730</v>
      </c>
    </row>
    <row r="64" spans="1:16" ht="54" hidden="1">
      <c r="A64" s="3479" t="s">
        <v>3731</v>
      </c>
      <c r="B64" s="3479" t="s">
        <v>3732</v>
      </c>
      <c r="C64" s="3479" t="s">
        <v>3487</v>
      </c>
      <c r="D64" s="3479" t="s">
        <v>3517</v>
      </c>
      <c r="E64" s="3479" t="s">
        <v>3517</v>
      </c>
      <c r="F64" s="3479" t="s">
        <v>673</v>
      </c>
      <c r="G64" s="3479" t="s">
        <v>3572</v>
      </c>
      <c r="H64" s="3479" t="s">
        <v>3561</v>
      </c>
      <c r="I64" s="3480">
        <v>44012</v>
      </c>
      <c r="J64" s="3479" t="s">
        <v>3491</v>
      </c>
      <c r="K64" s="3479" t="s">
        <v>3492</v>
      </c>
      <c r="L64" s="3481">
        <v>164900</v>
      </c>
      <c r="M64" s="3481">
        <v>20410</v>
      </c>
      <c r="N64" s="3481">
        <v>80798</v>
      </c>
      <c r="O64" s="3479" t="s">
        <v>3733</v>
      </c>
      <c r="P64" s="3479" t="s">
        <v>3734</v>
      </c>
    </row>
    <row r="65" spans="1:16" ht="40.5" hidden="1">
      <c r="A65" s="3479" t="s">
        <v>3735</v>
      </c>
      <c r="B65" s="3479" t="s">
        <v>3736</v>
      </c>
      <c r="C65" s="3479" t="s">
        <v>3487</v>
      </c>
      <c r="D65" s="3479" t="s">
        <v>3737</v>
      </c>
      <c r="E65" s="3479" t="s">
        <v>3738</v>
      </c>
      <c r="F65" s="3479" t="s">
        <v>3499</v>
      </c>
      <c r="G65" s="3479" t="s">
        <v>3499</v>
      </c>
      <c r="H65" s="3479" t="s">
        <v>633</v>
      </c>
      <c r="I65" s="3480">
        <v>45099</v>
      </c>
      <c r="J65" s="3479" t="s">
        <v>3491</v>
      </c>
      <c r="K65" s="3479" t="s">
        <v>3506</v>
      </c>
      <c r="L65" s="3481">
        <v>6431.95</v>
      </c>
      <c r="M65" s="3481">
        <v>20429</v>
      </c>
      <c r="N65" s="3481">
        <v>3148.44</v>
      </c>
      <c r="O65" s="3479" t="s">
        <v>3739</v>
      </c>
      <c r="P65" s="3479" t="s">
        <v>3740</v>
      </c>
    </row>
    <row r="66" spans="1:16" ht="27" hidden="1">
      <c r="A66" s="3479" t="s">
        <v>3741</v>
      </c>
      <c r="B66" s="3479" t="s">
        <v>3742</v>
      </c>
      <c r="C66" s="3479" t="s">
        <v>3487</v>
      </c>
      <c r="D66" s="3479" t="s">
        <v>3544</v>
      </c>
      <c r="E66" s="3479" t="s">
        <v>3743</v>
      </c>
      <c r="F66" s="3479" t="s">
        <v>3684</v>
      </c>
      <c r="G66" s="3479" t="s">
        <v>3684</v>
      </c>
      <c r="H66" s="3479" t="s">
        <v>633</v>
      </c>
      <c r="I66" s="3480">
        <v>45091</v>
      </c>
      <c r="J66" s="3479" t="s">
        <v>3491</v>
      </c>
      <c r="K66" s="3479" t="s">
        <v>3506</v>
      </c>
      <c r="L66" s="3481">
        <v>7035.32</v>
      </c>
      <c r="M66" s="3481">
        <v>20904</v>
      </c>
      <c r="N66" s="3481">
        <v>3365.53</v>
      </c>
      <c r="O66" s="3479" t="s">
        <v>3744</v>
      </c>
      <c r="P66" s="3479" t="s">
        <v>3745</v>
      </c>
    </row>
    <row r="67" spans="1:16" ht="27" hidden="1">
      <c r="A67" s="3479" t="s">
        <v>3746</v>
      </c>
      <c r="B67" s="3479" t="s">
        <v>3747</v>
      </c>
      <c r="C67" s="3479" t="s">
        <v>3487</v>
      </c>
      <c r="D67" s="3479" t="s">
        <v>3544</v>
      </c>
      <c r="E67" s="3479" t="s">
        <v>3748</v>
      </c>
      <c r="F67" s="3479" t="s">
        <v>3499</v>
      </c>
      <c r="G67" s="3479" t="s">
        <v>3499</v>
      </c>
      <c r="H67" s="3479" t="s">
        <v>3561</v>
      </c>
      <c r="I67" s="3480">
        <v>43511</v>
      </c>
      <c r="J67" s="3479" t="s">
        <v>3491</v>
      </c>
      <c r="K67" s="3479" t="s">
        <v>633</v>
      </c>
      <c r="L67" s="3481">
        <v>900000</v>
      </c>
      <c r="M67" s="3481">
        <v>20930</v>
      </c>
      <c r="N67" s="3481">
        <v>430000</v>
      </c>
      <c r="O67" s="3479" t="s">
        <v>3749</v>
      </c>
      <c r="P67" s="3479" t="s">
        <v>3750</v>
      </c>
    </row>
    <row r="68" spans="1:16" ht="27" hidden="1">
      <c r="A68" s="3479" t="s">
        <v>3751</v>
      </c>
      <c r="B68" s="3479" t="s">
        <v>3752</v>
      </c>
      <c r="C68" s="3479" t="s">
        <v>3487</v>
      </c>
      <c r="D68" s="3479" t="s">
        <v>3753</v>
      </c>
      <c r="E68" s="3479" t="s">
        <v>3754</v>
      </c>
      <c r="F68" s="3479" t="s">
        <v>3684</v>
      </c>
      <c r="G68" s="3479" t="s">
        <v>3684</v>
      </c>
      <c r="H68" s="3479" t="s">
        <v>633</v>
      </c>
      <c r="I68" s="3480">
        <v>43861</v>
      </c>
      <c r="J68" s="3479" t="s">
        <v>3491</v>
      </c>
      <c r="K68" s="3479" t="s">
        <v>3492</v>
      </c>
      <c r="L68" s="3481">
        <v>30000</v>
      </c>
      <c r="M68" s="3481">
        <v>21222</v>
      </c>
      <c r="N68" s="3481">
        <v>14136</v>
      </c>
      <c r="O68" s="3479" t="s">
        <v>3755</v>
      </c>
      <c r="P68" s="3479" t="s">
        <v>3756</v>
      </c>
    </row>
    <row r="69" spans="1:16" ht="27" hidden="1">
      <c r="A69" s="3479" t="s">
        <v>3757</v>
      </c>
      <c r="B69" s="3479" t="s">
        <v>3758</v>
      </c>
      <c r="C69" s="3479" t="s">
        <v>3487</v>
      </c>
      <c r="D69" s="3479" t="s">
        <v>3544</v>
      </c>
      <c r="E69" s="3479" t="s">
        <v>3581</v>
      </c>
      <c r="F69" s="3479" t="s">
        <v>3546</v>
      </c>
      <c r="G69" s="3479" t="s">
        <v>3546</v>
      </c>
      <c r="H69" s="3479" t="s">
        <v>3561</v>
      </c>
      <c r="I69" s="3480">
        <v>42916</v>
      </c>
      <c r="J69" s="3479" t="s">
        <v>3491</v>
      </c>
      <c r="K69" s="3479" t="s">
        <v>633</v>
      </c>
      <c r="L69" s="3481">
        <v>73100</v>
      </c>
      <c r="M69" s="3481">
        <v>21273</v>
      </c>
      <c r="N69" s="3481">
        <v>34363</v>
      </c>
      <c r="O69" s="3479" t="s">
        <v>633</v>
      </c>
      <c r="P69" s="3479" t="s">
        <v>633</v>
      </c>
    </row>
    <row r="70" spans="1:16" ht="27" hidden="1">
      <c r="A70" s="3479" t="s">
        <v>3759</v>
      </c>
      <c r="B70" s="3479" t="s">
        <v>3760</v>
      </c>
      <c r="C70" s="3479" t="s">
        <v>3487</v>
      </c>
      <c r="D70" s="3479" t="s">
        <v>3504</v>
      </c>
      <c r="E70" s="3479" t="s">
        <v>3761</v>
      </c>
      <c r="F70" s="3479" t="s">
        <v>673</v>
      </c>
      <c r="G70" s="3479" t="s">
        <v>3572</v>
      </c>
      <c r="H70" s="3479" t="s">
        <v>3518</v>
      </c>
      <c r="I70" s="3480">
        <v>43616</v>
      </c>
      <c r="J70" s="3479" t="s">
        <v>3491</v>
      </c>
      <c r="K70" s="3479" t="s">
        <v>3530</v>
      </c>
      <c r="L70" s="3481">
        <v>100000</v>
      </c>
      <c r="M70" s="3481">
        <v>21277</v>
      </c>
      <c r="N70" s="3481">
        <v>46999</v>
      </c>
      <c r="O70" s="3479" t="s">
        <v>3762</v>
      </c>
      <c r="P70" s="3479" t="s">
        <v>3763</v>
      </c>
    </row>
    <row r="71" spans="1:16" ht="40.5" hidden="1">
      <c r="A71" s="3479" t="s">
        <v>3764</v>
      </c>
      <c r="B71" s="3479" t="s">
        <v>3765</v>
      </c>
      <c r="C71" s="3479" t="s">
        <v>3487</v>
      </c>
      <c r="D71" s="3479" t="s">
        <v>3598</v>
      </c>
      <c r="E71" s="3479" t="s">
        <v>3599</v>
      </c>
      <c r="F71" s="3479" t="s">
        <v>3499</v>
      </c>
      <c r="G71" s="3479" t="s">
        <v>3499</v>
      </c>
      <c r="H71" s="3479" t="s">
        <v>633</v>
      </c>
      <c r="I71" s="3480">
        <v>45177</v>
      </c>
      <c r="J71" s="3479" t="s">
        <v>3491</v>
      </c>
      <c r="K71" s="3479" t="s">
        <v>3506</v>
      </c>
      <c r="L71" s="3481">
        <v>34750</v>
      </c>
      <c r="M71" s="3481">
        <v>21726</v>
      </c>
      <c r="N71" s="3481">
        <v>15994.88</v>
      </c>
      <c r="O71" s="3479" t="s">
        <v>3766</v>
      </c>
      <c r="P71" s="3479" t="s">
        <v>3767</v>
      </c>
    </row>
    <row r="72" spans="1:16" ht="27" hidden="1">
      <c r="A72" s="3479" t="s">
        <v>3768</v>
      </c>
      <c r="B72" s="3479" t="s">
        <v>3769</v>
      </c>
      <c r="C72" s="3479" t="s">
        <v>3487</v>
      </c>
      <c r="D72" s="3479" t="s">
        <v>3488</v>
      </c>
      <c r="E72" s="3479" t="s">
        <v>633</v>
      </c>
      <c r="F72" s="3479" t="s">
        <v>3499</v>
      </c>
      <c r="G72" s="3479" t="s">
        <v>3499</v>
      </c>
      <c r="H72" s="3479" t="s">
        <v>633</v>
      </c>
      <c r="I72" s="3480">
        <v>44408</v>
      </c>
      <c r="J72" s="3479" t="s">
        <v>3491</v>
      </c>
      <c r="K72" s="3479" t="s">
        <v>3492</v>
      </c>
      <c r="L72" s="3481">
        <v>86700</v>
      </c>
      <c r="M72" s="3481">
        <v>22547</v>
      </c>
      <c r="N72" s="3483" t="s">
        <v>633</v>
      </c>
      <c r="O72" s="3479" t="s">
        <v>3770</v>
      </c>
      <c r="P72" s="3479" t="s">
        <v>3771</v>
      </c>
    </row>
    <row r="73" spans="1:16" ht="27" hidden="1">
      <c r="A73" s="3479" t="s">
        <v>3772</v>
      </c>
      <c r="B73" s="3479" t="s">
        <v>3773</v>
      </c>
      <c r="C73" s="3479" t="s">
        <v>3487</v>
      </c>
      <c r="D73" s="3479" t="s">
        <v>3544</v>
      </c>
      <c r="E73" s="3479" t="s">
        <v>3581</v>
      </c>
      <c r="F73" s="3479" t="s">
        <v>673</v>
      </c>
      <c r="G73" s="3479" t="s">
        <v>3572</v>
      </c>
      <c r="H73" s="3479" t="s">
        <v>633</v>
      </c>
      <c r="I73" s="3480">
        <v>43830</v>
      </c>
      <c r="J73" s="3479" t="s">
        <v>3491</v>
      </c>
      <c r="K73" s="3479" t="s">
        <v>633</v>
      </c>
      <c r="L73" s="3481">
        <v>680000</v>
      </c>
      <c r="M73" s="3481">
        <v>22667</v>
      </c>
      <c r="N73" s="3481">
        <v>300000</v>
      </c>
      <c r="O73" s="3479" t="s">
        <v>3774</v>
      </c>
      <c r="P73" s="3479" t="s">
        <v>3775</v>
      </c>
    </row>
    <row r="74" spans="1:16" hidden="1">
      <c r="A74" s="3479" t="s">
        <v>3776</v>
      </c>
      <c r="B74" s="3479" t="s">
        <v>3777</v>
      </c>
      <c r="C74" s="3479" t="s">
        <v>3487</v>
      </c>
      <c r="D74" s="3479" t="s">
        <v>3544</v>
      </c>
      <c r="E74" s="3479" t="s">
        <v>3778</v>
      </c>
      <c r="F74" s="3479" t="s">
        <v>3499</v>
      </c>
      <c r="G74" s="3479" t="s">
        <v>3499</v>
      </c>
      <c r="H74" s="3479" t="s">
        <v>3534</v>
      </c>
      <c r="I74" s="3480">
        <v>43728</v>
      </c>
      <c r="J74" s="3479" t="s">
        <v>3491</v>
      </c>
      <c r="K74" s="3479" t="s">
        <v>633</v>
      </c>
      <c r="L74" s="3481">
        <v>27175</v>
      </c>
      <c r="M74" s="3481">
        <v>23025</v>
      </c>
      <c r="N74" s="3481">
        <v>11802</v>
      </c>
      <c r="O74" s="3479" t="s">
        <v>633</v>
      </c>
      <c r="P74" s="3479" t="s">
        <v>633</v>
      </c>
    </row>
    <row r="75" spans="1:16" ht="40.5" hidden="1">
      <c r="A75" s="3479" t="s">
        <v>3779</v>
      </c>
      <c r="B75" s="3479" t="s">
        <v>3780</v>
      </c>
      <c r="C75" s="3479" t="s">
        <v>3487</v>
      </c>
      <c r="D75" s="3479" t="s">
        <v>3781</v>
      </c>
      <c r="E75" s="3479" t="s">
        <v>633</v>
      </c>
      <c r="F75" s="3479" t="s">
        <v>673</v>
      </c>
      <c r="G75" s="3479" t="s">
        <v>3572</v>
      </c>
      <c r="H75" s="3479" t="s">
        <v>633</v>
      </c>
      <c r="I75" s="3480">
        <v>43347</v>
      </c>
      <c r="J75" s="3479" t="s">
        <v>3491</v>
      </c>
      <c r="K75" s="3479" t="s">
        <v>3530</v>
      </c>
      <c r="L75" s="3481">
        <v>80017.570000000007</v>
      </c>
      <c r="M75" s="3481">
        <v>23189</v>
      </c>
      <c r="N75" s="3481">
        <v>34506</v>
      </c>
      <c r="O75" s="3479" t="s">
        <v>3782</v>
      </c>
      <c r="P75" s="3479" t="s">
        <v>3783</v>
      </c>
    </row>
    <row r="76" spans="1:16">
      <c r="A76" s="3479" t="s">
        <v>3784</v>
      </c>
      <c r="B76" s="3479" t="s">
        <v>3785</v>
      </c>
      <c r="C76" s="3479" t="s">
        <v>3487</v>
      </c>
      <c r="D76" s="3479" t="s">
        <v>3603</v>
      </c>
      <c r="E76" s="3479" t="s">
        <v>3786</v>
      </c>
      <c r="F76" s="3479" t="s">
        <v>3499</v>
      </c>
      <c r="G76" s="3479" t="s">
        <v>3499</v>
      </c>
      <c r="H76" s="3479" t="s">
        <v>3534</v>
      </c>
      <c r="I76" s="3480">
        <v>44804</v>
      </c>
      <c r="J76" s="3479" t="s">
        <v>3491</v>
      </c>
      <c r="K76" s="3479" t="s">
        <v>3492</v>
      </c>
      <c r="L76" s="3481">
        <v>59200</v>
      </c>
      <c r="M76" s="3481">
        <v>23212</v>
      </c>
      <c r="N76" s="3481">
        <v>25503</v>
      </c>
      <c r="O76" s="3479" t="s">
        <v>3787</v>
      </c>
      <c r="P76" s="3479" t="s">
        <v>3788</v>
      </c>
    </row>
    <row r="77" spans="1:16" ht="27" hidden="1">
      <c r="A77" s="3479" t="s">
        <v>3789</v>
      </c>
      <c r="B77" s="3479" t="s">
        <v>3790</v>
      </c>
      <c r="C77" s="3479" t="s">
        <v>3487</v>
      </c>
      <c r="D77" s="3479" t="s">
        <v>3586</v>
      </c>
      <c r="E77" s="3479" t="s">
        <v>3587</v>
      </c>
      <c r="F77" s="3479" t="s">
        <v>3499</v>
      </c>
      <c r="G77" s="3479" t="s">
        <v>3499</v>
      </c>
      <c r="H77" s="3479" t="s">
        <v>633</v>
      </c>
      <c r="I77" s="3480">
        <v>45071</v>
      </c>
      <c r="J77" s="3479" t="s">
        <v>3491</v>
      </c>
      <c r="K77" s="3479" t="s">
        <v>3506</v>
      </c>
      <c r="L77" s="3481">
        <v>12603.77</v>
      </c>
      <c r="M77" s="3481">
        <v>23970</v>
      </c>
      <c r="N77" s="3481">
        <v>5258</v>
      </c>
      <c r="O77" s="3479" t="s">
        <v>633</v>
      </c>
      <c r="P77" s="3479" t="s">
        <v>633</v>
      </c>
    </row>
    <row r="78" spans="1:16" ht="27" hidden="1">
      <c r="A78" s="3479" t="s">
        <v>3791</v>
      </c>
      <c r="B78" s="3479" t="s">
        <v>3792</v>
      </c>
      <c r="C78" s="3479" t="s">
        <v>3487</v>
      </c>
      <c r="D78" s="3479" t="s">
        <v>3544</v>
      </c>
      <c r="E78" s="3479" t="s">
        <v>3793</v>
      </c>
      <c r="F78" s="3479" t="s">
        <v>673</v>
      </c>
      <c r="G78" s="3479" t="s">
        <v>3513</v>
      </c>
      <c r="H78" s="3479" t="s">
        <v>633</v>
      </c>
      <c r="I78" s="3480">
        <v>45361</v>
      </c>
      <c r="J78" s="3479" t="s">
        <v>3491</v>
      </c>
      <c r="K78" s="3479" t="s">
        <v>3506</v>
      </c>
      <c r="L78" s="3481">
        <v>2751.4</v>
      </c>
      <c r="M78" s="3481">
        <v>24085</v>
      </c>
      <c r="N78" s="3481">
        <v>1142.3499999999999</v>
      </c>
      <c r="O78" s="3479" t="s">
        <v>3794</v>
      </c>
      <c r="P78" s="3479" t="s">
        <v>633</v>
      </c>
    </row>
    <row r="79" spans="1:16" ht="27" hidden="1">
      <c r="A79" s="3479" t="s">
        <v>3795</v>
      </c>
      <c r="B79" s="3479" t="s">
        <v>3796</v>
      </c>
      <c r="C79" s="3479" t="s">
        <v>3487</v>
      </c>
      <c r="D79" s="3479" t="s">
        <v>3504</v>
      </c>
      <c r="E79" s="3479" t="s">
        <v>633</v>
      </c>
      <c r="F79" s="3479" t="s">
        <v>3</v>
      </c>
      <c r="G79" s="3479" t="s">
        <v>3797</v>
      </c>
      <c r="H79" s="3479" t="s">
        <v>633</v>
      </c>
      <c r="I79" s="3480">
        <v>43646</v>
      </c>
      <c r="J79" s="3479" t="s">
        <v>3491</v>
      </c>
      <c r="K79" s="3479" t="s">
        <v>3530</v>
      </c>
      <c r="L79" s="3481">
        <v>25179.34</v>
      </c>
      <c r="M79" s="3481">
        <v>24570</v>
      </c>
      <c r="N79" s="3481">
        <v>10248</v>
      </c>
      <c r="O79" s="3479" t="s">
        <v>3798</v>
      </c>
      <c r="P79" s="3479" t="s">
        <v>3799</v>
      </c>
    </row>
    <row r="80" spans="1:16" ht="40.5" hidden="1">
      <c r="A80" s="3479" t="s">
        <v>3800</v>
      </c>
      <c r="B80" s="3479" t="s">
        <v>3801</v>
      </c>
      <c r="C80" s="3479" t="s">
        <v>3487</v>
      </c>
      <c r="D80" s="3479" t="s">
        <v>3683</v>
      </c>
      <c r="E80" s="3479" t="s">
        <v>633</v>
      </c>
      <c r="F80" s="3479" t="s">
        <v>3499</v>
      </c>
      <c r="G80" s="3479" t="s">
        <v>3499</v>
      </c>
      <c r="H80" s="3479" t="s">
        <v>3561</v>
      </c>
      <c r="I80" s="3480">
        <v>45111</v>
      </c>
      <c r="J80" s="3479" t="s">
        <v>3491</v>
      </c>
      <c r="K80" s="3479" t="s">
        <v>3506</v>
      </c>
      <c r="L80" s="3481">
        <v>2809</v>
      </c>
      <c r="M80" s="3481">
        <v>24764</v>
      </c>
      <c r="N80" s="3481">
        <v>1134.33</v>
      </c>
      <c r="O80" s="3479" t="s">
        <v>633</v>
      </c>
      <c r="P80" s="3479" t="s">
        <v>633</v>
      </c>
    </row>
    <row r="81" spans="1:16" ht="40.5" hidden="1">
      <c r="A81" s="3479" t="s">
        <v>3802</v>
      </c>
      <c r="B81" s="3479" t="s">
        <v>3803</v>
      </c>
      <c r="C81" s="3479" t="s">
        <v>3487</v>
      </c>
      <c r="D81" s="3479" t="s">
        <v>3603</v>
      </c>
      <c r="E81" s="3479" t="s">
        <v>633</v>
      </c>
      <c r="F81" s="3479" t="s">
        <v>673</v>
      </c>
      <c r="G81" s="3479" t="s">
        <v>3572</v>
      </c>
      <c r="H81" s="3479" t="s">
        <v>633</v>
      </c>
      <c r="I81" s="3480">
        <v>42916</v>
      </c>
      <c r="J81" s="3479" t="s">
        <v>3491</v>
      </c>
      <c r="K81" s="3479" t="s">
        <v>633</v>
      </c>
      <c r="L81" s="3481">
        <v>125000</v>
      </c>
      <c r="M81" s="3481">
        <v>25000</v>
      </c>
      <c r="N81" s="3481">
        <v>50100</v>
      </c>
      <c r="O81" s="3479" t="s">
        <v>3804</v>
      </c>
      <c r="P81" s="3479" t="s">
        <v>3805</v>
      </c>
    </row>
    <row r="82" spans="1:16" ht="54" hidden="1">
      <c r="A82" s="3479" t="s">
        <v>3806</v>
      </c>
      <c r="B82" s="3479" t="s">
        <v>3807</v>
      </c>
      <c r="C82" s="3479" t="s">
        <v>3487</v>
      </c>
      <c r="D82" s="3479" t="s">
        <v>3598</v>
      </c>
      <c r="E82" s="3479" t="s">
        <v>3808</v>
      </c>
      <c r="F82" s="3479" t="s">
        <v>673</v>
      </c>
      <c r="G82" s="3479" t="s">
        <v>3518</v>
      </c>
      <c r="H82" s="3479" t="s">
        <v>633</v>
      </c>
      <c r="I82" s="3480">
        <v>44044</v>
      </c>
      <c r="J82" s="3479" t="s">
        <v>3491</v>
      </c>
      <c r="K82" s="3479" t="s">
        <v>3492</v>
      </c>
      <c r="L82" s="3481">
        <v>400000</v>
      </c>
      <c r="M82" s="3481">
        <v>25247</v>
      </c>
      <c r="N82" s="3481">
        <v>131997</v>
      </c>
      <c r="O82" s="3479" t="s">
        <v>3809</v>
      </c>
      <c r="P82" s="3479" t="s">
        <v>3810</v>
      </c>
    </row>
    <row r="83" spans="1:16" hidden="1">
      <c r="A83" s="3479" t="s">
        <v>3811</v>
      </c>
      <c r="B83" s="3479" t="s">
        <v>3812</v>
      </c>
      <c r="C83" s="3479" t="s">
        <v>3487</v>
      </c>
      <c r="D83" s="3479" t="s">
        <v>3603</v>
      </c>
      <c r="E83" s="3479" t="s">
        <v>3813</v>
      </c>
      <c r="F83" s="3479" t="s">
        <v>3814</v>
      </c>
      <c r="G83" s="3479" t="s">
        <v>3814</v>
      </c>
      <c r="H83" s="3479" t="s">
        <v>633</v>
      </c>
      <c r="I83" s="3480">
        <v>44926</v>
      </c>
      <c r="J83" s="3479" t="s">
        <v>3491</v>
      </c>
      <c r="K83" s="3479" t="s">
        <v>3506</v>
      </c>
      <c r="L83" s="3481">
        <v>84000</v>
      </c>
      <c r="M83" s="3481">
        <v>25615</v>
      </c>
      <c r="N83" s="3481">
        <v>32793</v>
      </c>
      <c r="O83" s="3479" t="s">
        <v>3815</v>
      </c>
      <c r="P83" s="3479" t="s">
        <v>633</v>
      </c>
    </row>
    <row r="84" spans="1:16" ht="27" hidden="1">
      <c r="A84" s="3479" t="s">
        <v>3816</v>
      </c>
      <c r="B84" s="3479" t="s">
        <v>3817</v>
      </c>
      <c r="C84" s="3479" t="s">
        <v>3487</v>
      </c>
      <c r="D84" s="3479" t="s">
        <v>3544</v>
      </c>
      <c r="E84" s="3479" t="s">
        <v>633</v>
      </c>
      <c r="F84" s="3479" t="s">
        <v>3499</v>
      </c>
      <c r="G84" s="3479" t="s">
        <v>3499</v>
      </c>
      <c r="H84" s="3479" t="s">
        <v>633</v>
      </c>
      <c r="I84" s="3480">
        <v>44439</v>
      </c>
      <c r="J84" s="3479" t="s">
        <v>3491</v>
      </c>
      <c r="K84" s="3479" t="s">
        <v>3492</v>
      </c>
      <c r="L84" s="3481">
        <v>30800</v>
      </c>
      <c r="M84" s="3481">
        <v>25751</v>
      </c>
      <c r="N84" s="3481">
        <v>15926</v>
      </c>
      <c r="O84" s="3479" t="s">
        <v>3818</v>
      </c>
      <c r="P84" s="3479" t="s">
        <v>3819</v>
      </c>
    </row>
    <row r="85" spans="1:16" ht="27" hidden="1">
      <c r="A85" s="3479" t="s">
        <v>3820</v>
      </c>
      <c r="B85" s="3479" t="s">
        <v>3821</v>
      </c>
      <c r="C85" s="3479" t="s">
        <v>3487</v>
      </c>
      <c r="D85" s="3479" t="s">
        <v>3603</v>
      </c>
      <c r="E85" s="3479" t="s">
        <v>633</v>
      </c>
      <c r="F85" s="3479" t="s">
        <v>673</v>
      </c>
      <c r="G85" s="3479" t="s">
        <v>3572</v>
      </c>
      <c r="H85" s="3479" t="s">
        <v>633</v>
      </c>
      <c r="I85" s="3480">
        <v>42992</v>
      </c>
      <c r="J85" s="3479" t="s">
        <v>3491</v>
      </c>
      <c r="K85" s="3479" t="s">
        <v>3530</v>
      </c>
      <c r="L85" s="3481">
        <v>112950</v>
      </c>
      <c r="M85" s="3481">
        <v>26000</v>
      </c>
      <c r="N85" s="3481">
        <v>43442</v>
      </c>
      <c r="O85" s="3479" t="s">
        <v>3822</v>
      </c>
      <c r="P85" s="3479" t="s">
        <v>3823</v>
      </c>
    </row>
    <row r="86" spans="1:16" ht="27" hidden="1">
      <c r="A86" s="3479" t="s">
        <v>3824</v>
      </c>
      <c r="B86" s="3479" t="s">
        <v>3825</v>
      </c>
      <c r="C86" s="3479" t="s">
        <v>3487</v>
      </c>
      <c r="D86" s="3479" t="s">
        <v>3603</v>
      </c>
      <c r="E86" s="3479" t="s">
        <v>633</v>
      </c>
      <c r="F86" s="3479" t="s">
        <v>3499</v>
      </c>
      <c r="G86" s="3479" t="s">
        <v>3499</v>
      </c>
      <c r="H86" s="3479" t="s">
        <v>633</v>
      </c>
      <c r="I86" s="3480">
        <v>42957</v>
      </c>
      <c r="J86" s="3479" t="s">
        <v>3491</v>
      </c>
      <c r="K86" s="3479" t="s">
        <v>3530</v>
      </c>
      <c r="L86" s="3481">
        <v>33656.85</v>
      </c>
      <c r="M86" s="3481">
        <v>26301</v>
      </c>
      <c r="N86" s="3481">
        <v>12797</v>
      </c>
      <c r="O86" s="3479" t="s">
        <v>3826</v>
      </c>
      <c r="P86" s="3479" t="s">
        <v>3827</v>
      </c>
    </row>
    <row r="87" spans="1:16" ht="27">
      <c r="A87" s="3479" t="s">
        <v>3828</v>
      </c>
      <c r="B87" s="3479" t="s">
        <v>3829</v>
      </c>
      <c r="C87" s="3479" t="s">
        <v>3487</v>
      </c>
      <c r="D87" s="3479" t="s">
        <v>3603</v>
      </c>
      <c r="E87" s="3479" t="s">
        <v>633</v>
      </c>
      <c r="F87" s="3479" t="s">
        <v>673</v>
      </c>
      <c r="G87" s="3479" t="s">
        <v>3572</v>
      </c>
      <c r="H87" s="3479" t="s">
        <v>633</v>
      </c>
      <c r="I87" s="3480">
        <v>44651</v>
      </c>
      <c r="J87" s="3479" t="s">
        <v>3491</v>
      </c>
      <c r="K87" s="3479" t="s">
        <v>3492</v>
      </c>
      <c r="L87" s="3481">
        <v>75000</v>
      </c>
      <c r="M87" s="3481">
        <v>26312</v>
      </c>
      <c r="N87" s="3481">
        <v>28504</v>
      </c>
      <c r="O87" s="3479" t="s">
        <v>3830</v>
      </c>
      <c r="P87" s="3479" t="s">
        <v>633</v>
      </c>
    </row>
    <row r="88" spans="1:16" ht="40.5" hidden="1">
      <c r="A88" s="3479" t="s">
        <v>3831</v>
      </c>
      <c r="B88" s="3479" t="s">
        <v>3832</v>
      </c>
      <c r="C88" s="3479" t="s">
        <v>3487</v>
      </c>
      <c r="D88" s="3479" t="s">
        <v>3603</v>
      </c>
      <c r="E88" s="3479" t="s">
        <v>633</v>
      </c>
      <c r="F88" s="3479" t="s">
        <v>3</v>
      </c>
      <c r="G88" s="3479" t="s">
        <v>3518</v>
      </c>
      <c r="H88" s="3479" t="s">
        <v>633</v>
      </c>
      <c r="I88" s="3480">
        <v>43804</v>
      </c>
      <c r="J88" s="3479" t="s">
        <v>3491</v>
      </c>
      <c r="K88" s="3479" t="s">
        <v>3530</v>
      </c>
      <c r="L88" s="3481">
        <v>183700</v>
      </c>
      <c r="M88" s="3481">
        <v>26581</v>
      </c>
      <c r="N88" s="3481">
        <v>69110</v>
      </c>
      <c r="O88" s="3479" t="s">
        <v>3833</v>
      </c>
      <c r="P88" s="3479" t="s">
        <v>633</v>
      </c>
    </row>
    <row r="89" spans="1:16" ht="27" hidden="1">
      <c r="A89" s="3479" t="s">
        <v>3834</v>
      </c>
      <c r="B89" s="3479" t="s">
        <v>3835</v>
      </c>
      <c r="C89" s="3479" t="s">
        <v>3487</v>
      </c>
      <c r="D89" s="3479" t="s">
        <v>3603</v>
      </c>
      <c r="E89" s="3479" t="s">
        <v>3786</v>
      </c>
      <c r="F89" s="3479" t="s">
        <v>3546</v>
      </c>
      <c r="G89" s="3479" t="s">
        <v>3546</v>
      </c>
      <c r="H89" s="3479" t="s">
        <v>633</v>
      </c>
      <c r="I89" s="3480">
        <v>42977</v>
      </c>
      <c r="J89" s="3479" t="s">
        <v>3491</v>
      </c>
      <c r="K89" s="3479" t="s">
        <v>633</v>
      </c>
      <c r="L89" s="3481">
        <v>34000</v>
      </c>
      <c r="M89" s="3481">
        <v>26701</v>
      </c>
      <c r="N89" s="3481">
        <v>12734</v>
      </c>
      <c r="O89" s="3479" t="s">
        <v>633</v>
      </c>
      <c r="P89" s="3479" t="s">
        <v>3836</v>
      </c>
    </row>
    <row r="90" spans="1:16" ht="27">
      <c r="A90" s="3479" t="s">
        <v>3837</v>
      </c>
      <c r="B90" s="3479" t="s">
        <v>3719</v>
      </c>
      <c r="C90" s="3479" t="s">
        <v>3487</v>
      </c>
      <c r="D90" s="3479" t="s">
        <v>3544</v>
      </c>
      <c r="E90" s="3479" t="s">
        <v>3633</v>
      </c>
      <c r="F90" s="3479" t="s">
        <v>3499</v>
      </c>
      <c r="G90" s="3479" t="s">
        <v>3499</v>
      </c>
      <c r="H90" s="3479" t="s">
        <v>3561</v>
      </c>
      <c r="I90" s="3480">
        <v>44672</v>
      </c>
      <c r="J90" s="3479" t="s">
        <v>3491</v>
      </c>
      <c r="K90" s="3479" t="s">
        <v>3492</v>
      </c>
      <c r="L90" s="3481">
        <v>57200</v>
      </c>
      <c r="M90" s="3481">
        <v>27033</v>
      </c>
      <c r="N90" s="3481">
        <v>21158.61</v>
      </c>
      <c r="O90" s="3479" t="s">
        <v>3838</v>
      </c>
      <c r="P90" s="3479" t="s">
        <v>3839</v>
      </c>
    </row>
    <row r="91" spans="1:16" ht="27" hidden="1">
      <c r="A91" s="3479" t="s">
        <v>3840</v>
      </c>
      <c r="B91" s="3479" t="s">
        <v>3841</v>
      </c>
      <c r="C91" s="3479" t="s">
        <v>3487</v>
      </c>
      <c r="D91" s="3479" t="s">
        <v>3603</v>
      </c>
      <c r="E91" s="3479" t="s">
        <v>3614</v>
      </c>
      <c r="F91" s="3479" t="s">
        <v>3499</v>
      </c>
      <c r="G91" s="3479" t="s">
        <v>3499</v>
      </c>
      <c r="H91" s="3479" t="s">
        <v>3534</v>
      </c>
      <c r="I91" s="3480">
        <v>45082</v>
      </c>
      <c r="J91" s="3479" t="s">
        <v>3491</v>
      </c>
      <c r="K91" s="3479" t="s">
        <v>3506</v>
      </c>
      <c r="L91" s="3481">
        <v>618</v>
      </c>
      <c r="M91" s="3481">
        <v>27301</v>
      </c>
      <c r="N91" s="3481">
        <v>226.36</v>
      </c>
      <c r="O91" s="3479" t="s">
        <v>633</v>
      </c>
      <c r="P91" s="3479" t="s">
        <v>633</v>
      </c>
    </row>
    <row r="92" spans="1:16" ht="27" hidden="1">
      <c r="A92" s="3479" t="s">
        <v>3842</v>
      </c>
      <c r="B92" s="3479" t="s">
        <v>3841</v>
      </c>
      <c r="C92" s="3479" t="s">
        <v>3487</v>
      </c>
      <c r="D92" s="3479" t="s">
        <v>3603</v>
      </c>
      <c r="E92" s="3479" t="s">
        <v>3614</v>
      </c>
      <c r="F92" s="3479" t="s">
        <v>3499</v>
      </c>
      <c r="G92" s="3479" t="s">
        <v>3499</v>
      </c>
      <c r="H92" s="3479" t="s">
        <v>3534</v>
      </c>
      <c r="I92" s="3480">
        <v>45050</v>
      </c>
      <c r="J92" s="3479" t="s">
        <v>3491</v>
      </c>
      <c r="K92" s="3479" t="s">
        <v>3506</v>
      </c>
      <c r="L92" s="3481">
        <v>1050</v>
      </c>
      <c r="M92" s="3481">
        <v>27499</v>
      </c>
      <c r="N92" s="3481">
        <v>381.83</v>
      </c>
      <c r="O92" s="3479" t="s">
        <v>633</v>
      </c>
      <c r="P92" s="3479" t="s">
        <v>633</v>
      </c>
    </row>
    <row r="93" spans="1:16" ht="27" hidden="1">
      <c r="A93" s="3479" t="s">
        <v>3843</v>
      </c>
      <c r="B93" s="3479" t="s">
        <v>3844</v>
      </c>
      <c r="C93" s="3479" t="s">
        <v>3487</v>
      </c>
      <c r="D93" s="3479" t="s">
        <v>3544</v>
      </c>
      <c r="E93" s="3479" t="s">
        <v>3845</v>
      </c>
      <c r="F93" s="3479" t="s">
        <v>3499</v>
      </c>
      <c r="G93" s="3479" t="s">
        <v>3499</v>
      </c>
      <c r="H93" s="3479" t="s">
        <v>3561</v>
      </c>
      <c r="I93" s="3480">
        <v>43738</v>
      </c>
      <c r="J93" s="3479" t="s">
        <v>3491</v>
      </c>
      <c r="K93" s="3479" t="s">
        <v>633</v>
      </c>
      <c r="L93" s="3481">
        <v>26900</v>
      </c>
      <c r="M93" s="3481">
        <v>27734</v>
      </c>
      <c r="N93" s="3481">
        <v>9699</v>
      </c>
      <c r="O93" s="3479" t="s">
        <v>3846</v>
      </c>
      <c r="P93" s="3479" t="s">
        <v>3847</v>
      </c>
    </row>
    <row r="94" spans="1:16" ht="27" hidden="1">
      <c r="A94" s="3479" t="s">
        <v>3848</v>
      </c>
      <c r="B94" s="3479" t="s">
        <v>3849</v>
      </c>
      <c r="C94" s="3479" t="s">
        <v>3487</v>
      </c>
      <c r="D94" s="3479" t="s">
        <v>3603</v>
      </c>
      <c r="E94" s="3479" t="s">
        <v>3850</v>
      </c>
      <c r="F94" s="3479" t="s">
        <v>673</v>
      </c>
      <c r="G94" s="3479" t="s">
        <v>3513</v>
      </c>
      <c r="H94" s="3479" t="s">
        <v>633</v>
      </c>
      <c r="I94" s="3480">
        <v>45135</v>
      </c>
      <c r="J94" s="3479" t="s">
        <v>3491</v>
      </c>
      <c r="K94" s="3479" t="s">
        <v>3506</v>
      </c>
      <c r="L94" s="3481">
        <v>1231.58</v>
      </c>
      <c r="M94" s="3481">
        <v>27800</v>
      </c>
      <c r="N94" s="3481">
        <v>443</v>
      </c>
      <c r="O94" s="3479" t="s">
        <v>3851</v>
      </c>
      <c r="P94" s="3479" t="s">
        <v>3852</v>
      </c>
    </row>
    <row r="95" spans="1:16" ht="27" hidden="1">
      <c r="A95" s="3479" t="s">
        <v>3853</v>
      </c>
      <c r="B95" s="3479" t="s">
        <v>3854</v>
      </c>
      <c r="C95" s="3479" t="s">
        <v>3487</v>
      </c>
      <c r="D95" s="3479" t="s">
        <v>3603</v>
      </c>
      <c r="E95" s="3479" t="s">
        <v>633</v>
      </c>
      <c r="F95" s="3479" t="s">
        <v>3684</v>
      </c>
      <c r="G95" s="3479" t="s">
        <v>3684</v>
      </c>
      <c r="H95" s="3479" t="s">
        <v>633</v>
      </c>
      <c r="I95" s="3480">
        <v>44827</v>
      </c>
      <c r="J95" s="3479" t="s">
        <v>3491</v>
      </c>
      <c r="K95" s="3479" t="s">
        <v>3506</v>
      </c>
      <c r="L95" s="3481">
        <v>84900</v>
      </c>
      <c r="M95" s="3481">
        <v>27836</v>
      </c>
      <c r="N95" s="3481">
        <v>30500</v>
      </c>
      <c r="O95" s="3479" t="s">
        <v>3855</v>
      </c>
      <c r="P95" s="3479" t="s">
        <v>3856</v>
      </c>
    </row>
    <row r="96" spans="1:16" ht="27">
      <c r="A96" s="3479" t="s">
        <v>3857</v>
      </c>
      <c r="B96" s="3479" t="s">
        <v>3858</v>
      </c>
      <c r="C96" s="3479" t="s">
        <v>3487</v>
      </c>
      <c r="D96" s="3479" t="s">
        <v>3603</v>
      </c>
      <c r="E96" s="3479" t="s">
        <v>3859</v>
      </c>
      <c r="F96" s="3479" t="s">
        <v>3529</v>
      </c>
      <c r="G96" s="3479" t="s">
        <v>3529</v>
      </c>
      <c r="H96" s="3479" t="s">
        <v>3561</v>
      </c>
      <c r="I96" s="3480">
        <v>44662</v>
      </c>
      <c r="J96" s="3479" t="s">
        <v>3491</v>
      </c>
      <c r="K96" s="3479" t="s">
        <v>3530</v>
      </c>
      <c r="L96" s="3481">
        <v>281000</v>
      </c>
      <c r="M96" s="3481">
        <v>28169</v>
      </c>
      <c r="N96" s="3481">
        <v>99755</v>
      </c>
      <c r="O96" s="3479" t="s">
        <v>3860</v>
      </c>
      <c r="P96" s="3479" t="s">
        <v>3861</v>
      </c>
    </row>
    <row r="97" spans="1:16" ht="27" hidden="1">
      <c r="A97" s="3479" t="s">
        <v>3862</v>
      </c>
      <c r="B97" s="3479" t="s">
        <v>3863</v>
      </c>
      <c r="C97" s="3479" t="s">
        <v>3487</v>
      </c>
      <c r="D97" s="3479" t="s">
        <v>3603</v>
      </c>
      <c r="E97" s="3479" t="s">
        <v>3786</v>
      </c>
      <c r="F97" s="3479" t="s">
        <v>3546</v>
      </c>
      <c r="G97" s="3479" t="s">
        <v>3546</v>
      </c>
      <c r="H97" s="3479" t="s">
        <v>633</v>
      </c>
      <c r="I97" s="3480">
        <v>42921</v>
      </c>
      <c r="J97" s="3479" t="s">
        <v>3491</v>
      </c>
      <c r="K97" s="3479" t="s">
        <v>3530</v>
      </c>
      <c r="L97" s="3481">
        <v>36800</v>
      </c>
      <c r="M97" s="3481">
        <v>28466</v>
      </c>
      <c r="N97" s="3481">
        <v>12928</v>
      </c>
      <c r="O97" s="3479" t="s">
        <v>3864</v>
      </c>
      <c r="P97" s="3479" t="s">
        <v>3836</v>
      </c>
    </row>
    <row r="98" spans="1:16" ht="27" hidden="1">
      <c r="A98" s="3479" t="s">
        <v>3865</v>
      </c>
      <c r="B98" s="3479" t="s">
        <v>3866</v>
      </c>
      <c r="C98" s="3479" t="s">
        <v>3487</v>
      </c>
      <c r="D98" s="3479" t="s">
        <v>3603</v>
      </c>
      <c r="E98" s="3479" t="s">
        <v>3786</v>
      </c>
      <c r="F98" s="3479" t="s">
        <v>3546</v>
      </c>
      <c r="G98" s="3479" t="s">
        <v>3546</v>
      </c>
      <c r="H98" s="3479" t="s">
        <v>633</v>
      </c>
      <c r="I98" s="3480">
        <v>42977</v>
      </c>
      <c r="J98" s="3479" t="s">
        <v>3491</v>
      </c>
      <c r="K98" s="3479" t="s">
        <v>633</v>
      </c>
      <c r="L98" s="3481">
        <v>38000</v>
      </c>
      <c r="M98" s="3481">
        <v>29001</v>
      </c>
      <c r="N98" s="3481">
        <v>13103</v>
      </c>
      <c r="O98" s="3479" t="s">
        <v>3867</v>
      </c>
      <c r="P98" s="3479" t="s">
        <v>3836</v>
      </c>
    </row>
    <row r="99" spans="1:16" ht="27" hidden="1">
      <c r="A99" s="3479" t="s">
        <v>3868</v>
      </c>
      <c r="B99" s="3479" t="s">
        <v>3869</v>
      </c>
      <c r="C99" s="3479" t="s">
        <v>3487</v>
      </c>
      <c r="D99" s="3479" t="s">
        <v>3603</v>
      </c>
      <c r="E99" s="3479" t="s">
        <v>3870</v>
      </c>
      <c r="F99" s="3479" t="s">
        <v>673</v>
      </c>
      <c r="G99" s="3479" t="s">
        <v>3513</v>
      </c>
      <c r="H99" s="3479" t="s">
        <v>633</v>
      </c>
      <c r="I99" s="3480">
        <v>43861</v>
      </c>
      <c r="J99" s="3479" t="s">
        <v>3491</v>
      </c>
      <c r="K99" s="3479" t="s">
        <v>3492</v>
      </c>
      <c r="L99" s="3481">
        <v>35800</v>
      </c>
      <c r="M99" s="3481">
        <v>29222</v>
      </c>
      <c r="N99" s="3481">
        <v>12255</v>
      </c>
      <c r="O99" s="3479" t="s">
        <v>3871</v>
      </c>
      <c r="P99" s="3479" t="s">
        <v>3872</v>
      </c>
    </row>
    <row r="100" spans="1:16" ht="27" hidden="1">
      <c r="A100" s="3479" t="s">
        <v>3873</v>
      </c>
      <c r="B100" s="3479" t="s">
        <v>3874</v>
      </c>
      <c r="C100" s="3479" t="s">
        <v>3487</v>
      </c>
      <c r="D100" s="3479" t="s">
        <v>3603</v>
      </c>
      <c r="E100" s="3479" t="s">
        <v>3875</v>
      </c>
      <c r="F100" s="3479" t="s">
        <v>3499</v>
      </c>
      <c r="G100" s="3479" t="s">
        <v>3499</v>
      </c>
      <c r="H100" s="3479" t="s">
        <v>3534</v>
      </c>
      <c r="I100" s="3480">
        <v>44530</v>
      </c>
      <c r="J100" s="3479" t="s">
        <v>3491</v>
      </c>
      <c r="K100" s="3479" t="s">
        <v>3506</v>
      </c>
      <c r="L100" s="3481">
        <v>57284.58</v>
      </c>
      <c r="M100" s="3481">
        <v>29226</v>
      </c>
      <c r="N100" s="3481">
        <v>19600</v>
      </c>
      <c r="O100" s="3479" t="s">
        <v>3876</v>
      </c>
      <c r="P100" s="3479" t="s">
        <v>3877</v>
      </c>
    </row>
    <row r="101" spans="1:16">
      <c r="A101" s="3479" t="s">
        <v>3878</v>
      </c>
      <c r="B101" s="3479" t="s">
        <v>3879</v>
      </c>
      <c r="C101" s="3479" t="s">
        <v>3487</v>
      </c>
      <c r="D101" s="3479" t="s">
        <v>3603</v>
      </c>
      <c r="E101" s="3479" t="s">
        <v>3880</v>
      </c>
      <c r="F101" s="3479" t="s">
        <v>3499</v>
      </c>
      <c r="G101" s="3479" t="s">
        <v>3499</v>
      </c>
      <c r="H101" s="3479" t="s">
        <v>3561</v>
      </c>
      <c r="I101" s="3480">
        <v>44773</v>
      </c>
      <c r="J101" s="3479" t="s">
        <v>3491</v>
      </c>
      <c r="K101" s="3479" t="s">
        <v>3492</v>
      </c>
      <c r="L101" s="3481">
        <v>18700</v>
      </c>
      <c r="M101" s="3481">
        <v>29701</v>
      </c>
      <c r="N101" s="3481">
        <v>6296</v>
      </c>
      <c r="O101" s="3479" t="s">
        <v>3881</v>
      </c>
      <c r="P101" s="3479" t="s">
        <v>3882</v>
      </c>
    </row>
    <row r="102" spans="1:16" ht="27" hidden="1">
      <c r="A102" s="3479" t="s">
        <v>3883</v>
      </c>
      <c r="B102" s="3479" t="s">
        <v>3884</v>
      </c>
      <c r="C102" s="3479" t="s">
        <v>3487</v>
      </c>
      <c r="D102" s="3479" t="s">
        <v>3603</v>
      </c>
      <c r="E102" s="3479" t="s">
        <v>633</v>
      </c>
      <c r="F102" s="3479" t="s">
        <v>3499</v>
      </c>
      <c r="G102" s="3479" t="s">
        <v>3499</v>
      </c>
      <c r="H102" s="3479" t="s">
        <v>633</v>
      </c>
      <c r="I102" s="3480">
        <v>43361</v>
      </c>
      <c r="J102" s="3479" t="s">
        <v>3491</v>
      </c>
      <c r="K102" s="3479" t="s">
        <v>3492</v>
      </c>
      <c r="L102" s="3481">
        <v>5056.1400000000003</v>
      </c>
      <c r="M102" s="3481">
        <v>30000</v>
      </c>
      <c r="N102" s="3481">
        <v>1685.38</v>
      </c>
      <c r="O102" s="3479" t="s">
        <v>3885</v>
      </c>
      <c r="P102" s="3479" t="s">
        <v>3886</v>
      </c>
    </row>
    <row r="103" spans="1:16" ht="27" hidden="1">
      <c r="A103" s="3479" t="s">
        <v>3887</v>
      </c>
      <c r="B103" s="3479" t="s">
        <v>3888</v>
      </c>
      <c r="C103" s="3479" t="s">
        <v>3487</v>
      </c>
      <c r="D103" s="3479" t="s">
        <v>3544</v>
      </c>
      <c r="E103" s="3479" t="s">
        <v>3581</v>
      </c>
      <c r="F103" s="3479" t="s">
        <v>3499</v>
      </c>
      <c r="G103" s="3479" t="s">
        <v>3499</v>
      </c>
      <c r="H103" s="3479" t="s">
        <v>3561</v>
      </c>
      <c r="I103" s="3480">
        <v>45081</v>
      </c>
      <c r="J103" s="3479" t="s">
        <v>3491</v>
      </c>
      <c r="K103" s="3479" t="s">
        <v>3506</v>
      </c>
      <c r="L103" s="3481">
        <v>765</v>
      </c>
      <c r="M103" s="3481">
        <v>30086</v>
      </c>
      <c r="N103" s="3481">
        <v>254.27</v>
      </c>
      <c r="O103" s="3479" t="s">
        <v>633</v>
      </c>
      <c r="P103" s="3479" t="s">
        <v>633</v>
      </c>
    </row>
    <row r="104" spans="1:16" ht="27" hidden="1">
      <c r="A104" s="3479" t="s">
        <v>3889</v>
      </c>
      <c r="B104" s="3479" t="s">
        <v>3890</v>
      </c>
      <c r="C104" s="3479" t="s">
        <v>3487</v>
      </c>
      <c r="D104" s="3479" t="s">
        <v>3683</v>
      </c>
      <c r="E104" s="3479" t="s">
        <v>633</v>
      </c>
      <c r="F104" s="3479" t="s">
        <v>3499</v>
      </c>
      <c r="G104" s="3479" t="s">
        <v>3499</v>
      </c>
      <c r="H104" s="3479" t="s">
        <v>633</v>
      </c>
      <c r="I104" s="3480">
        <v>45104</v>
      </c>
      <c r="J104" s="3479" t="s">
        <v>3491</v>
      </c>
      <c r="K104" s="3479" t="s">
        <v>3506</v>
      </c>
      <c r="L104" s="3481">
        <v>1004</v>
      </c>
      <c r="M104" s="3481">
        <v>30471</v>
      </c>
      <c r="N104" s="3481">
        <v>329.49</v>
      </c>
      <c r="O104" s="3479" t="s">
        <v>633</v>
      </c>
      <c r="P104" s="3479" t="s">
        <v>633</v>
      </c>
    </row>
    <row r="105" spans="1:16" ht="27" hidden="1">
      <c r="A105" s="3479" t="s">
        <v>3891</v>
      </c>
      <c r="B105" s="3479" t="s">
        <v>3892</v>
      </c>
      <c r="C105" s="3479" t="s">
        <v>3487</v>
      </c>
      <c r="D105" s="3479" t="s">
        <v>3544</v>
      </c>
      <c r="E105" s="3479" t="s">
        <v>3893</v>
      </c>
      <c r="F105" s="3479" t="s">
        <v>3499</v>
      </c>
      <c r="G105" s="3479" t="s">
        <v>3499</v>
      </c>
      <c r="H105" s="3479" t="s">
        <v>3534</v>
      </c>
      <c r="I105" s="3480">
        <v>45103</v>
      </c>
      <c r="J105" s="3479" t="s">
        <v>3491</v>
      </c>
      <c r="K105" s="3479" t="s">
        <v>3506</v>
      </c>
      <c r="L105" s="3481">
        <v>1004</v>
      </c>
      <c r="M105" s="3481">
        <v>30471</v>
      </c>
      <c r="N105" s="3481">
        <v>329.49</v>
      </c>
      <c r="O105" s="3479" t="s">
        <v>3894</v>
      </c>
      <c r="P105" s="3479" t="s">
        <v>3895</v>
      </c>
    </row>
    <row r="106" spans="1:16" ht="27" hidden="1">
      <c r="A106" s="3479" t="s">
        <v>3896</v>
      </c>
      <c r="B106" s="3479" t="s">
        <v>3897</v>
      </c>
      <c r="C106" s="3479" t="s">
        <v>3487</v>
      </c>
      <c r="D106" s="3479" t="s">
        <v>3586</v>
      </c>
      <c r="E106" s="3479" t="s">
        <v>633</v>
      </c>
      <c r="F106" s="3479" t="s">
        <v>673</v>
      </c>
      <c r="G106" s="3479" t="s">
        <v>3572</v>
      </c>
      <c r="H106" s="3479" t="s">
        <v>633</v>
      </c>
      <c r="I106" s="3480">
        <v>43083</v>
      </c>
      <c r="J106" s="3479" t="s">
        <v>3491</v>
      </c>
      <c r="K106" s="3479" t="s">
        <v>3530</v>
      </c>
      <c r="L106" s="3481">
        <v>53300</v>
      </c>
      <c r="M106" s="3481">
        <v>30533</v>
      </c>
      <c r="N106" s="3481">
        <v>17457</v>
      </c>
      <c r="O106" s="3479" t="s">
        <v>3898</v>
      </c>
      <c r="P106" s="3479" t="s">
        <v>3899</v>
      </c>
    </row>
    <row r="107" spans="1:16" ht="27" hidden="1">
      <c r="A107" s="3479" t="s">
        <v>3900</v>
      </c>
      <c r="B107" s="3479" t="s">
        <v>3901</v>
      </c>
      <c r="C107" s="3479" t="s">
        <v>3487</v>
      </c>
      <c r="D107" s="3479" t="s">
        <v>3603</v>
      </c>
      <c r="E107" s="3479" t="s">
        <v>3902</v>
      </c>
      <c r="F107" s="3479" t="s">
        <v>3499</v>
      </c>
      <c r="G107" s="3479" t="s">
        <v>3499</v>
      </c>
      <c r="H107" s="3479" t="s">
        <v>3534</v>
      </c>
      <c r="I107" s="3480">
        <v>45370</v>
      </c>
      <c r="J107" s="3479" t="s">
        <v>3491</v>
      </c>
      <c r="K107" s="3479" t="s">
        <v>3506</v>
      </c>
      <c r="L107" s="3481">
        <v>1205.79</v>
      </c>
      <c r="M107" s="3481">
        <v>30747</v>
      </c>
      <c r="N107" s="3481">
        <v>392.16</v>
      </c>
      <c r="O107" s="3479" t="s">
        <v>3903</v>
      </c>
      <c r="P107" s="3479" t="s">
        <v>633</v>
      </c>
    </row>
    <row r="108" spans="1:16" ht="27">
      <c r="A108" s="3479" t="s">
        <v>3904</v>
      </c>
      <c r="B108" s="3479" t="s">
        <v>3658</v>
      </c>
      <c r="C108" s="3479" t="s">
        <v>3487</v>
      </c>
      <c r="D108" s="3479" t="s">
        <v>3488</v>
      </c>
      <c r="E108" s="3479" t="s">
        <v>3659</v>
      </c>
      <c r="F108" s="3479" t="s">
        <v>3499</v>
      </c>
      <c r="G108" s="3479" t="s">
        <v>3499</v>
      </c>
      <c r="H108" s="3479" t="s">
        <v>3534</v>
      </c>
      <c r="I108" s="3480">
        <v>44712</v>
      </c>
      <c r="J108" s="3479" t="s">
        <v>3491</v>
      </c>
      <c r="K108" s="3479" t="s">
        <v>3492</v>
      </c>
      <c r="L108" s="3481">
        <v>15500</v>
      </c>
      <c r="M108" s="3481">
        <v>30956</v>
      </c>
      <c r="N108" s="3481">
        <v>5007</v>
      </c>
      <c r="O108" s="3479" t="s">
        <v>3660</v>
      </c>
      <c r="P108" s="3479" t="s">
        <v>3661</v>
      </c>
    </row>
    <row r="109" spans="1:16" ht="27" hidden="1">
      <c r="A109" s="3479" t="s">
        <v>3905</v>
      </c>
      <c r="B109" s="3479" t="s">
        <v>3785</v>
      </c>
      <c r="C109" s="3479" t="s">
        <v>3487</v>
      </c>
      <c r="D109" s="3479" t="s">
        <v>3603</v>
      </c>
      <c r="E109" s="3479" t="s">
        <v>3786</v>
      </c>
      <c r="F109" s="3479" t="s">
        <v>3546</v>
      </c>
      <c r="G109" s="3479" t="s">
        <v>3546</v>
      </c>
      <c r="H109" s="3479" t="s">
        <v>3534</v>
      </c>
      <c r="I109" s="3480">
        <v>45107</v>
      </c>
      <c r="J109" s="3479" t="s">
        <v>3491</v>
      </c>
      <c r="K109" s="3479" t="s">
        <v>3492</v>
      </c>
      <c r="L109" s="3481">
        <v>90000</v>
      </c>
      <c r="M109" s="3481">
        <v>31034</v>
      </c>
      <c r="N109" s="3481">
        <v>29000</v>
      </c>
      <c r="O109" s="3479" t="s">
        <v>3906</v>
      </c>
      <c r="P109" s="3479" t="s">
        <v>3788</v>
      </c>
    </row>
    <row r="110" spans="1:16">
      <c r="A110" s="3479" t="s">
        <v>3907</v>
      </c>
      <c r="B110" s="3479" t="s">
        <v>3908</v>
      </c>
      <c r="C110" s="3479" t="s">
        <v>3487</v>
      </c>
      <c r="D110" s="3479" t="s">
        <v>3517</v>
      </c>
      <c r="E110" s="3479" t="s">
        <v>3489</v>
      </c>
      <c r="F110" s="3479" t="s">
        <v>673</v>
      </c>
      <c r="G110" s="3479" t="s">
        <v>3572</v>
      </c>
      <c r="H110" s="3479" t="s">
        <v>633</v>
      </c>
      <c r="I110" s="3480">
        <v>44620</v>
      </c>
      <c r="J110" s="3479" t="s">
        <v>3491</v>
      </c>
      <c r="K110" s="3479" t="s">
        <v>3492</v>
      </c>
      <c r="L110" s="3481">
        <v>75000</v>
      </c>
      <c r="M110" s="3481">
        <v>31209</v>
      </c>
      <c r="N110" s="3481">
        <v>24031</v>
      </c>
      <c r="O110" s="3479" t="s">
        <v>3909</v>
      </c>
      <c r="P110" s="3479" t="s">
        <v>3910</v>
      </c>
    </row>
    <row r="111" spans="1:16" ht="27">
      <c r="A111" s="3479" t="s">
        <v>3911</v>
      </c>
      <c r="B111" s="3479" t="s">
        <v>3912</v>
      </c>
      <c r="C111" s="3479" t="s">
        <v>3487</v>
      </c>
      <c r="D111" s="3479" t="s">
        <v>3603</v>
      </c>
      <c r="E111" s="3479" t="s">
        <v>3913</v>
      </c>
      <c r="F111" s="3479" t="s">
        <v>3529</v>
      </c>
      <c r="G111" s="3479" t="s">
        <v>3529</v>
      </c>
      <c r="H111" s="3479" t="s">
        <v>633</v>
      </c>
      <c r="I111" s="3480">
        <v>45075</v>
      </c>
      <c r="J111" s="3479" t="s">
        <v>3491</v>
      </c>
      <c r="K111" s="3479" t="s">
        <v>3530</v>
      </c>
      <c r="L111" s="3481">
        <v>196300</v>
      </c>
      <c r="M111" s="3481">
        <v>31458</v>
      </c>
      <c r="N111" s="3481">
        <v>62400</v>
      </c>
      <c r="O111" s="3479" t="s">
        <v>3914</v>
      </c>
      <c r="P111" s="3479" t="s">
        <v>3915</v>
      </c>
    </row>
    <row r="112" spans="1:16" ht="27" hidden="1">
      <c r="A112" s="3479" t="s">
        <v>3916</v>
      </c>
      <c r="B112" s="3479" t="s">
        <v>3917</v>
      </c>
      <c r="C112" s="3479" t="s">
        <v>3487</v>
      </c>
      <c r="D112" s="3479" t="s">
        <v>3586</v>
      </c>
      <c r="E112" s="3479" t="s">
        <v>3918</v>
      </c>
      <c r="F112" s="3479" t="s">
        <v>3499</v>
      </c>
      <c r="G112" s="3479" t="s">
        <v>3499</v>
      </c>
      <c r="H112" s="3479" t="s">
        <v>3561</v>
      </c>
      <c r="I112" s="3480">
        <v>43677</v>
      </c>
      <c r="J112" s="3479" t="s">
        <v>3491</v>
      </c>
      <c r="K112" s="3479" t="s">
        <v>3530</v>
      </c>
      <c r="L112" s="3481">
        <v>110000</v>
      </c>
      <c r="M112" s="3481">
        <v>32199</v>
      </c>
      <c r="N112" s="3481">
        <v>34162</v>
      </c>
      <c r="O112" s="3479" t="s">
        <v>3919</v>
      </c>
      <c r="P112" s="3479" t="s">
        <v>3705</v>
      </c>
    </row>
    <row r="113" spans="1:16" ht="40.5" hidden="1">
      <c r="A113" s="3479" t="s">
        <v>3920</v>
      </c>
      <c r="B113" s="3479" t="s">
        <v>3921</v>
      </c>
      <c r="C113" s="3479" t="s">
        <v>3487</v>
      </c>
      <c r="D113" s="3479" t="s">
        <v>3544</v>
      </c>
      <c r="E113" s="3479" t="s">
        <v>633</v>
      </c>
      <c r="F113" s="3479" t="s">
        <v>673</v>
      </c>
      <c r="G113" s="3479" t="s">
        <v>3572</v>
      </c>
      <c r="H113" s="3479" t="s">
        <v>633</v>
      </c>
      <c r="I113" s="3480">
        <v>43726</v>
      </c>
      <c r="J113" s="3479" t="s">
        <v>3491</v>
      </c>
      <c r="K113" s="3479" t="s">
        <v>3492</v>
      </c>
      <c r="L113" s="3481">
        <v>245910.41</v>
      </c>
      <c r="M113" s="3481">
        <v>32259</v>
      </c>
      <c r="N113" s="3481">
        <v>76231</v>
      </c>
      <c r="O113" s="3479" t="s">
        <v>3922</v>
      </c>
      <c r="P113" s="3479" t="s">
        <v>3923</v>
      </c>
    </row>
    <row r="114" spans="1:16">
      <c r="A114" s="3479" t="s">
        <v>3924</v>
      </c>
      <c r="B114" s="3479" t="s">
        <v>3925</v>
      </c>
      <c r="C114" s="3479" t="s">
        <v>3487</v>
      </c>
      <c r="D114" s="3479" t="s">
        <v>3544</v>
      </c>
      <c r="E114" s="3479" t="s">
        <v>3926</v>
      </c>
      <c r="F114" s="3479" t="s">
        <v>3499</v>
      </c>
      <c r="G114" s="3479" t="s">
        <v>3499</v>
      </c>
      <c r="H114" s="3479" t="s">
        <v>3534</v>
      </c>
      <c r="I114" s="3480">
        <v>44773</v>
      </c>
      <c r="J114" s="3479" t="s">
        <v>3491</v>
      </c>
      <c r="K114" s="3479" t="s">
        <v>3492</v>
      </c>
      <c r="L114" s="3481">
        <v>175000</v>
      </c>
      <c r="M114" s="3481">
        <v>32868</v>
      </c>
      <c r="N114" s="3481">
        <v>53242</v>
      </c>
      <c r="O114" s="3479" t="s">
        <v>3927</v>
      </c>
      <c r="P114" s="3479" t="s">
        <v>3928</v>
      </c>
    </row>
    <row r="115" spans="1:16" ht="27">
      <c r="A115" s="3479" t="s">
        <v>3929</v>
      </c>
      <c r="B115" s="3479" t="s">
        <v>3930</v>
      </c>
      <c r="C115" s="3479" t="s">
        <v>3487</v>
      </c>
      <c r="D115" s="3479" t="s">
        <v>3497</v>
      </c>
      <c r="E115" s="3479" t="s">
        <v>3498</v>
      </c>
      <c r="F115" s="3479" t="s">
        <v>3499</v>
      </c>
      <c r="G115" s="3479" t="s">
        <v>3499</v>
      </c>
      <c r="H115" s="3479" t="s">
        <v>633</v>
      </c>
      <c r="I115" s="3480">
        <v>44926</v>
      </c>
      <c r="J115" s="3479" t="s">
        <v>3491</v>
      </c>
      <c r="K115" s="3479" t="s">
        <v>3492</v>
      </c>
      <c r="L115" s="3481">
        <v>452000</v>
      </c>
      <c r="M115" s="3481">
        <v>33357</v>
      </c>
      <c r="N115" s="3481">
        <v>135500</v>
      </c>
      <c r="O115" s="3479" t="s">
        <v>3931</v>
      </c>
      <c r="P115" s="3479" t="s">
        <v>3932</v>
      </c>
    </row>
    <row r="116" spans="1:16" ht="27" hidden="1">
      <c r="A116" s="3479" t="s">
        <v>3933</v>
      </c>
      <c r="B116" s="3479" t="s">
        <v>3934</v>
      </c>
      <c r="C116" s="3479" t="s">
        <v>3487</v>
      </c>
      <c r="D116" s="3479" t="s">
        <v>3598</v>
      </c>
      <c r="E116" s="3479" t="s">
        <v>633</v>
      </c>
      <c r="F116" s="3479" t="s">
        <v>633</v>
      </c>
      <c r="G116" s="3479" t="s">
        <v>633</v>
      </c>
      <c r="H116" s="3479" t="s">
        <v>3534</v>
      </c>
      <c r="I116" s="3480">
        <v>44726</v>
      </c>
      <c r="J116" s="3479" t="s">
        <v>3491</v>
      </c>
      <c r="K116" s="3479" t="s">
        <v>3530</v>
      </c>
      <c r="L116" s="3481">
        <v>501500</v>
      </c>
      <c r="M116" s="3481">
        <v>34023</v>
      </c>
      <c r="N116" s="3481">
        <v>147400</v>
      </c>
      <c r="O116" s="3479" t="s">
        <v>3935</v>
      </c>
      <c r="P116" s="3479" t="s">
        <v>3936</v>
      </c>
    </row>
    <row r="117" spans="1:16" ht="27" hidden="1">
      <c r="A117" s="3479" t="s">
        <v>3937</v>
      </c>
      <c r="B117" s="3479" t="s">
        <v>3925</v>
      </c>
      <c r="C117" s="3479" t="s">
        <v>3487</v>
      </c>
      <c r="D117" s="3479" t="s">
        <v>633</v>
      </c>
      <c r="E117" s="3479" t="s">
        <v>633</v>
      </c>
      <c r="F117" s="3479" t="s">
        <v>633</v>
      </c>
      <c r="G117" s="3479" t="s">
        <v>633</v>
      </c>
      <c r="H117" s="3479" t="s">
        <v>633</v>
      </c>
      <c r="I117" s="3480">
        <v>44756</v>
      </c>
      <c r="J117" s="3479" t="s">
        <v>3491</v>
      </c>
      <c r="K117" s="3479" t="s">
        <v>3492</v>
      </c>
      <c r="L117" s="3481">
        <v>90575.18</v>
      </c>
      <c r="M117" s="3481">
        <v>34072</v>
      </c>
      <c r="N117" s="3481">
        <v>26583.46</v>
      </c>
      <c r="O117" s="3479" t="s">
        <v>3938</v>
      </c>
      <c r="P117" s="3479" t="s">
        <v>3939</v>
      </c>
    </row>
    <row r="118" spans="1:16" hidden="1">
      <c r="A118" s="3479" t="s">
        <v>3940</v>
      </c>
      <c r="B118" s="3479" t="s">
        <v>3941</v>
      </c>
      <c r="C118" s="3479" t="s">
        <v>3487</v>
      </c>
      <c r="D118" s="3479" t="s">
        <v>3603</v>
      </c>
      <c r="E118" s="3479" t="s">
        <v>3942</v>
      </c>
      <c r="F118" s="3479" t="s">
        <v>3499</v>
      </c>
      <c r="G118" s="3479" t="s">
        <v>3499</v>
      </c>
      <c r="H118" s="3479" t="s">
        <v>3534</v>
      </c>
      <c r="I118" s="3480">
        <v>44851</v>
      </c>
      <c r="J118" s="3479" t="s">
        <v>3491</v>
      </c>
      <c r="K118" s="3479" t="s">
        <v>3506</v>
      </c>
      <c r="L118" s="3481">
        <v>203700</v>
      </c>
      <c r="M118" s="3481">
        <v>35000</v>
      </c>
      <c r="N118" s="3481">
        <v>58200</v>
      </c>
      <c r="O118" s="3479" t="s">
        <v>3943</v>
      </c>
      <c r="P118" s="3479" t="s">
        <v>3944</v>
      </c>
    </row>
    <row r="119" spans="1:16" ht="27">
      <c r="A119" s="3479" t="s">
        <v>3945</v>
      </c>
      <c r="B119" s="3479" t="s">
        <v>3946</v>
      </c>
      <c r="C119" s="3479" t="s">
        <v>3487</v>
      </c>
      <c r="D119" s="3479" t="s">
        <v>3497</v>
      </c>
      <c r="E119" s="3479" t="s">
        <v>633</v>
      </c>
      <c r="F119" s="3479" t="s">
        <v>3499</v>
      </c>
      <c r="G119" s="3479" t="s">
        <v>3499</v>
      </c>
      <c r="H119" s="3479" t="s">
        <v>633</v>
      </c>
      <c r="I119" s="3480">
        <v>44818</v>
      </c>
      <c r="J119" s="3479" t="s">
        <v>3491</v>
      </c>
      <c r="K119" s="3479" t="s">
        <v>3492</v>
      </c>
      <c r="L119" s="3481">
        <v>42000</v>
      </c>
      <c r="M119" s="3481">
        <v>35000</v>
      </c>
      <c r="N119" s="3481">
        <v>12000</v>
      </c>
      <c r="O119" s="3479" t="s">
        <v>3947</v>
      </c>
      <c r="P119" s="3479" t="s">
        <v>3948</v>
      </c>
    </row>
    <row r="120" spans="1:16" ht="27" hidden="1">
      <c r="A120" s="3479" t="s">
        <v>3949</v>
      </c>
      <c r="B120" s="3479" t="s">
        <v>3950</v>
      </c>
      <c r="C120" s="3479" t="s">
        <v>3487</v>
      </c>
      <c r="D120" s="3479" t="s">
        <v>3603</v>
      </c>
      <c r="E120" s="3479" t="s">
        <v>3614</v>
      </c>
      <c r="F120" s="3479" t="s">
        <v>673</v>
      </c>
      <c r="G120" s="3479" t="s">
        <v>3572</v>
      </c>
      <c r="H120" s="3479" t="s">
        <v>633</v>
      </c>
      <c r="I120" s="3480">
        <v>44104</v>
      </c>
      <c r="J120" s="3479" t="s">
        <v>3491</v>
      </c>
      <c r="K120" s="3479" t="s">
        <v>3530</v>
      </c>
      <c r="L120" s="3481">
        <v>90000</v>
      </c>
      <c r="M120" s="3481">
        <v>35287</v>
      </c>
      <c r="N120" s="3481">
        <v>25505</v>
      </c>
      <c r="O120" s="3479" t="s">
        <v>3951</v>
      </c>
      <c r="P120" s="3479" t="s">
        <v>3952</v>
      </c>
    </row>
    <row r="121" spans="1:16" ht="27" hidden="1">
      <c r="A121" s="3479" t="s">
        <v>3953</v>
      </c>
      <c r="B121" s="3479" t="s">
        <v>3954</v>
      </c>
      <c r="C121" s="3479" t="s">
        <v>3487</v>
      </c>
      <c r="D121" s="3479" t="s">
        <v>3603</v>
      </c>
      <c r="E121" s="3479" t="s">
        <v>3955</v>
      </c>
      <c r="F121" s="3479" t="s">
        <v>3814</v>
      </c>
      <c r="G121" s="3479" t="s">
        <v>3814</v>
      </c>
      <c r="H121" s="3479" t="s">
        <v>3518</v>
      </c>
      <c r="I121" s="3480">
        <v>44926</v>
      </c>
      <c r="J121" s="3479" t="s">
        <v>3491</v>
      </c>
      <c r="K121" s="3479" t="s">
        <v>3492</v>
      </c>
      <c r="L121" s="3481">
        <v>84000</v>
      </c>
      <c r="M121" s="3481">
        <v>36197</v>
      </c>
      <c r="N121" s="3481">
        <v>23206</v>
      </c>
      <c r="O121" s="3479" t="s">
        <v>3956</v>
      </c>
      <c r="P121" s="3479" t="s">
        <v>3882</v>
      </c>
    </row>
    <row r="122" spans="1:16" ht="54" hidden="1">
      <c r="A122" s="3479" t="s">
        <v>3957</v>
      </c>
      <c r="B122" s="3479" t="s">
        <v>3958</v>
      </c>
      <c r="C122" s="3479" t="s">
        <v>3487</v>
      </c>
      <c r="D122" s="3479" t="s">
        <v>3603</v>
      </c>
      <c r="E122" s="3479" t="s">
        <v>633</v>
      </c>
      <c r="F122" s="3479" t="s">
        <v>3684</v>
      </c>
      <c r="G122" s="3479" t="s">
        <v>3684</v>
      </c>
      <c r="H122" s="3479" t="s">
        <v>633</v>
      </c>
      <c r="I122" s="3480">
        <v>43738</v>
      </c>
      <c r="J122" s="3479" t="s">
        <v>3491</v>
      </c>
      <c r="K122" s="3479" t="s">
        <v>633</v>
      </c>
      <c r="L122" s="3481">
        <v>118000</v>
      </c>
      <c r="M122" s="3481">
        <v>36212</v>
      </c>
      <c r="N122" s="3481">
        <v>32586</v>
      </c>
      <c r="O122" s="3479" t="s">
        <v>3959</v>
      </c>
      <c r="P122" s="3479" t="s">
        <v>3960</v>
      </c>
    </row>
    <row r="123" spans="1:16" ht="27" hidden="1">
      <c r="A123" s="3479" t="s">
        <v>3961</v>
      </c>
      <c r="B123" s="3479" t="s">
        <v>3901</v>
      </c>
      <c r="C123" s="3479" t="s">
        <v>3487</v>
      </c>
      <c r="D123" s="3479" t="s">
        <v>3962</v>
      </c>
      <c r="E123" s="3479" t="s">
        <v>633</v>
      </c>
      <c r="F123" s="3479" t="s">
        <v>3499</v>
      </c>
      <c r="G123" s="3479" t="s">
        <v>3499</v>
      </c>
      <c r="H123" s="3479" t="s">
        <v>3534</v>
      </c>
      <c r="I123" s="3480">
        <v>45136</v>
      </c>
      <c r="J123" s="3479" t="s">
        <v>3491</v>
      </c>
      <c r="K123" s="3479" t="s">
        <v>3506</v>
      </c>
      <c r="L123" s="3481">
        <v>1085.6500000000001</v>
      </c>
      <c r="M123" s="3481">
        <v>36511</v>
      </c>
      <c r="N123" s="3481">
        <v>297.35000000000002</v>
      </c>
      <c r="O123" s="3479" t="s">
        <v>633</v>
      </c>
      <c r="P123" s="3479" t="s">
        <v>633</v>
      </c>
    </row>
    <row r="124" spans="1:16" ht="27" hidden="1">
      <c r="A124" s="3479" t="s">
        <v>3963</v>
      </c>
      <c r="B124" s="3479" t="s">
        <v>3901</v>
      </c>
      <c r="C124" s="3479" t="s">
        <v>3487</v>
      </c>
      <c r="D124" s="3479" t="s">
        <v>3603</v>
      </c>
      <c r="E124" s="3479" t="s">
        <v>3902</v>
      </c>
      <c r="F124" s="3479" t="s">
        <v>3499</v>
      </c>
      <c r="G124" s="3479" t="s">
        <v>3499</v>
      </c>
      <c r="H124" s="3479" t="s">
        <v>3534</v>
      </c>
      <c r="I124" s="3480">
        <v>45139</v>
      </c>
      <c r="J124" s="3479" t="s">
        <v>3491</v>
      </c>
      <c r="K124" s="3479" t="s">
        <v>3506</v>
      </c>
      <c r="L124" s="3481">
        <v>1617.63</v>
      </c>
      <c r="M124" s="3481">
        <v>36562</v>
      </c>
      <c r="N124" s="3481">
        <v>442.43</v>
      </c>
      <c r="O124" s="3479" t="s">
        <v>3964</v>
      </c>
      <c r="P124" s="3479" t="s">
        <v>3965</v>
      </c>
    </row>
    <row r="125" spans="1:16" ht="27" hidden="1">
      <c r="A125" s="3479" t="s">
        <v>3966</v>
      </c>
      <c r="B125" s="3479" t="s">
        <v>3967</v>
      </c>
      <c r="C125" s="3479" t="s">
        <v>3487</v>
      </c>
      <c r="D125" s="3479" t="s">
        <v>3544</v>
      </c>
      <c r="E125" s="3479" t="s">
        <v>3968</v>
      </c>
      <c r="F125" s="3479" t="s">
        <v>3529</v>
      </c>
      <c r="G125" s="3479" t="s">
        <v>3529</v>
      </c>
      <c r="H125" s="3479" t="s">
        <v>3534</v>
      </c>
      <c r="I125" s="3480">
        <v>44286</v>
      </c>
      <c r="J125" s="3479" t="s">
        <v>3491</v>
      </c>
      <c r="K125" s="3479" t="s">
        <v>633</v>
      </c>
      <c r="L125" s="3481">
        <v>256400</v>
      </c>
      <c r="M125" s="3481">
        <v>36600</v>
      </c>
      <c r="N125" s="3481">
        <v>70000</v>
      </c>
      <c r="O125" s="3479" t="s">
        <v>3969</v>
      </c>
      <c r="P125" s="3479" t="s">
        <v>3970</v>
      </c>
    </row>
    <row r="126" spans="1:16" ht="27" hidden="1">
      <c r="A126" s="3479" t="s">
        <v>3971</v>
      </c>
      <c r="B126" s="3479" t="s">
        <v>3972</v>
      </c>
      <c r="C126" s="3479" t="s">
        <v>3487</v>
      </c>
      <c r="D126" s="3479" t="s">
        <v>3603</v>
      </c>
      <c r="E126" s="3479" t="s">
        <v>3604</v>
      </c>
      <c r="F126" s="3479" t="s">
        <v>3499</v>
      </c>
      <c r="G126" s="3479" t="s">
        <v>3499</v>
      </c>
      <c r="H126" s="3479" t="s">
        <v>3534</v>
      </c>
      <c r="I126" s="3480">
        <v>43697</v>
      </c>
      <c r="J126" s="3479" t="s">
        <v>3491</v>
      </c>
      <c r="K126" s="3479" t="s">
        <v>633</v>
      </c>
      <c r="L126" s="3481">
        <v>518736</v>
      </c>
      <c r="M126" s="3481">
        <v>37224</v>
      </c>
      <c r="N126" s="3481">
        <v>139356</v>
      </c>
      <c r="O126" s="3479" t="s">
        <v>3973</v>
      </c>
      <c r="P126" s="3479" t="s">
        <v>3974</v>
      </c>
    </row>
    <row r="127" spans="1:16" ht="27" hidden="1">
      <c r="A127" s="3479" t="s">
        <v>3751</v>
      </c>
      <c r="B127" s="3479" t="s">
        <v>3752</v>
      </c>
      <c r="C127" s="3479" t="s">
        <v>3487</v>
      </c>
      <c r="D127" s="3479" t="s">
        <v>3753</v>
      </c>
      <c r="E127" s="3479" t="s">
        <v>633</v>
      </c>
      <c r="F127" s="3479" t="s">
        <v>3684</v>
      </c>
      <c r="G127" s="3479" t="s">
        <v>3684</v>
      </c>
      <c r="H127" s="3479" t="s">
        <v>633</v>
      </c>
      <c r="I127" s="3480">
        <v>44720</v>
      </c>
      <c r="J127" s="3479" t="s">
        <v>3491</v>
      </c>
      <c r="K127" s="3479" t="s">
        <v>3530</v>
      </c>
      <c r="L127" s="3481">
        <v>53000</v>
      </c>
      <c r="M127" s="3481">
        <v>37492</v>
      </c>
      <c r="N127" s="3481">
        <v>14136</v>
      </c>
      <c r="O127" s="3479" t="s">
        <v>3975</v>
      </c>
      <c r="P127" s="3479" t="s">
        <v>3976</v>
      </c>
    </row>
    <row r="128" spans="1:16" ht="27" hidden="1">
      <c r="A128" s="3479" t="s">
        <v>3977</v>
      </c>
      <c r="B128" s="3479" t="s">
        <v>3978</v>
      </c>
      <c r="C128" s="3479" t="s">
        <v>3487</v>
      </c>
      <c r="D128" s="3479" t="s">
        <v>3598</v>
      </c>
      <c r="E128" s="3479" t="s">
        <v>3728</v>
      </c>
      <c r="F128" s="3479" t="s">
        <v>3518</v>
      </c>
      <c r="G128" s="3479" t="s">
        <v>3518</v>
      </c>
      <c r="H128" s="3479" t="s">
        <v>633</v>
      </c>
      <c r="I128" s="3480">
        <v>43694</v>
      </c>
      <c r="J128" s="3479" t="s">
        <v>3491</v>
      </c>
      <c r="K128" s="3479" t="s">
        <v>633</v>
      </c>
      <c r="L128" s="3481">
        <v>582872.53</v>
      </c>
      <c r="M128" s="3481">
        <v>37605</v>
      </c>
      <c r="N128" s="3481">
        <v>232500</v>
      </c>
      <c r="O128" s="3479" t="s">
        <v>3935</v>
      </c>
      <c r="P128" s="3479" t="s">
        <v>3979</v>
      </c>
    </row>
    <row r="129" spans="1:16" ht="27" hidden="1">
      <c r="A129" s="3479" t="s">
        <v>3980</v>
      </c>
      <c r="B129" s="3479" t="s">
        <v>3981</v>
      </c>
      <c r="C129" s="3479" t="s">
        <v>3487</v>
      </c>
      <c r="D129" s="3479" t="s">
        <v>3598</v>
      </c>
      <c r="E129" s="3479" t="s">
        <v>3982</v>
      </c>
      <c r="F129" s="3479" t="s">
        <v>3499</v>
      </c>
      <c r="G129" s="3479" t="s">
        <v>3499</v>
      </c>
      <c r="H129" s="3479" t="s">
        <v>3534</v>
      </c>
      <c r="I129" s="3480">
        <v>43646</v>
      </c>
      <c r="J129" s="3479" t="s">
        <v>3491</v>
      </c>
      <c r="K129" s="3479" t="s">
        <v>633</v>
      </c>
      <c r="L129" s="3481">
        <v>583000</v>
      </c>
      <c r="M129" s="3481">
        <v>37613</v>
      </c>
      <c r="N129" s="3481">
        <v>155000</v>
      </c>
      <c r="O129" s="3479" t="s">
        <v>3935</v>
      </c>
      <c r="P129" s="3479" t="s">
        <v>3979</v>
      </c>
    </row>
    <row r="130" spans="1:16" ht="27" hidden="1">
      <c r="A130" s="3479" t="s">
        <v>3983</v>
      </c>
      <c r="B130" s="3479" t="s">
        <v>3984</v>
      </c>
      <c r="C130" s="3479" t="s">
        <v>3487</v>
      </c>
      <c r="D130" s="3479" t="s">
        <v>3517</v>
      </c>
      <c r="E130" s="3479" t="s">
        <v>3985</v>
      </c>
      <c r="F130" s="3479" t="s">
        <v>673</v>
      </c>
      <c r="G130" s="3479" t="s">
        <v>3572</v>
      </c>
      <c r="H130" s="3479" t="s">
        <v>633</v>
      </c>
      <c r="I130" s="3480">
        <v>43430</v>
      </c>
      <c r="J130" s="3479" t="s">
        <v>3491</v>
      </c>
      <c r="K130" s="3479" t="s">
        <v>633</v>
      </c>
      <c r="L130" s="3481">
        <v>256000</v>
      </c>
      <c r="M130" s="3481">
        <v>37900</v>
      </c>
      <c r="N130" s="3481">
        <v>67546</v>
      </c>
      <c r="O130" s="3479" t="s">
        <v>3986</v>
      </c>
      <c r="P130" s="3479" t="s">
        <v>3987</v>
      </c>
    </row>
    <row r="131" spans="1:16">
      <c r="A131" s="3479" t="s">
        <v>3988</v>
      </c>
      <c r="B131" s="3479" t="s">
        <v>3989</v>
      </c>
      <c r="C131" s="3479" t="s">
        <v>3487</v>
      </c>
      <c r="D131" s="3479" t="s">
        <v>3544</v>
      </c>
      <c r="E131" s="3479" t="s">
        <v>3990</v>
      </c>
      <c r="F131" s="3479" t="s">
        <v>673</v>
      </c>
      <c r="G131" s="3479" t="s">
        <v>3572</v>
      </c>
      <c r="H131" s="3479" t="s">
        <v>3534</v>
      </c>
      <c r="I131" s="3480">
        <v>45107</v>
      </c>
      <c r="J131" s="3479" t="s">
        <v>3491</v>
      </c>
      <c r="K131" s="3479" t="s">
        <v>3530</v>
      </c>
      <c r="L131" s="3481">
        <v>60900</v>
      </c>
      <c r="M131" s="3481">
        <v>37986</v>
      </c>
      <c r="N131" s="3481">
        <v>16032</v>
      </c>
      <c r="O131" s="3479" t="s">
        <v>3991</v>
      </c>
      <c r="P131" s="3479" t="s">
        <v>3992</v>
      </c>
    </row>
    <row r="132" spans="1:16" ht="40.5">
      <c r="A132" s="3479" t="s">
        <v>3993</v>
      </c>
      <c r="B132" s="3479" t="s">
        <v>3994</v>
      </c>
      <c r="C132" s="3479" t="s">
        <v>3487</v>
      </c>
      <c r="D132" s="3479" t="s">
        <v>3544</v>
      </c>
      <c r="E132" s="3479" t="s">
        <v>3845</v>
      </c>
      <c r="F132" s="3479" t="s">
        <v>3499</v>
      </c>
      <c r="G132" s="3479" t="s">
        <v>3499</v>
      </c>
      <c r="H132" s="3479" t="s">
        <v>3518</v>
      </c>
      <c r="I132" s="3480">
        <v>45042</v>
      </c>
      <c r="J132" s="3479" t="s">
        <v>3491</v>
      </c>
      <c r="K132" s="3479" t="s">
        <v>3492</v>
      </c>
      <c r="L132" s="3481">
        <v>33839</v>
      </c>
      <c r="M132" s="3481">
        <v>38000</v>
      </c>
      <c r="N132" s="3481">
        <v>8905</v>
      </c>
      <c r="O132" s="3479" t="s">
        <v>3995</v>
      </c>
      <c r="P132" s="3479" t="s">
        <v>3996</v>
      </c>
    </row>
    <row r="133" spans="1:16" ht="27" hidden="1">
      <c r="A133" s="3479" t="s">
        <v>3997</v>
      </c>
      <c r="B133" s="3479" t="s">
        <v>3994</v>
      </c>
      <c r="C133" s="3479" t="s">
        <v>3487</v>
      </c>
      <c r="D133" s="3479" t="s">
        <v>3544</v>
      </c>
      <c r="E133" s="3479" t="s">
        <v>3845</v>
      </c>
      <c r="F133" s="3479" t="s">
        <v>3499</v>
      </c>
      <c r="G133" s="3479" t="s">
        <v>3499</v>
      </c>
      <c r="H133" s="3479" t="s">
        <v>3518</v>
      </c>
      <c r="I133" s="3480">
        <v>44553</v>
      </c>
      <c r="J133" s="3479" t="s">
        <v>3491</v>
      </c>
      <c r="K133" s="3479" t="s">
        <v>3492</v>
      </c>
      <c r="L133" s="3481">
        <v>42695</v>
      </c>
      <c r="M133" s="3481">
        <v>38002</v>
      </c>
      <c r="N133" s="3481">
        <v>11235</v>
      </c>
      <c r="O133" s="3479" t="s">
        <v>3998</v>
      </c>
      <c r="P133" s="3479" t="s">
        <v>3996</v>
      </c>
    </row>
    <row r="134" spans="1:16" ht="27" hidden="1">
      <c r="A134" s="3479" t="s">
        <v>3999</v>
      </c>
      <c r="B134" s="3479" t="s">
        <v>4000</v>
      </c>
      <c r="C134" s="3479" t="s">
        <v>3487</v>
      </c>
      <c r="D134" s="3479" t="s">
        <v>3544</v>
      </c>
      <c r="E134" s="3479" t="s">
        <v>3633</v>
      </c>
      <c r="F134" s="3479" t="s">
        <v>3499</v>
      </c>
      <c r="G134" s="3479" t="s">
        <v>3499</v>
      </c>
      <c r="H134" s="3479" t="s">
        <v>633</v>
      </c>
      <c r="I134" s="3480">
        <v>43942</v>
      </c>
      <c r="J134" s="3479" t="s">
        <v>3491</v>
      </c>
      <c r="K134" s="3479" t="s">
        <v>3492</v>
      </c>
      <c r="L134" s="3481">
        <v>75000</v>
      </c>
      <c r="M134" s="3481">
        <v>38080</v>
      </c>
      <c r="N134" s="3481">
        <v>19659</v>
      </c>
      <c r="O134" s="3479" t="s">
        <v>4001</v>
      </c>
      <c r="P134" s="3479" t="s">
        <v>4002</v>
      </c>
    </row>
    <row r="135" spans="1:16" ht="40.5" hidden="1">
      <c r="A135" s="3479" t="s">
        <v>4003</v>
      </c>
      <c r="B135" s="3479" t="s">
        <v>4004</v>
      </c>
      <c r="C135" s="3479" t="s">
        <v>3487</v>
      </c>
      <c r="D135" s="3479" t="s">
        <v>3603</v>
      </c>
      <c r="E135" s="3479" t="s">
        <v>3637</v>
      </c>
      <c r="F135" s="3479" t="s">
        <v>3684</v>
      </c>
      <c r="G135" s="3479" t="s">
        <v>3684</v>
      </c>
      <c r="H135" s="3479" t="s">
        <v>633</v>
      </c>
      <c r="I135" s="3480">
        <v>43738</v>
      </c>
      <c r="J135" s="3479" t="s">
        <v>3491</v>
      </c>
      <c r="K135" s="3479" t="s">
        <v>633</v>
      </c>
      <c r="L135" s="3481">
        <v>44000</v>
      </c>
      <c r="M135" s="3481">
        <v>38694</v>
      </c>
      <c r="N135" s="3481">
        <v>11371</v>
      </c>
      <c r="O135" s="3479" t="s">
        <v>4005</v>
      </c>
      <c r="P135" s="3479" t="s">
        <v>4006</v>
      </c>
    </row>
    <row r="136" spans="1:16" ht="27">
      <c r="A136" s="3479" t="s">
        <v>4007</v>
      </c>
      <c r="B136" s="3479" t="s">
        <v>4008</v>
      </c>
      <c r="C136" s="3479" t="s">
        <v>3487</v>
      </c>
      <c r="D136" s="3479" t="s">
        <v>3753</v>
      </c>
      <c r="E136" s="3479" t="s">
        <v>4009</v>
      </c>
      <c r="F136" s="3479" t="s">
        <v>3499</v>
      </c>
      <c r="G136" s="3479" t="s">
        <v>3499</v>
      </c>
      <c r="H136" s="3479" t="s">
        <v>3561</v>
      </c>
      <c r="I136" s="3480">
        <v>44866</v>
      </c>
      <c r="J136" s="3479" t="s">
        <v>3491</v>
      </c>
      <c r="K136" s="3479" t="s">
        <v>3492</v>
      </c>
      <c r="L136" s="3481">
        <v>24200</v>
      </c>
      <c r="M136" s="3481">
        <v>39076</v>
      </c>
      <c r="N136" s="3481">
        <v>6193</v>
      </c>
      <c r="O136" s="3479" t="s">
        <v>4010</v>
      </c>
      <c r="P136" s="3479" t="s">
        <v>4011</v>
      </c>
    </row>
    <row r="137" spans="1:16" ht="27" hidden="1">
      <c r="A137" s="3479" t="s">
        <v>4012</v>
      </c>
      <c r="B137" s="3479" t="s">
        <v>4013</v>
      </c>
      <c r="C137" s="3479" t="s">
        <v>3487</v>
      </c>
      <c r="D137" s="3479" t="s">
        <v>3544</v>
      </c>
      <c r="E137" s="3479" t="s">
        <v>3778</v>
      </c>
      <c r="F137" s="3479" t="s">
        <v>3684</v>
      </c>
      <c r="G137" s="3479" t="s">
        <v>3684</v>
      </c>
      <c r="H137" s="3479" t="s">
        <v>3534</v>
      </c>
      <c r="I137" s="3480">
        <v>43498</v>
      </c>
      <c r="J137" s="3479" t="s">
        <v>3491</v>
      </c>
      <c r="K137" s="3479" t="s">
        <v>3530</v>
      </c>
      <c r="L137" s="3481">
        <v>270000</v>
      </c>
      <c r="M137" s="3481">
        <v>39359</v>
      </c>
      <c r="N137" s="3481">
        <v>68600</v>
      </c>
      <c r="O137" s="3479" t="s">
        <v>4014</v>
      </c>
      <c r="P137" s="3479" t="s">
        <v>4015</v>
      </c>
    </row>
    <row r="138" spans="1:16" hidden="1">
      <c r="A138" s="3479" t="s">
        <v>4016</v>
      </c>
      <c r="B138" s="3479" t="s">
        <v>4017</v>
      </c>
      <c r="C138" s="3479" t="s">
        <v>3487</v>
      </c>
      <c r="D138" s="3479" t="s">
        <v>3603</v>
      </c>
      <c r="E138" s="3479" t="s">
        <v>4018</v>
      </c>
      <c r="F138" s="3479" t="s">
        <v>3499</v>
      </c>
      <c r="G138" s="3479" t="s">
        <v>3499</v>
      </c>
      <c r="H138" s="3479" t="s">
        <v>633</v>
      </c>
      <c r="I138" s="3480">
        <v>44469</v>
      </c>
      <c r="J138" s="3479" t="s">
        <v>3491</v>
      </c>
      <c r="K138" s="3479" t="s">
        <v>3506</v>
      </c>
      <c r="L138" s="3481">
        <v>164500</v>
      </c>
      <c r="M138" s="3481">
        <v>39929</v>
      </c>
      <c r="N138" s="3483" t="s">
        <v>633</v>
      </c>
      <c r="O138" s="3479" t="s">
        <v>4019</v>
      </c>
      <c r="P138" s="3479" t="s">
        <v>4020</v>
      </c>
    </row>
    <row r="139" spans="1:16" ht="27">
      <c r="A139" s="3479" t="s">
        <v>4021</v>
      </c>
      <c r="B139" s="3479" t="s">
        <v>4022</v>
      </c>
      <c r="C139" s="3479" t="s">
        <v>3487</v>
      </c>
      <c r="D139" s="3479" t="s">
        <v>633</v>
      </c>
      <c r="E139" s="3479" t="s">
        <v>633</v>
      </c>
      <c r="F139" s="3479" t="s">
        <v>3499</v>
      </c>
      <c r="G139" s="3479" t="s">
        <v>3499</v>
      </c>
      <c r="H139" s="3479" t="s">
        <v>633</v>
      </c>
      <c r="I139" s="3480">
        <v>44773</v>
      </c>
      <c r="J139" s="3479" t="s">
        <v>3491</v>
      </c>
      <c r="K139" s="3479" t="s">
        <v>3492</v>
      </c>
      <c r="L139" s="3481">
        <v>150000</v>
      </c>
      <c r="M139" s="3481">
        <v>40000</v>
      </c>
      <c r="N139" s="3481">
        <v>37500</v>
      </c>
      <c r="O139" s="3479" t="s">
        <v>4023</v>
      </c>
      <c r="P139" s="3479" t="s">
        <v>3882</v>
      </c>
    </row>
    <row r="140" spans="1:16" hidden="1">
      <c r="A140" s="3479" t="s">
        <v>4024</v>
      </c>
      <c r="B140" s="3479" t="s">
        <v>4025</v>
      </c>
      <c r="C140" s="3479" t="s">
        <v>3487</v>
      </c>
      <c r="D140" s="3479" t="s">
        <v>3544</v>
      </c>
      <c r="E140" s="3479" t="s">
        <v>633</v>
      </c>
      <c r="F140" s="3479" t="s">
        <v>3684</v>
      </c>
      <c r="G140" s="3479" t="s">
        <v>3684</v>
      </c>
      <c r="H140" s="3479" t="s">
        <v>3534</v>
      </c>
      <c r="I140" s="3480">
        <v>44334</v>
      </c>
      <c r="J140" s="3479" t="s">
        <v>3491</v>
      </c>
      <c r="K140" s="3479" t="s">
        <v>3530</v>
      </c>
      <c r="L140" s="3481">
        <v>60000</v>
      </c>
      <c r="M140" s="3481">
        <v>40000</v>
      </c>
      <c r="N140" s="3483" t="s">
        <v>633</v>
      </c>
      <c r="O140" s="3479" t="s">
        <v>4026</v>
      </c>
      <c r="P140" s="3479" t="s">
        <v>4027</v>
      </c>
    </row>
    <row r="141" spans="1:16" ht="27" hidden="1">
      <c r="A141" s="3479" t="s">
        <v>4028</v>
      </c>
      <c r="B141" s="3479" t="s">
        <v>4029</v>
      </c>
      <c r="C141" s="3479" t="s">
        <v>3487</v>
      </c>
      <c r="D141" s="3479" t="s">
        <v>3603</v>
      </c>
      <c r="E141" s="3479" t="s">
        <v>3786</v>
      </c>
      <c r="F141" s="3479" t="s">
        <v>3546</v>
      </c>
      <c r="G141" s="3479" t="s">
        <v>3546</v>
      </c>
      <c r="H141" s="3479" t="s">
        <v>3534</v>
      </c>
      <c r="I141" s="3480">
        <v>44165</v>
      </c>
      <c r="J141" s="3479" t="s">
        <v>3491</v>
      </c>
      <c r="K141" s="3479" t="s">
        <v>3492</v>
      </c>
      <c r="L141" s="3481">
        <v>267950</v>
      </c>
      <c r="M141" s="3481">
        <v>40000</v>
      </c>
      <c r="N141" s="3481">
        <v>66988</v>
      </c>
      <c r="O141" s="3479" t="s">
        <v>4030</v>
      </c>
      <c r="P141" s="3479" t="s">
        <v>3836</v>
      </c>
    </row>
    <row r="142" spans="1:16">
      <c r="A142" s="3479" t="s">
        <v>4031</v>
      </c>
      <c r="B142" s="3479" t="s">
        <v>4032</v>
      </c>
      <c r="C142" s="3479" t="s">
        <v>3487</v>
      </c>
      <c r="D142" s="3479" t="s">
        <v>3598</v>
      </c>
      <c r="E142" s="3479" t="s">
        <v>3672</v>
      </c>
      <c r="F142" s="3479" t="s">
        <v>3499</v>
      </c>
      <c r="G142" s="3479" t="s">
        <v>3499</v>
      </c>
      <c r="H142" s="3479" t="s">
        <v>3534</v>
      </c>
      <c r="I142" s="3480">
        <v>44592</v>
      </c>
      <c r="J142" s="3479" t="s">
        <v>3491</v>
      </c>
      <c r="K142" s="3479" t="s">
        <v>3492</v>
      </c>
      <c r="L142" s="3481">
        <v>102200</v>
      </c>
      <c r="M142" s="3481">
        <v>40581</v>
      </c>
      <c r="N142" s="3481">
        <v>25184</v>
      </c>
      <c r="O142" s="3479" t="s">
        <v>633</v>
      </c>
      <c r="P142" s="3479" t="s">
        <v>4033</v>
      </c>
    </row>
    <row r="143" spans="1:16" hidden="1">
      <c r="A143" s="3479" t="s">
        <v>4034</v>
      </c>
      <c r="B143" s="3479" t="s">
        <v>4035</v>
      </c>
      <c r="C143" s="3479" t="s">
        <v>3487</v>
      </c>
      <c r="D143" s="3479" t="s">
        <v>3497</v>
      </c>
      <c r="E143" s="3479" t="s">
        <v>633</v>
      </c>
      <c r="F143" s="3479" t="s">
        <v>3499</v>
      </c>
      <c r="G143" s="3479" t="s">
        <v>3499</v>
      </c>
      <c r="H143" s="3479" t="s">
        <v>633</v>
      </c>
      <c r="I143" s="3480">
        <v>44408</v>
      </c>
      <c r="J143" s="3479" t="s">
        <v>3491</v>
      </c>
      <c r="K143" s="3479" t="s">
        <v>3492</v>
      </c>
      <c r="L143" s="3481">
        <v>200000</v>
      </c>
      <c r="M143" s="3481">
        <v>40816</v>
      </c>
      <c r="N143" s="3483" t="s">
        <v>633</v>
      </c>
      <c r="O143" s="3479" t="s">
        <v>4036</v>
      </c>
      <c r="P143" s="3479" t="s">
        <v>3882</v>
      </c>
    </row>
    <row r="144" spans="1:16" ht="27" hidden="1">
      <c r="A144" s="3479" t="s">
        <v>4037</v>
      </c>
      <c r="B144" s="3479" t="s">
        <v>4038</v>
      </c>
      <c r="C144" s="3479" t="s">
        <v>3487</v>
      </c>
      <c r="D144" s="3479" t="s">
        <v>633</v>
      </c>
      <c r="E144" s="3479" t="s">
        <v>633</v>
      </c>
      <c r="F144" s="3479" t="s">
        <v>3499</v>
      </c>
      <c r="G144" s="3479" t="s">
        <v>3499</v>
      </c>
      <c r="H144" s="3479" t="s">
        <v>633</v>
      </c>
      <c r="I144" s="3480">
        <v>44469</v>
      </c>
      <c r="J144" s="3479" t="s">
        <v>3491</v>
      </c>
      <c r="K144" s="3479" t="s">
        <v>3492</v>
      </c>
      <c r="L144" s="3481">
        <v>157500</v>
      </c>
      <c r="M144" s="3481">
        <v>41448</v>
      </c>
      <c r="N144" s="3481">
        <v>37999</v>
      </c>
      <c r="O144" s="3479" t="s">
        <v>4039</v>
      </c>
      <c r="P144" s="3479" t="s">
        <v>4040</v>
      </c>
    </row>
    <row r="145" spans="1:16" ht="27" hidden="1">
      <c r="A145" s="3479" t="s">
        <v>4041</v>
      </c>
      <c r="B145" s="3479" t="s">
        <v>4042</v>
      </c>
      <c r="C145" s="3479" t="s">
        <v>3487</v>
      </c>
      <c r="D145" s="3479" t="s">
        <v>3544</v>
      </c>
      <c r="E145" s="3479" t="s">
        <v>633</v>
      </c>
      <c r="F145" s="3479" t="s">
        <v>3499</v>
      </c>
      <c r="G145" s="3479" t="s">
        <v>3499</v>
      </c>
      <c r="H145" s="3479" t="s">
        <v>633</v>
      </c>
      <c r="I145" s="3480">
        <v>43432</v>
      </c>
      <c r="J145" s="3479" t="s">
        <v>3491</v>
      </c>
      <c r="K145" s="3479" t="s">
        <v>3530</v>
      </c>
      <c r="L145" s="3481">
        <v>164549.93</v>
      </c>
      <c r="M145" s="3481">
        <v>41788</v>
      </c>
      <c r="N145" s="3481">
        <v>39377</v>
      </c>
      <c r="O145" s="3479" t="s">
        <v>4043</v>
      </c>
      <c r="P145" s="3479" t="s">
        <v>4044</v>
      </c>
    </row>
    <row r="146" spans="1:16" ht="27" hidden="1">
      <c r="A146" s="3479" t="s">
        <v>4045</v>
      </c>
      <c r="B146" s="3479" t="s">
        <v>4046</v>
      </c>
      <c r="C146" s="3479" t="s">
        <v>3487</v>
      </c>
      <c r="D146" s="3479" t="s">
        <v>3603</v>
      </c>
      <c r="E146" s="3479" t="s">
        <v>4047</v>
      </c>
      <c r="F146" s="3479" t="s">
        <v>673</v>
      </c>
      <c r="G146" s="3479" t="s">
        <v>3572</v>
      </c>
      <c r="H146" s="3479" t="s">
        <v>633</v>
      </c>
      <c r="I146" s="3480">
        <v>44196</v>
      </c>
      <c r="J146" s="3479" t="s">
        <v>3491</v>
      </c>
      <c r="K146" s="3479" t="s">
        <v>3492</v>
      </c>
      <c r="L146" s="3481">
        <v>64000</v>
      </c>
      <c r="M146" s="3481">
        <v>41931</v>
      </c>
      <c r="N146" s="3481">
        <v>15263</v>
      </c>
      <c r="O146" s="3479" t="s">
        <v>633</v>
      </c>
      <c r="P146" s="3479" t="s">
        <v>4048</v>
      </c>
    </row>
    <row r="147" spans="1:16" ht="54" hidden="1">
      <c r="A147" s="3479" t="s">
        <v>4049</v>
      </c>
      <c r="B147" s="3479" t="s">
        <v>4050</v>
      </c>
      <c r="C147" s="3479" t="s">
        <v>3487</v>
      </c>
      <c r="D147" s="3479" t="s">
        <v>3544</v>
      </c>
      <c r="E147" s="3479" t="s">
        <v>3633</v>
      </c>
      <c r="F147" s="3479" t="s">
        <v>3499</v>
      </c>
      <c r="G147" s="3479" t="s">
        <v>3499</v>
      </c>
      <c r="H147" s="3479" t="s">
        <v>633</v>
      </c>
      <c r="I147" s="3480">
        <v>43710</v>
      </c>
      <c r="J147" s="3479" t="s">
        <v>3491</v>
      </c>
      <c r="K147" s="3479" t="s">
        <v>3530</v>
      </c>
      <c r="L147" s="3481">
        <v>17860</v>
      </c>
      <c r="M147" s="3481">
        <v>42113</v>
      </c>
      <c r="N147" s="3481">
        <v>4241</v>
      </c>
      <c r="O147" s="3479" t="s">
        <v>4051</v>
      </c>
      <c r="P147" s="3479" t="s">
        <v>4052</v>
      </c>
    </row>
    <row r="148" spans="1:16" ht="27" hidden="1">
      <c r="A148" s="3479" t="s">
        <v>4053</v>
      </c>
      <c r="B148" s="3479" t="s">
        <v>4054</v>
      </c>
      <c r="C148" s="3479" t="s">
        <v>3487</v>
      </c>
      <c r="D148" s="3479" t="s">
        <v>3523</v>
      </c>
      <c r="E148" s="3479" t="s">
        <v>633</v>
      </c>
      <c r="F148" s="3479" t="s">
        <v>673</v>
      </c>
      <c r="G148" s="3479" t="s">
        <v>3572</v>
      </c>
      <c r="H148" s="3479" t="s">
        <v>633</v>
      </c>
      <c r="I148" s="3480">
        <v>43812</v>
      </c>
      <c r="J148" s="3479" t="s">
        <v>3491</v>
      </c>
      <c r="K148" s="3479" t="s">
        <v>633</v>
      </c>
      <c r="L148" s="3481">
        <v>248200</v>
      </c>
      <c r="M148" s="3481">
        <v>42543</v>
      </c>
      <c r="N148" s="3481">
        <v>58348</v>
      </c>
      <c r="O148" s="3479" t="s">
        <v>4055</v>
      </c>
      <c r="P148" s="3479" t="s">
        <v>4056</v>
      </c>
    </row>
    <row r="149" spans="1:16" ht="40.5" hidden="1">
      <c r="A149" s="3479" t="s">
        <v>4057</v>
      </c>
      <c r="B149" s="3479" t="s">
        <v>4058</v>
      </c>
      <c r="C149" s="3479" t="s">
        <v>3487</v>
      </c>
      <c r="D149" s="3479" t="s">
        <v>3603</v>
      </c>
      <c r="E149" s="3479" t="s">
        <v>633</v>
      </c>
      <c r="F149" s="3479" t="s">
        <v>3684</v>
      </c>
      <c r="G149" s="3479" t="s">
        <v>3684</v>
      </c>
      <c r="H149" s="3479" t="s">
        <v>633</v>
      </c>
      <c r="I149" s="3480">
        <v>42916</v>
      </c>
      <c r="J149" s="3479" t="s">
        <v>3491</v>
      </c>
      <c r="K149" s="3479" t="s">
        <v>633</v>
      </c>
      <c r="L149" s="3481">
        <v>183000</v>
      </c>
      <c r="M149" s="3481">
        <v>43000</v>
      </c>
      <c r="N149" s="3481">
        <v>42600</v>
      </c>
      <c r="O149" s="3479" t="s">
        <v>4059</v>
      </c>
      <c r="P149" s="3479" t="s">
        <v>4060</v>
      </c>
    </row>
    <row r="150" spans="1:16" ht="27" hidden="1">
      <c r="A150" s="3479" t="s">
        <v>4061</v>
      </c>
      <c r="B150" s="3479" t="s">
        <v>4062</v>
      </c>
      <c r="C150" s="3479" t="s">
        <v>3487</v>
      </c>
      <c r="D150" s="3479" t="s">
        <v>3517</v>
      </c>
      <c r="E150" s="3479" t="s">
        <v>4063</v>
      </c>
      <c r="F150" s="3479" t="s">
        <v>3499</v>
      </c>
      <c r="G150" s="3479" t="s">
        <v>3499</v>
      </c>
      <c r="H150" s="3479" t="s">
        <v>3534</v>
      </c>
      <c r="I150" s="3480">
        <v>44196</v>
      </c>
      <c r="J150" s="3479" t="s">
        <v>3491</v>
      </c>
      <c r="K150" s="3479" t="s">
        <v>3492</v>
      </c>
      <c r="L150" s="3481">
        <v>327900</v>
      </c>
      <c r="M150" s="3481">
        <v>43208</v>
      </c>
      <c r="N150" s="3481">
        <v>76074</v>
      </c>
      <c r="O150" s="3479" t="s">
        <v>4064</v>
      </c>
      <c r="P150" s="3479" t="s">
        <v>4065</v>
      </c>
    </row>
    <row r="151" spans="1:16" ht="40.5" hidden="1">
      <c r="A151" s="3479" t="s">
        <v>4066</v>
      </c>
      <c r="B151" s="3479" t="s">
        <v>4067</v>
      </c>
      <c r="C151" s="3479" t="s">
        <v>3487</v>
      </c>
      <c r="D151" s="3479" t="s">
        <v>3544</v>
      </c>
      <c r="E151" s="3479" t="s">
        <v>3778</v>
      </c>
      <c r="F151" s="3479" t="s">
        <v>673</v>
      </c>
      <c r="G151" s="3479" t="s">
        <v>3572</v>
      </c>
      <c r="H151" s="3479" t="s">
        <v>3534</v>
      </c>
      <c r="I151" s="3480">
        <v>44193</v>
      </c>
      <c r="J151" s="3479" t="s">
        <v>3491</v>
      </c>
      <c r="K151" s="3479" t="s">
        <v>3492</v>
      </c>
      <c r="L151" s="3481">
        <v>90000</v>
      </c>
      <c r="M151" s="3481">
        <v>43326</v>
      </c>
      <c r="N151" s="3481">
        <v>20773</v>
      </c>
      <c r="O151" s="3479" t="s">
        <v>4068</v>
      </c>
      <c r="P151" s="3479" t="s">
        <v>4069</v>
      </c>
    </row>
    <row r="152" spans="1:16" ht="27" hidden="1">
      <c r="A152" s="3479" t="s">
        <v>4070</v>
      </c>
      <c r="B152" s="3479" t="s">
        <v>4071</v>
      </c>
      <c r="C152" s="3479" t="s">
        <v>3487</v>
      </c>
      <c r="D152" s="3479" t="s">
        <v>3753</v>
      </c>
      <c r="E152" s="3479" t="s">
        <v>633</v>
      </c>
      <c r="F152" s="3479" t="s">
        <v>3529</v>
      </c>
      <c r="G152" s="3479" t="s">
        <v>3529</v>
      </c>
      <c r="H152" s="3479" t="s">
        <v>3561</v>
      </c>
      <c r="I152" s="3480">
        <v>43947</v>
      </c>
      <c r="J152" s="3479" t="s">
        <v>3491</v>
      </c>
      <c r="K152" s="3479" t="s">
        <v>3530</v>
      </c>
      <c r="L152" s="3481">
        <v>120000</v>
      </c>
      <c r="M152" s="3481">
        <v>43500</v>
      </c>
      <c r="N152" s="3481">
        <v>27564</v>
      </c>
      <c r="O152" s="3479" t="s">
        <v>4072</v>
      </c>
      <c r="P152" s="3479" t="s">
        <v>4073</v>
      </c>
    </row>
    <row r="153" spans="1:16" hidden="1">
      <c r="A153" s="3479" t="s">
        <v>4074</v>
      </c>
      <c r="B153" s="3479" t="s">
        <v>4075</v>
      </c>
      <c r="C153" s="3479" t="s">
        <v>3487</v>
      </c>
      <c r="D153" s="3479" t="s">
        <v>3603</v>
      </c>
      <c r="E153" s="3479" t="s">
        <v>4076</v>
      </c>
      <c r="F153" s="3479" t="s">
        <v>3499</v>
      </c>
      <c r="G153" s="3479" t="s">
        <v>3499</v>
      </c>
      <c r="H153" s="3479" t="s">
        <v>3534</v>
      </c>
      <c r="I153" s="3480">
        <v>43652</v>
      </c>
      <c r="J153" s="3479" t="s">
        <v>3491</v>
      </c>
      <c r="K153" s="3479" t="s">
        <v>3530</v>
      </c>
      <c r="L153" s="3481">
        <v>173635</v>
      </c>
      <c r="M153" s="3481">
        <v>44358</v>
      </c>
      <c r="N153" s="3481">
        <v>39144</v>
      </c>
      <c r="O153" s="3479" t="s">
        <v>633</v>
      </c>
      <c r="P153" s="3479" t="s">
        <v>633</v>
      </c>
    </row>
    <row r="154" spans="1:16" ht="40.5" hidden="1">
      <c r="A154" s="3479" t="s">
        <v>4077</v>
      </c>
      <c r="B154" s="3479" t="s">
        <v>4078</v>
      </c>
      <c r="C154" s="3479" t="s">
        <v>3487</v>
      </c>
      <c r="D154" s="3479" t="s">
        <v>3598</v>
      </c>
      <c r="E154" s="3479" t="s">
        <v>633</v>
      </c>
      <c r="F154" s="3479" t="s">
        <v>3499</v>
      </c>
      <c r="G154" s="3479" t="s">
        <v>3499</v>
      </c>
      <c r="H154" s="3479" t="s">
        <v>633</v>
      </c>
      <c r="I154" s="3480">
        <v>44043</v>
      </c>
      <c r="J154" s="3479" t="s">
        <v>3491</v>
      </c>
      <c r="K154" s="3479" t="s">
        <v>3492</v>
      </c>
      <c r="L154" s="3481">
        <v>331715</v>
      </c>
      <c r="M154" s="3481">
        <v>44422</v>
      </c>
      <c r="N154" s="3481">
        <v>74676</v>
      </c>
      <c r="O154" s="3479" t="s">
        <v>4079</v>
      </c>
      <c r="P154" s="3479" t="s">
        <v>4080</v>
      </c>
    </row>
    <row r="155" spans="1:16" ht="27" hidden="1">
      <c r="A155" s="3479" t="s">
        <v>4081</v>
      </c>
      <c r="B155" s="3479" t="s">
        <v>4082</v>
      </c>
      <c r="C155" s="3479" t="s">
        <v>3487</v>
      </c>
      <c r="D155" s="3479" t="s">
        <v>3603</v>
      </c>
      <c r="E155" s="3479" t="s">
        <v>3645</v>
      </c>
      <c r="F155" s="3479" t="s">
        <v>3499</v>
      </c>
      <c r="G155" s="3479" t="s">
        <v>3499</v>
      </c>
      <c r="H155" s="3479" t="s">
        <v>3534</v>
      </c>
      <c r="I155" s="3480">
        <v>45141</v>
      </c>
      <c r="J155" s="3479" t="s">
        <v>3491</v>
      </c>
      <c r="K155" s="3479" t="s">
        <v>3506</v>
      </c>
      <c r="L155" s="3481">
        <v>14001.63</v>
      </c>
      <c r="M155" s="3481">
        <v>44497</v>
      </c>
      <c r="N155" s="3481">
        <v>3146.6</v>
      </c>
      <c r="O155" s="3479" t="s">
        <v>4083</v>
      </c>
      <c r="P155" s="3479" t="s">
        <v>4084</v>
      </c>
    </row>
    <row r="156" spans="1:16" hidden="1">
      <c r="A156" s="3479" t="s">
        <v>4085</v>
      </c>
      <c r="B156" s="3479" t="s">
        <v>4086</v>
      </c>
      <c r="C156" s="3479" t="s">
        <v>3487</v>
      </c>
      <c r="D156" s="3479" t="s">
        <v>3551</v>
      </c>
      <c r="E156" s="3479" t="s">
        <v>4087</v>
      </c>
      <c r="F156" s="3479" t="s">
        <v>3529</v>
      </c>
      <c r="G156" s="3479" t="s">
        <v>3529</v>
      </c>
      <c r="H156" s="3479" t="s">
        <v>3561</v>
      </c>
      <c r="I156" s="3480">
        <v>43465</v>
      </c>
      <c r="J156" s="3479" t="s">
        <v>3491</v>
      </c>
      <c r="K156" s="3479" t="s">
        <v>633</v>
      </c>
      <c r="L156" s="3481">
        <v>312000</v>
      </c>
      <c r="M156" s="3481">
        <v>44571</v>
      </c>
      <c r="N156" s="3481">
        <v>70000</v>
      </c>
      <c r="O156" s="3479" t="s">
        <v>4088</v>
      </c>
      <c r="P156" s="3479" t="s">
        <v>633</v>
      </c>
    </row>
    <row r="157" spans="1:16" ht="27" hidden="1">
      <c r="A157" s="3479" t="s">
        <v>4089</v>
      </c>
      <c r="B157" s="3479" t="s">
        <v>4090</v>
      </c>
      <c r="C157" s="3479" t="s">
        <v>3487</v>
      </c>
      <c r="D157" s="3479" t="s">
        <v>3523</v>
      </c>
      <c r="E157" s="3479" t="s">
        <v>4091</v>
      </c>
      <c r="F157" s="3479" t="s">
        <v>3499</v>
      </c>
      <c r="G157" s="3479" t="s">
        <v>3499</v>
      </c>
      <c r="H157" s="3479" t="s">
        <v>3534</v>
      </c>
      <c r="I157" s="3480">
        <v>44286</v>
      </c>
      <c r="J157" s="3479" t="s">
        <v>3491</v>
      </c>
      <c r="K157" s="3479" t="s">
        <v>3492</v>
      </c>
      <c r="L157" s="3481">
        <v>108400</v>
      </c>
      <c r="M157" s="3481">
        <v>44697</v>
      </c>
      <c r="N157" s="3481">
        <v>24252</v>
      </c>
      <c r="O157" s="3479" t="s">
        <v>4092</v>
      </c>
      <c r="P157" s="3479" t="s">
        <v>4093</v>
      </c>
    </row>
    <row r="158" spans="1:16" ht="40.5">
      <c r="A158" s="3479" t="s">
        <v>4094</v>
      </c>
      <c r="B158" s="3479" t="s">
        <v>4095</v>
      </c>
      <c r="C158" s="3479" t="s">
        <v>3487</v>
      </c>
      <c r="D158" s="3479" t="s">
        <v>3497</v>
      </c>
      <c r="E158" s="3479" t="s">
        <v>3498</v>
      </c>
      <c r="F158" s="3479" t="s">
        <v>3499</v>
      </c>
      <c r="G158" s="3479" t="s">
        <v>3499</v>
      </c>
      <c r="H158" s="3479" t="s">
        <v>3534</v>
      </c>
      <c r="I158" s="3480">
        <v>44835</v>
      </c>
      <c r="J158" s="3479" t="s">
        <v>3491</v>
      </c>
      <c r="K158" s="3479" t="s">
        <v>3492</v>
      </c>
      <c r="L158" s="3481">
        <v>14800</v>
      </c>
      <c r="M158" s="3481">
        <v>44848</v>
      </c>
      <c r="N158" s="3481">
        <v>3300</v>
      </c>
      <c r="O158" s="3479" t="s">
        <v>633</v>
      </c>
      <c r="P158" s="3479" t="s">
        <v>4096</v>
      </c>
    </row>
    <row r="159" spans="1:16" ht="27" hidden="1">
      <c r="A159" s="3479" t="s">
        <v>4097</v>
      </c>
      <c r="B159" s="3479" t="s">
        <v>4098</v>
      </c>
      <c r="C159" s="3479" t="s">
        <v>3487</v>
      </c>
      <c r="D159" s="3479" t="s">
        <v>4099</v>
      </c>
      <c r="E159" s="3479" t="s">
        <v>3672</v>
      </c>
      <c r="F159" s="3479" t="s">
        <v>3546</v>
      </c>
      <c r="G159" s="3479" t="s">
        <v>3546</v>
      </c>
      <c r="H159" s="3479" t="s">
        <v>3534</v>
      </c>
      <c r="I159" s="3480">
        <v>43131</v>
      </c>
      <c r="J159" s="3479" t="s">
        <v>3491</v>
      </c>
      <c r="K159" s="3479" t="s">
        <v>633</v>
      </c>
      <c r="L159" s="3481">
        <v>9700</v>
      </c>
      <c r="M159" s="3481">
        <v>45233</v>
      </c>
      <c r="N159" s="3481">
        <v>2154</v>
      </c>
      <c r="O159" s="3479" t="s">
        <v>633</v>
      </c>
      <c r="P159" s="3479" t="s">
        <v>633</v>
      </c>
    </row>
    <row r="160" spans="1:16" hidden="1">
      <c r="A160" s="3479" t="s">
        <v>4100</v>
      </c>
      <c r="B160" s="3479" t="s">
        <v>4101</v>
      </c>
      <c r="C160" s="3479" t="s">
        <v>3487</v>
      </c>
      <c r="D160" s="3479" t="s">
        <v>3551</v>
      </c>
      <c r="E160" s="3479" t="s">
        <v>4102</v>
      </c>
      <c r="F160" s="3479" t="s">
        <v>3529</v>
      </c>
      <c r="G160" s="3479" t="s">
        <v>3529</v>
      </c>
      <c r="H160" s="3479" t="s">
        <v>3561</v>
      </c>
      <c r="I160" s="3480">
        <v>43465</v>
      </c>
      <c r="J160" s="3479" t="s">
        <v>3491</v>
      </c>
      <c r="K160" s="3479" t="s">
        <v>633</v>
      </c>
      <c r="L160" s="3481">
        <v>156000</v>
      </c>
      <c r="M160" s="3481">
        <v>45349</v>
      </c>
      <c r="N160" s="3481">
        <v>34400</v>
      </c>
      <c r="O160" s="3479" t="s">
        <v>4103</v>
      </c>
      <c r="P160" s="3479" t="s">
        <v>633</v>
      </c>
    </row>
    <row r="161" spans="1:17" ht="27">
      <c r="A161" s="3479" t="s">
        <v>4104</v>
      </c>
      <c r="B161" s="3479" t="s">
        <v>4105</v>
      </c>
      <c r="C161" s="3479" t="s">
        <v>3487</v>
      </c>
      <c r="D161" s="3479" t="s">
        <v>3603</v>
      </c>
      <c r="E161" s="3479" t="s">
        <v>4106</v>
      </c>
      <c r="F161" s="3479" t="s">
        <v>3499</v>
      </c>
      <c r="G161" s="3479" t="s">
        <v>3499</v>
      </c>
      <c r="H161" s="3479" t="s">
        <v>3534</v>
      </c>
      <c r="I161" s="3480">
        <v>45104</v>
      </c>
      <c r="J161" s="3479" t="s">
        <v>3491</v>
      </c>
      <c r="K161" s="3479" t="s">
        <v>3492</v>
      </c>
      <c r="L161" s="3481">
        <v>48000</v>
      </c>
      <c r="M161" s="3481">
        <v>45388</v>
      </c>
      <c r="N161" s="3481">
        <v>10575.42</v>
      </c>
      <c r="O161" s="3479" t="s">
        <v>4107</v>
      </c>
      <c r="P161" s="3479" t="s">
        <v>4108</v>
      </c>
    </row>
    <row r="162" spans="1:17" ht="27" hidden="1">
      <c r="A162" s="3479" t="s">
        <v>4109</v>
      </c>
      <c r="B162" s="3479" t="s">
        <v>4110</v>
      </c>
      <c r="C162" s="3479" t="s">
        <v>3487</v>
      </c>
      <c r="D162" s="3479" t="s">
        <v>3603</v>
      </c>
      <c r="E162" s="3479" t="s">
        <v>3645</v>
      </c>
      <c r="F162" s="3479" t="s">
        <v>3499</v>
      </c>
      <c r="G162" s="3479" t="s">
        <v>3499</v>
      </c>
      <c r="H162" s="3479" t="s">
        <v>633</v>
      </c>
      <c r="I162" s="3480">
        <v>45146</v>
      </c>
      <c r="J162" s="3479" t="s">
        <v>3491</v>
      </c>
      <c r="K162" s="3479" t="s">
        <v>3506</v>
      </c>
      <c r="L162" s="3481">
        <v>2123.8000000000002</v>
      </c>
      <c r="M162" s="3481">
        <v>46169</v>
      </c>
      <c r="N162" s="3481">
        <v>460</v>
      </c>
      <c r="O162" s="3479" t="s">
        <v>633</v>
      </c>
      <c r="P162" s="3479" t="s">
        <v>4111</v>
      </c>
    </row>
    <row r="163" spans="1:17" ht="27" hidden="1">
      <c r="A163" s="3479" t="s">
        <v>4112</v>
      </c>
      <c r="B163" s="3479" t="s">
        <v>4113</v>
      </c>
      <c r="C163" s="3479" t="s">
        <v>3487</v>
      </c>
      <c r="D163" s="3479" t="s">
        <v>3544</v>
      </c>
      <c r="E163" s="3479" t="s">
        <v>4114</v>
      </c>
      <c r="F163" s="3479" t="s">
        <v>3529</v>
      </c>
      <c r="G163" s="3479" t="s">
        <v>3529</v>
      </c>
      <c r="H163" s="3479" t="s">
        <v>3561</v>
      </c>
      <c r="I163" s="3480">
        <v>43480</v>
      </c>
      <c r="J163" s="3479" t="s">
        <v>3491</v>
      </c>
      <c r="K163" s="3479" t="s">
        <v>3530</v>
      </c>
      <c r="L163" s="3481">
        <v>55500</v>
      </c>
      <c r="M163" s="3481">
        <v>46250</v>
      </c>
      <c r="N163" s="3481">
        <v>12000</v>
      </c>
      <c r="O163" s="3479" t="s">
        <v>4115</v>
      </c>
      <c r="P163" s="3479" t="s">
        <v>4116</v>
      </c>
    </row>
    <row r="164" spans="1:17" ht="27" hidden="1">
      <c r="A164" s="3479" t="s">
        <v>4117</v>
      </c>
      <c r="B164" s="3479" t="s">
        <v>4118</v>
      </c>
      <c r="C164" s="3479" t="s">
        <v>3487</v>
      </c>
      <c r="D164" s="3479" t="s">
        <v>3497</v>
      </c>
      <c r="E164" s="3479" t="s">
        <v>633</v>
      </c>
      <c r="F164" s="3479" t="s">
        <v>673</v>
      </c>
      <c r="G164" s="3479" t="s">
        <v>3518</v>
      </c>
      <c r="H164" s="3479" t="s">
        <v>633</v>
      </c>
      <c r="I164" s="3480">
        <v>43447</v>
      </c>
      <c r="J164" s="3479" t="s">
        <v>3491</v>
      </c>
      <c r="K164" s="3479" t="s">
        <v>633</v>
      </c>
      <c r="L164" s="3481">
        <v>115137.64</v>
      </c>
      <c r="M164" s="3481">
        <v>46431</v>
      </c>
      <c r="N164" s="3481">
        <v>24797</v>
      </c>
      <c r="O164" s="3479" t="s">
        <v>4119</v>
      </c>
      <c r="P164" s="3479" t="s">
        <v>633</v>
      </c>
    </row>
    <row r="165" spans="1:17" ht="27" hidden="1">
      <c r="A165" s="3479" t="s">
        <v>4120</v>
      </c>
      <c r="B165" s="3479" t="s">
        <v>4121</v>
      </c>
      <c r="C165" s="3479" t="s">
        <v>3487</v>
      </c>
      <c r="D165" s="3479" t="s">
        <v>3497</v>
      </c>
      <c r="E165" s="3479" t="s">
        <v>633</v>
      </c>
      <c r="F165" s="3479" t="s">
        <v>3684</v>
      </c>
      <c r="G165" s="3479" t="s">
        <v>3684</v>
      </c>
      <c r="H165" s="3479" t="s">
        <v>633</v>
      </c>
      <c r="I165" s="3480">
        <v>44834</v>
      </c>
      <c r="J165" s="3479" t="s">
        <v>3491</v>
      </c>
      <c r="K165" s="3479" t="s">
        <v>3530</v>
      </c>
      <c r="L165" s="3481">
        <v>55000</v>
      </c>
      <c r="M165" s="3481">
        <v>47701</v>
      </c>
      <c r="N165" s="3481">
        <v>11530</v>
      </c>
      <c r="O165" s="3479" t="s">
        <v>4122</v>
      </c>
      <c r="P165" s="3479" t="s">
        <v>4123</v>
      </c>
    </row>
    <row r="166" spans="1:17" ht="27" hidden="1">
      <c r="A166" s="3479" t="s">
        <v>4124</v>
      </c>
      <c r="B166" s="3479" t="s">
        <v>4125</v>
      </c>
      <c r="C166" s="3479" t="s">
        <v>3487</v>
      </c>
      <c r="D166" s="3479" t="s">
        <v>3517</v>
      </c>
      <c r="E166" s="3479" t="s">
        <v>4126</v>
      </c>
      <c r="F166" s="3479" t="s">
        <v>3529</v>
      </c>
      <c r="G166" s="3479" t="s">
        <v>3529</v>
      </c>
      <c r="H166" s="3479" t="s">
        <v>3534</v>
      </c>
      <c r="I166" s="3480">
        <v>43890</v>
      </c>
      <c r="J166" s="3479" t="s">
        <v>3491</v>
      </c>
      <c r="K166" s="3479" t="s">
        <v>3492</v>
      </c>
      <c r="L166" s="3481">
        <v>620300</v>
      </c>
      <c r="M166" s="3481">
        <v>47805</v>
      </c>
      <c r="N166" s="3481">
        <v>129753</v>
      </c>
      <c r="O166" s="3479" t="s">
        <v>4127</v>
      </c>
      <c r="P166" s="3479" t="s">
        <v>4128</v>
      </c>
    </row>
    <row r="167" spans="1:17" ht="27" hidden="1">
      <c r="A167" s="3479" t="s">
        <v>4129</v>
      </c>
      <c r="B167" s="3479" t="s">
        <v>4130</v>
      </c>
      <c r="C167" s="3479" t="s">
        <v>3487</v>
      </c>
      <c r="D167" s="3479" t="s">
        <v>3598</v>
      </c>
      <c r="E167" s="3479" t="s">
        <v>3728</v>
      </c>
      <c r="F167" s="3479" t="s">
        <v>3499</v>
      </c>
      <c r="G167" s="3479" t="s">
        <v>3499</v>
      </c>
      <c r="H167" s="3479" t="s">
        <v>3534</v>
      </c>
      <c r="I167" s="3480">
        <v>43830</v>
      </c>
      <c r="J167" s="3479" t="s">
        <v>3491</v>
      </c>
      <c r="K167" s="3479" t="s">
        <v>633</v>
      </c>
      <c r="L167" s="3481">
        <v>302500</v>
      </c>
      <c r="M167" s="3481">
        <v>48236</v>
      </c>
      <c r="N167" s="3481">
        <v>125426</v>
      </c>
      <c r="O167" s="3479" t="s">
        <v>4131</v>
      </c>
      <c r="P167" s="3479" t="s">
        <v>3705</v>
      </c>
    </row>
    <row r="168" spans="1:17" ht="40.5" hidden="1">
      <c r="A168" s="3479" t="s">
        <v>4132</v>
      </c>
      <c r="B168" s="3479" t="s">
        <v>4133</v>
      </c>
      <c r="C168" s="3479" t="s">
        <v>3487</v>
      </c>
      <c r="D168" s="3479" t="s">
        <v>3603</v>
      </c>
      <c r="E168" s="3479" t="s">
        <v>633</v>
      </c>
      <c r="F168" s="3479" t="s">
        <v>3499</v>
      </c>
      <c r="G168" s="3479" t="s">
        <v>3499</v>
      </c>
      <c r="H168" s="3479" t="s">
        <v>3534</v>
      </c>
      <c r="I168" s="3480">
        <v>43008</v>
      </c>
      <c r="J168" s="3479" t="s">
        <v>3491</v>
      </c>
      <c r="K168" s="3479" t="s">
        <v>633</v>
      </c>
      <c r="L168" s="3481">
        <v>366500</v>
      </c>
      <c r="M168" s="3481">
        <v>48300</v>
      </c>
      <c r="N168" s="3481">
        <v>75900</v>
      </c>
      <c r="O168" s="3479" t="s">
        <v>4134</v>
      </c>
      <c r="P168" s="3479" t="s">
        <v>4135</v>
      </c>
    </row>
    <row r="169" spans="1:17" ht="27">
      <c r="A169" s="3479" t="s">
        <v>4136</v>
      </c>
      <c r="B169" s="3479" t="s">
        <v>4137</v>
      </c>
      <c r="C169" s="3479" t="s">
        <v>3487</v>
      </c>
      <c r="D169" s="3479" t="s">
        <v>3753</v>
      </c>
      <c r="E169" s="3479" t="s">
        <v>4138</v>
      </c>
      <c r="F169" s="3479" t="s">
        <v>673</v>
      </c>
      <c r="G169" s="3479" t="s">
        <v>3572</v>
      </c>
      <c r="H169" s="3479" t="s">
        <v>3534</v>
      </c>
      <c r="I169" s="3480">
        <v>44834</v>
      </c>
      <c r="J169" s="3479" t="s">
        <v>3491</v>
      </c>
      <c r="K169" s="3479" t="s">
        <v>3492</v>
      </c>
      <c r="L169" s="3481">
        <v>56000</v>
      </c>
      <c r="M169" s="3481">
        <v>48568</v>
      </c>
      <c r="N169" s="3481">
        <v>11530</v>
      </c>
      <c r="O169" s="3479" t="s">
        <v>4139</v>
      </c>
      <c r="P169" s="3479" t="s">
        <v>4140</v>
      </c>
    </row>
    <row r="170" spans="1:17" ht="27" hidden="1">
      <c r="A170" s="3479" t="s">
        <v>4141</v>
      </c>
      <c r="B170" s="3479" t="s">
        <v>4142</v>
      </c>
      <c r="C170" s="3479" t="s">
        <v>3487</v>
      </c>
      <c r="D170" s="3479" t="s">
        <v>3517</v>
      </c>
      <c r="E170" s="3479" t="s">
        <v>4126</v>
      </c>
      <c r="F170" s="3479" t="s">
        <v>3499</v>
      </c>
      <c r="G170" s="3479" t="s">
        <v>3499</v>
      </c>
      <c r="H170" s="3479" t="s">
        <v>633</v>
      </c>
      <c r="I170" s="3480">
        <v>43738</v>
      </c>
      <c r="J170" s="3479" t="s">
        <v>3491</v>
      </c>
      <c r="K170" s="3479" t="s">
        <v>633</v>
      </c>
      <c r="L170" s="3481">
        <v>295600</v>
      </c>
      <c r="M170" s="3481">
        <v>49000</v>
      </c>
      <c r="N170" s="3481">
        <v>60215</v>
      </c>
      <c r="O170" s="3479" t="s">
        <v>4143</v>
      </c>
      <c r="P170" s="3479" t="s">
        <v>4144</v>
      </c>
    </row>
    <row r="171" spans="1:17" ht="27" hidden="1">
      <c r="A171" s="3479" t="s">
        <v>4145</v>
      </c>
      <c r="B171" s="3479" t="s">
        <v>4146</v>
      </c>
      <c r="C171" s="3479" t="s">
        <v>3487</v>
      </c>
      <c r="D171" s="3479" t="s">
        <v>3962</v>
      </c>
      <c r="E171" s="3479" t="s">
        <v>633</v>
      </c>
      <c r="F171" s="3479" t="s">
        <v>673</v>
      </c>
      <c r="G171" s="3479" t="s">
        <v>3513</v>
      </c>
      <c r="H171" s="3479" t="s">
        <v>633</v>
      </c>
      <c r="I171" s="3480">
        <v>45128</v>
      </c>
      <c r="J171" s="3479" t="s">
        <v>3491</v>
      </c>
      <c r="K171" s="3479" t="s">
        <v>3506</v>
      </c>
      <c r="L171" s="3481">
        <v>1224.5999999999999</v>
      </c>
      <c r="M171" s="3481">
        <v>49145</v>
      </c>
      <c r="N171" s="3481">
        <v>249.18</v>
      </c>
      <c r="O171" s="3479" t="s">
        <v>633</v>
      </c>
      <c r="P171" s="3479" t="s">
        <v>633</v>
      </c>
    </row>
    <row r="172" spans="1:17" hidden="1">
      <c r="A172" s="3479" t="s">
        <v>4147</v>
      </c>
      <c r="B172" s="3479" t="s">
        <v>4148</v>
      </c>
      <c r="C172" s="3479" t="s">
        <v>3487</v>
      </c>
      <c r="D172" s="3479" t="s">
        <v>3603</v>
      </c>
      <c r="E172" s="3479" t="s">
        <v>4076</v>
      </c>
      <c r="F172" s="3479" t="s">
        <v>3814</v>
      </c>
      <c r="G172" s="3479" t="s">
        <v>3814</v>
      </c>
      <c r="H172" s="3479" t="s">
        <v>633</v>
      </c>
      <c r="I172" s="3480">
        <v>44712</v>
      </c>
      <c r="J172" s="3479" t="s">
        <v>3491</v>
      </c>
      <c r="K172" s="3479" t="s">
        <v>3530</v>
      </c>
      <c r="L172" s="3481">
        <v>60000</v>
      </c>
      <c r="M172" s="3481">
        <v>49619</v>
      </c>
      <c r="N172" s="3481">
        <v>12092</v>
      </c>
      <c r="O172" s="3479" t="s">
        <v>4149</v>
      </c>
      <c r="P172" s="3479" t="s">
        <v>4150</v>
      </c>
    </row>
    <row r="173" spans="1:17" hidden="1">
      <c r="A173" s="3479" t="s">
        <v>4151</v>
      </c>
      <c r="B173" s="3479" t="s">
        <v>4152</v>
      </c>
      <c r="C173" s="3479" t="s">
        <v>3487</v>
      </c>
      <c r="D173" s="3479" t="s">
        <v>3551</v>
      </c>
      <c r="E173" s="3479" t="s">
        <v>4102</v>
      </c>
      <c r="F173" s="3479" t="s">
        <v>3499</v>
      </c>
      <c r="G173" s="3479" t="s">
        <v>3499</v>
      </c>
      <c r="H173" s="3479" t="s">
        <v>3534</v>
      </c>
      <c r="I173" s="3480">
        <v>43465</v>
      </c>
      <c r="J173" s="3479" t="s">
        <v>3491</v>
      </c>
      <c r="K173" s="3479" t="s">
        <v>633</v>
      </c>
      <c r="L173" s="3481">
        <v>173000</v>
      </c>
      <c r="M173" s="3481">
        <v>50083</v>
      </c>
      <c r="N173" s="3481">
        <v>34543</v>
      </c>
      <c r="O173" s="3479" t="s">
        <v>4153</v>
      </c>
      <c r="P173" s="3479" t="s">
        <v>633</v>
      </c>
    </row>
    <row r="174" spans="1:17" s="3487" customFormat="1" ht="27">
      <c r="A174" s="3484" t="s">
        <v>4684</v>
      </c>
      <c r="B174" s="3503" t="s">
        <v>4696</v>
      </c>
      <c r="C174" s="3484" t="s">
        <v>3487</v>
      </c>
      <c r="D174" s="3484" t="s">
        <v>3598</v>
      </c>
      <c r="E174" s="3484" t="s">
        <v>3672</v>
      </c>
      <c r="F174" s="3484" t="s">
        <v>3499</v>
      </c>
      <c r="G174" s="3484" t="s">
        <v>3499</v>
      </c>
      <c r="H174" s="3484" t="s">
        <v>3561</v>
      </c>
      <c r="I174" s="3485">
        <v>44896</v>
      </c>
      <c r="J174" s="3484" t="s">
        <v>3491</v>
      </c>
      <c r="K174" s="3484" t="s">
        <v>3492</v>
      </c>
      <c r="L174" s="3502">
        <v>95422.38</v>
      </c>
      <c r="M174" s="3501">
        <v>48663</v>
      </c>
      <c r="N174" s="3501">
        <v>19609</v>
      </c>
      <c r="O174" s="3484" t="s">
        <v>633</v>
      </c>
      <c r="P174" s="3484" t="s">
        <v>4155</v>
      </c>
      <c r="Q174" s="3482"/>
    </row>
    <row r="175" spans="1:17" ht="54" hidden="1">
      <c r="A175" s="3479" t="s">
        <v>4156</v>
      </c>
      <c r="B175" s="3479" t="s">
        <v>4157</v>
      </c>
      <c r="C175" s="3479" t="s">
        <v>3487</v>
      </c>
      <c r="D175" s="3479" t="s">
        <v>3603</v>
      </c>
      <c r="E175" s="3479" t="s">
        <v>3902</v>
      </c>
      <c r="F175" s="3479" t="s">
        <v>3499</v>
      </c>
      <c r="G175" s="3479" t="s">
        <v>3499</v>
      </c>
      <c r="H175" s="3479" t="s">
        <v>3561</v>
      </c>
      <c r="I175" s="3480">
        <v>43929</v>
      </c>
      <c r="J175" s="3479" t="s">
        <v>3491</v>
      </c>
      <c r="K175" s="3479" t="s">
        <v>3506</v>
      </c>
      <c r="L175" s="3481">
        <v>331200</v>
      </c>
      <c r="M175" s="3481">
        <v>50480</v>
      </c>
      <c r="N175" s="3481">
        <v>65616</v>
      </c>
      <c r="O175" s="3479" t="s">
        <v>4158</v>
      </c>
      <c r="P175" s="3479" t="s">
        <v>4159</v>
      </c>
    </row>
    <row r="176" spans="1:17" ht="27" hidden="1">
      <c r="A176" s="3479" t="s">
        <v>4160</v>
      </c>
      <c r="B176" s="3479" t="s">
        <v>4161</v>
      </c>
      <c r="C176" s="3479" t="s">
        <v>3487</v>
      </c>
      <c r="D176" s="3479" t="s">
        <v>3598</v>
      </c>
      <c r="E176" s="3479" t="s">
        <v>4162</v>
      </c>
      <c r="F176" s="3479" t="s">
        <v>3499</v>
      </c>
      <c r="G176" s="3479" t="s">
        <v>3499</v>
      </c>
      <c r="H176" s="3479" t="s">
        <v>3561</v>
      </c>
      <c r="I176" s="3480">
        <v>42825</v>
      </c>
      <c r="J176" s="3479" t="s">
        <v>3491</v>
      </c>
      <c r="K176" s="3479" t="s">
        <v>633</v>
      </c>
      <c r="L176" s="3481">
        <v>65800</v>
      </c>
      <c r="M176" s="3481">
        <v>50500</v>
      </c>
      <c r="N176" s="3481">
        <v>13034</v>
      </c>
      <c r="O176" s="3479" t="s">
        <v>3951</v>
      </c>
      <c r="P176" s="3479" t="s">
        <v>4163</v>
      </c>
    </row>
    <row r="177" spans="1:16" ht="94.5" hidden="1">
      <c r="A177" s="3479" t="s">
        <v>4164</v>
      </c>
      <c r="B177" s="3479" t="s">
        <v>4165</v>
      </c>
      <c r="C177" s="3479" t="s">
        <v>3487</v>
      </c>
      <c r="D177" s="3479" t="s">
        <v>3544</v>
      </c>
      <c r="E177" s="3479" t="s">
        <v>3581</v>
      </c>
      <c r="F177" s="3479" t="s">
        <v>3499</v>
      </c>
      <c r="G177" s="3479" t="s">
        <v>3499</v>
      </c>
      <c r="H177" s="3479" t="s">
        <v>3561</v>
      </c>
      <c r="I177" s="3480">
        <v>43557</v>
      </c>
      <c r="J177" s="3479" t="s">
        <v>3491</v>
      </c>
      <c r="K177" s="3479" t="s">
        <v>633</v>
      </c>
      <c r="L177" s="3481">
        <v>901324</v>
      </c>
      <c r="M177" s="3481">
        <v>50929</v>
      </c>
      <c r="N177" s="3481">
        <v>176976</v>
      </c>
      <c r="O177" s="3479" t="s">
        <v>4166</v>
      </c>
      <c r="P177" s="3479" t="s">
        <v>4167</v>
      </c>
    </row>
    <row r="178" spans="1:16" ht="40.5" hidden="1">
      <c r="A178" s="3479" t="s">
        <v>4168</v>
      </c>
      <c r="B178" s="3479" t="s">
        <v>4169</v>
      </c>
      <c r="C178" s="3479" t="s">
        <v>3487</v>
      </c>
      <c r="D178" s="3479" t="s">
        <v>3544</v>
      </c>
      <c r="E178" s="3479" t="s">
        <v>3748</v>
      </c>
      <c r="F178" s="3479" t="s">
        <v>3499</v>
      </c>
      <c r="G178" s="3479" t="s">
        <v>3499</v>
      </c>
      <c r="H178" s="3479" t="s">
        <v>3561</v>
      </c>
      <c r="I178" s="3480">
        <v>45147</v>
      </c>
      <c r="J178" s="3479" t="s">
        <v>3491</v>
      </c>
      <c r="K178" s="3479" t="s">
        <v>3506</v>
      </c>
      <c r="L178" s="3481">
        <v>8683.9</v>
      </c>
      <c r="M178" s="3481">
        <v>50985</v>
      </c>
      <c r="N178" s="3481">
        <v>1703.22</v>
      </c>
      <c r="O178" s="3479" t="s">
        <v>4170</v>
      </c>
      <c r="P178" s="3479" t="s">
        <v>4171</v>
      </c>
    </row>
    <row r="179" spans="1:16">
      <c r="A179" s="3479" t="s">
        <v>4172</v>
      </c>
      <c r="B179" s="3479" t="s">
        <v>4101</v>
      </c>
      <c r="C179" s="3479" t="s">
        <v>3487</v>
      </c>
      <c r="D179" s="3479" t="s">
        <v>3517</v>
      </c>
      <c r="E179" s="3479" t="s">
        <v>4102</v>
      </c>
      <c r="F179" s="3479" t="s">
        <v>3499</v>
      </c>
      <c r="G179" s="3479" t="s">
        <v>3499</v>
      </c>
      <c r="H179" s="3479" t="s">
        <v>633</v>
      </c>
      <c r="I179" s="3480">
        <v>44926</v>
      </c>
      <c r="J179" s="3479" t="s">
        <v>3491</v>
      </c>
      <c r="K179" s="3479" t="s">
        <v>3492</v>
      </c>
      <c r="L179" s="3481">
        <v>261100</v>
      </c>
      <c r="M179" s="3481">
        <v>51374</v>
      </c>
      <c r="N179" s="3481">
        <v>50823</v>
      </c>
      <c r="O179" s="3479" t="s">
        <v>4173</v>
      </c>
      <c r="P179" s="3479" t="s">
        <v>4174</v>
      </c>
    </row>
    <row r="180" spans="1:16" ht="27" hidden="1">
      <c r="A180" s="3479" t="s">
        <v>4175</v>
      </c>
      <c r="B180" s="3479" t="s">
        <v>4176</v>
      </c>
      <c r="C180" s="3479" t="s">
        <v>3487</v>
      </c>
      <c r="D180" s="3479" t="s">
        <v>633</v>
      </c>
      <c r="E180" s="3479" t="s">
        <v>633</v>
      </c>
      <c r="F180" s="3479" t="s">
        <v>3499</v>
      </c>
      <c r="G180" s="3479" t="s">
        <v>3499</v>
      </c>
      <c r="H180" s="3479" t="s">
        <v>633</v>
      </c>
      <c r="I180" s="3480">
        <v>44316</v>
      </c>
      <c r="J180" s="3479" t="s">
        <v>3491</v>
      </c>
      <c r="K180" s="3479" t="s">
        <v>3492</v>
      </c>
      <c r="L180" s="3481">
        <v>167400</v>
      </c>
      <c r="M180" s="3481">
        <v>51480</v>
      </c>
      <c r="N180" s="3481">
        <v>32517</v>
      </c>
      <c r="O180" s="3479" t="s">
        <v>4177</v>
      </c>
      <c r="P180" s="3479" t="s">
        <v>4178</v>
      </c>
    </row>
    <row r="181" spans="1:16" ht="27" hidden="1">
      <c r="A181" s="3479" t="s">
        <v>4179</v>
      </c>
      <c r="B181" s="3479" t="s">
        <v>4180</v>
      </c>
      <c r="C181" s="3479" t="s">
        <v>3487</v>
      </c>
      <c r="D181" s="3479" t="s">
        <v>3603</v>
      </c>
      <c r="E181" s="3479" t="s">
        <v>3614</v>
      </c>
      <c r="F181" s="3479" t="s">
        <v>673</v>
      </c>
      <c r="G181" s="3479" t="s">
        <v>3518</v>
      </c>
      <c r="H181" s="3479" t="s">
        <v>633</v>
      </c>
      <c r="I181" s="3480">
        <v>44365</v>
      </c>
      <c r="J181" s="3479" t="s">
        <v>3491</v>
      </c>
      <c r="K181" s="3479" t="s">
        <v>3492</v>
      </c>
      <c r="L181" s="3481">
        <v>13873.95</v>
      </c>
      <c r="M181" s="3481">
        <v>51500</v>
      </c>
      <c r="N181" s="3481">
        <v>2993.3</v>
      </c>
      <c r="O181" s="3479" t="s">
        <v>633</v>
      </c>
      <c r="P181" s="3479" t="s">
        <v>4181</v>
      </c>
    </row>
    <row r="182" spans="1:16" ht="27" hidden="1">
      <c r="A182" s="3479" t="s">
        <v>4182</v>
      </c>
      <c r="B182" s="3479" t="s">
        <v>4154</v>
      </c>
      <c r="C182" s="3479" t="s">
        <v>3487</v>
      </c>
      <c r="D182" s="3479" t="s">
        <v>3598</v>
      </c>
      <c r="E182" s="3479" t="s">
        <v>3982</v>
      </c>
      <c r="F182" s="3479" t="s">
        <v>3499</v>
      </c>
      <c r="G182" s="3479" t="s">
        <v>3499</v>
      </c>
      <c r="H182" s="3479" t="s">
        <v>3561</v>
      </c>
      <c r="I182" s="3480">
        <v>43494</v>
      </c>
      <c r="J182" s="3479" t="s">
        <v>3491</v>
      </c>
      <c r="K182" s="3479" t="s">
        <v>633</v>
      </c>
      <c r="L182" s="3481">
        <v>89563</v>
      </c>
      <c r="M182" s="3481">
        <v>52800</v>
      </c>
      <c r="N182" s="3481">
        <v>16963</v>
      </c>
      <c r="O182" s="3479" t="s">
        <v>4183</v>
      </c>
      <c r="P182" s="3479" t="s">
        <v>4184</v>
      </c>
    </row>
    <row r="183" spans="1:16" ht="27" hidden="1">
      <c r="A183" s="3479" t="s">
        <v>4185</v>
      </c>
      <c r="B183" s="3479" t="s">
        <v>4186</v>
      </c>
      <c r="C183" s="3479" t="s">
        <v>3487</v>
      </c>
      <c r="D183" s="3479" t="s">
        <v>3598</v>
      </c>
      <c r="E183" s="3479" t="s">
        <v>3672</v>
      </c>
      <c r="F183" s="3479" t="s">
        <v>3499</v>
      </c>
      <c r="G183" s="3479" t="s">
        <v>3499</v>
      </c>
      <c r="H183" s="3479" t="s">
        <v>3534</v>
      </c>
      <c r="I183" s="3480">
        <v>43536</v>
      </c>
      <c r="J183" s="3479" t="s">
        <v>3491</v>
      </c>
      <c r="K183" s="3479" t="s">
        <v>633</v>
      </c>
      <c r="L183" s="3481">
        <v>187100</v>
      </c>
      <c r="M183" s="3481">
        <v>53003</v>
      </c>
      <c r="N183" s="3481">
        <v>35300</v>
      </c>
      <c r="O183" s="3479" t="s">
        <v>4187</v>
      </c>
      <c r="P183" s="3479" t="s">
        <v>4188</v>
      </c>
    </row>
    <row r="184" spans="1:16" ht="27" hidden="1">
      <c r="A184" s="3479" t="s">
        <v>4189</v>
      </c>
      <c r="B184" s="3479" t="s">
        <v>4190</v>
      </c>
      <c r="C184" s="3479" t="s">
        <v>3487</v>
      </c>
      <c r="D184" s="3479" t="s">
        <v>3603</v>
      </c>
      <c r="E184" s="3479" t="s">
        <v>3902</v>
      </c>
      <c r="F184" s="3479" t="s">
        <v>3499</v>
      </c>
      <c r="G184" s="3479" t="s">
        <v>3499</v>
      </c>
      <c r="H184" s="3479" t="s">
        <v>3534</v>
      </c>
      <c r="I184" s="3480">
        <v>43455</v>
      </c>
      <c r="J184" s="3479" t="s">
        <v>3491</v>
      </c>
      <c r="K184" s="3479" t="s">
        <v>3530</v>
      </c>
      <c r="L184" s="3481">
        <v>538381</v>
      </c>
      <c r="M184" s="3481">
        <v>53017</v>
      </c>
      <c r="N184" s="3481">
        <v>108000</v>
      </c>
      <c r="O184" s="3479" t="s">
        <v>4191</v>
      </c>
      <c r="P184" s="3479" t="s">
        <v>4192</v>
      </c>
    </row>
    <row r="185" spans="1:16" hidden="1">
      <c r="A185" s="3479" t="s">
        <v>4193</v>
      </c>
      <c r="B185" s="3479" t="s">
        <v>4194</v>
      </c>
      <c r="C185" s="3479" t="s">
        <v>3487</v>
      </c>
      <c r="D185" s="3479" t="s">
        <v>3551</v>
      </c>
      <c r="E185" s="3479" t="s">
        <v>4102</v>
      </c>
      <c r="F185" s="3479" t="s">
        <v>3529</v>
      </c>
      <c r="G185" s="3479" t="s">
        <v>3529</v>
      </c>
      <c r="H185" s="3479" t="s">
        <v>3534</v>
      </c>
      <c r="I185" s="3480">
        <v>43465</v>
      </c>
      <c r="J185" s="3479" t="s">
        <v>3491</v>
      </c>
      <c r="K185" s="3479" t="s">
        <v>633</v>
      </c>
      <c r="L185" s="3481">
        <v>292000</v>
      </c>
      <c r="M185" s="3481">
        <v>53328</v>
      </c>
      <c r="N185" s="3481">
        <v>54755</v>
      </c>
      <c r="O185" s="3479" t="s">
        <v>4195</v>
      </c>
      <c r="P185" s="3479" t="s">
        <v>633</v>
      </c>
    </row>
    <row r="186" spans="1:16" ht="27" hidden="1">
      <c r="A186" s="3479" t="s">
        <v>4196</v>
      </c>
      <c r="B186" s="3479" t="s">
        <v>4197</v>
      </c>
      <c r="C186" s="3479" t="s">
        <v>3487</v>
      </c>
      <c r="D186" s="3479" t="s">
        <v>3544</v>
      </c>
      <c r="E186" s="3479" t="s">
        <v>633</v>
      </c>
      <c r="F186" s="3479" t="s">
        <v>3499</v>
      </c>
      <c r="G186" s="3479" t="s">
        <v>3499</v>
      </c>
      <c r="H186" s="3479" t="s">
        <v>633</v>
      </c>
      <c r="I186" s="3480">
        <v>43814</v>
      </c>
      <c r="J186" s="3479" t="s">
        <v>3491</v>
      </c>
      <c r="K186" s="3479" t="s">
        <v>3492</v>
      </c>
      <c r="L186" s="3481">
        <v>65000</v>
      </c>
      <c r="M186" s="3481">
        <v>53464</v>
      </c>
      <c r="N186" s="3481">
        <v>12158</v>
      </c>
      <c r="O186" s="3479" t="s">
        <v>4198</v>
      </c>
      <c r="P186" s="3479" t="s">
        <v>4199</v>
      </c>
    </row>
    <row r="187" spans="1:16" ht="81" hidden="1">
      <c r="A187" s="3479" t="s">
        <v>4200</v>
      </c>
      <c r="B187" s="3479" t="s">
        <v>4201</v>
      </c>
      <c r="C187" s="3479" t="s">
        <v>3487</v>
      </c>
      <c r="D187" s="3479" t="s">
        <v>3544</v>
      </c>
      <c r="E187" s="3479" t="s">
        <v>3581</v>
      </c>
      <c r="F187" s="3479" t="s">
        <v>3499</v>
      </c>
      <c r="G187" s="3479" t="s">
        <v>3499</v>
      </c>
      <c r="H187" s="3479" t="s">
        <v>633</v>
      </c>
      <c r="I187" s="3480">
        <v>44286</v>
      </c>
      <c r="J187" s="3479" t="s">
        <v>3491</v>
      </c>
      <c r="K187" s="3479" t="s">
        <v>3530</v>
      </c>
      <c r="L187" s="3481">
        <v>26000</v>
      </c>
      <c r="M187" s="3481">
        <v>53600</v>
      </c>
      <c r="N187" s="3481">
        <v>4800</v>
      </c>
      <c r="O187" s="3479" t="s">
        <v>4202</v>
      </c>
      <c r="P187" s="3479" t="s">
        <v>4203</v>
      </c>
    </row>
    <row r="188" spans="1:16" s="3487" customFormat="1" ht="27">
      <c r="A188" s="3484" t="s">
        <v>4683</v>
      </c>
      <c r="B188" s="3503" t="s">
        <v>4697</v>
      </c>
      <c r="C188" s="3484" t="s">
        <v>3487</v>
      </c>
      <c r="D188" s="3484" t="s">
        <v>3603</v>
      </c>
      <c r="E188" s="3484" t="s">
        <v>3942</v>
      </c>
      <c r="F188" s="3484" t="s">
        <v>3499</v>
      </c>
      <c r="G188" s="3484" t="s">
        <v>3499</v>
      </c>
      <c r="H188" s="3484" t="s">
        <v>3534</v>
      </c>
      <c r="I188" s="3485">
        <v>45322</v>
      </c>
      <c r="J188" s="3484" t="s">
        <v>3491</v>
      </c>
      <c r="K188" s="3484" t="s">
        <v>3530</v>
      </c>
      <c r="L188" s="3486">
        <v>240000</v>
      </c>
      <c r="M188" s="3486">
        <v>53621</v>
      </c>
      <c r="N188" s="3486">
        <v>44759</v>
      </c>
      <c r="O188" s="3484" t="s">
        <v>4204</v>
      </c>
      <c r="P188" s="3484" t="s">
        <v>4205</v>
      </c>
    </row>
    <row r="189" spans="1:16" ht="27" hidden="1">
      <c r="A189" s="3479" t="s">
        <v>4206</v>
      </c>
      <c r="B189" s="3479" t="s">
        <v>4207</v>
      </c>
      <c r="C189" s="3479" t="s">
        <v>3487</v>
      </c>
      <c r="D189" s="3479" t="s">
        <v>3544</v>
      </c>
      <c r="E189" s="3479" t="s">
        <v>633</v>
      </c>
      <c r="F189" s="3479" t="s">
        <v>3529</v>
      </c>
      <c r="G189" s="3479" t="s">
        <v>3529</v>
      </c>
      <c r="H189" s="3479" t="s">
        <v>633</v>
      </c>
      <c r="I189" s="3480">
        <v>44070</v>
      </c>
      <c r="J189" s="3479" t="s">
        <v>3491</v>
      </c>
      <c r="K189" s="3479" t="s">
        <v>3492</v>
      </c>
      <c r="L189" s="3481">
        <v>339095.67</v>
      </c>
      <c r="M189" s="3481">
        <v>55800</v>
      </c>
      <c r="N189" s="3481">
        <v>60700</v>
      </c>
      <c r="O189" s="3479" t="s">
        <v>4208</v>
      </c>
      <c r="P189" s="3479" t="s">
        <v>4209</v>
      </c>
    </row>
    <row r="190" spans="1:16" ht="27" hidden="1">
      <c r="A190" s="3479" t="s">
        <v>4210</v>
      </c>
      <c r="B190" s="3479" t="s">
        <v>4211</v>
      </c>
      <c r="C190" s="3479" t="s">
        <v>3487</v>
      </c>
      <c r="D190" s="3479" t="s">
        <v>3603</v>
      </c>
      <c r="E190" s="3479" t="s">
        <v>4212</v>
      </c>
      <c r="F190" s="3479" t="s">
        <v>3499</v>
      </c>
      <c r="G190" s="3479" t="s">
        <v>3499</v>
      </c>
      <c r="H190" s="3479" t="s">
        <v>3561</v>
      </c>
      <c r="I190" s="3480">
        <v>45061</v>
      </c>
      <c r="J190" s="3479" t="s">
        <v>3491</v>
      </c>
      <c r="K190" s="3479" t="s">
        <v>3506</v>
      </c>
      <c r="L190" s="3481">
        <v>2600.7199999999998</v>
      </c>
      <c r="M190" s="3481">
        <v>56111</v>
      </c>
      <c r="N190" s="3481">
        <v>463.49</v>
      </c>
      <c r="O190" s="3479" t="s">
        <v>633</v>
      </c>
      <c r="P190" s="3479" t="s">
        <v>633</v>
      </c>
    </row>
    <row r="191" spans="1:16" ht="40.5" hidden="1">
      <c r="A191" s="3479" t="s">
        <v>4213</v>
      </c>
      <c r="B191" s="3479" t="s">
        <v>4214</v>
      </c>
      <c r="C191" s="3479" t="s">
        <v>3487</v>
      </c>
      <c r="D191" s="3479" t="s">
        <v>3753</v>
      </c>
      <c r="E191" s="3479" t="s">
        <v>4215</v>
      </c>
      <c r="F191" s="3479" t="s">
        <v>673</v>
      </c>
      <c r="G191" s="3479" t="s">
        <v>3572</v>
      </c>
      <c r="H191" s="3479" t="s">
        <v>3561</v>
      </c>
      <c r="I191" s="3480">
        <v>43281</v>
      </c>
      <c r="J191" s="3479" t="s">
        <v>3491</v>
      </c>
      <c r="K191" s="3479" t="s">
        <v>633</v>
      </c>
      <c r="L191" s="3481">
        <v>24000</v>
      </c>
      <c r="M191" s="3481">
        <v>56231</v>
      </c>
      <c r="N191" s="3481">
        <v>4268</v>
      </c>
      <c r="O191" s="3479" t="s">
        <v>3846</v>
      </c>
      <c r="P191" s="3479" t="s">
        <v>4216</v>
      </c>
    </row>
    <row r="192" spans="1:16" ht="27" hidden="1">
      <c r="A192" s="3479" t="s">
        <v>4217</v>
      </c>
      <c r="B192" s="3479" t="s">
        <v>4218</v>
      </c>
      <c r="C192" s="3479" t="s">
        <v>3487</v>
      </c>
      <c r="D192" s="3479" t="s">
        <v>3598</v>
      </c>
      <c r="E192" s="3479" t="s">
        <v>3672</v>
      </c>
      <c r="F192" s="3479" t="s">
        <v>3499</v>
      </c>
      <c r="G192" s="3479" t="s">
        <v>3499</v>
      </c>
      <c r="H192" s="3479" t="s">
        <v>633</v>
      </c>
      <c r="I192" s="3480">
        <v>43861</v>
      </c>
      <c r="J192" s="3479" t="s">
        <v>3491</v>
      </c>
      <c r="K192" s="3479" t="s">
        <v>3492</v>
      </c>
      <c r="L192" s="3481">
        <v>75910</v>
      </c>
      <c r="M192" s="3481">
        <v>56603</v>
      </c>
      <c r="N192" s="3481">
        <v>13411</v>
      </c>
      <c r="O192" s="3479" t="s">
        <v>4219</v>
      </c>
      <c r="P192" s="3479" t="s">
        <v>4220</v>
      </c>
    </row>
    <row r="193" spans="1:16" ht="27" hidden="1">
      <c r="A193" s="3479" t="s">
        <v>4221</v>
      </c>
      <c r="B193" s="3479" t="s">
        <v>4222</v>
      </c>
      <c r="C193" s="3479" t="s">
        <v>3487</v>
      </c>
      <c r="D193" s="3479" t="s">
        <v>3544</v>
      </c>
      <c r="E193" s="3479" t="s">
        <v>4223</v>
      </c>
      <c r="F193" s="3479" t="s">
        <v>3499</v>
      </c>
      <c r="G193" s="3479" t="s">
        <v>3499</v>
      </c>
      <c r="H193" s="3479" t="s">
        <v>3561</v>
      </c>
      <c r="I193" s="3480">
        <v>42916</v>
      </c>
      <c r="J193" s="3479" t="s">
        <v>3491</v>
      </c>
      <c r="K193" s="3479" t="s">
        <v>3530</v>
      </c>
      <c r="L193" s="3481">
        <v>170000</v>
      </c>
      <c r="M193" s="3481">
        <v>56702</v>
      </c>
      <c r="N193" s="3481">
        <v>29981</v>
      </c>
      <c r="O193" s="3479" t="s">
        <v>4224</v>
      </c>
      <c r="P193" s="3479" t="s">
        <v>4225</v>
      </c>
    </row>
    <row r="194" spans="1:16" ht="67.5" hidden="1">
      <c r="A194" s="3479" t="s">
        <v>4226</v>
      </c>
      <c r="B194" s="3479" t="s">
        <v>4227</v>
      </c>
      <c r="C194" s="3479" t="s">
        <v>3487</v>
      </c>
      <c r="D194" s="3479" t="s">
        <v>3544</v>
      </c>
      <c r="E194" s="3479" t="s">
        <v>633</v>
      </c>
      <c r="F194" s="3479" t="s">
        <v>673</v>
      </c>
      <c r="G194" s="3479" t="s">
        <v>3572</v>
      </c>
      <c r="H194" s="3479" t="s">
        <v>633</v>
      </c>
      <c r="I194" s="3480">
        <v>44255</v>
      </c>
      <c r="J194" s="3479" t="s">
        <v>3491</v>
      </c>
      <c r="K194" s="3479" t="s">
        <v>3530</v>
      </c>
      <c r="L194" s="3481">
        <v>332000</v>
      </c>
      <c r="M194" s="3481">
        <v>56753</v>
      </c>
      <c r="N194" s="3481">
        <v>58499</v>
      </c>
      <c r="O194" s="3479" t="s">
        <v>4228</v>
      </c>
      <c r="P194" s="3479" t="s">
        <v>4229</v>
      </c>
    </row>
    <row r="195" spans="1:16" ht="27" hidden="1">
      <c r="A195" s="3479" t="s">
        <v>4230</v>
      </c>
      <c r="B195" s="3479" t="s">
        <v>4231</v>
      </c>
      <c r="C195" s="3479" t="s">
        <v>3487</v>
      </c>
      <c r="D195" s="3479" t="s">
        <v>3753</v>
      </c>
      <c r="E195" s="3479" t="s">
        <v>4232</v>
      </c>
      <c r="F195" s="3479" t="s">
        <v>673</v>
      </c>
      <c r="G195" s="3479" t="s">
        <v>3572</v>
      </c>
      <c r="H195" s="3479" t="s">
        <v>3534</v>
      </c>
      <c r="I195" s="3480">
        <v>42916</v>
      </c>
      <c r="J195" s="3479" t="s">
        <v>3491</v>
      </c>
      <c r="K195" s="3479" t="s">
        <v>3530</v>
      </c>
      <c r="L195" s="3481">
        <v>220050</v>
      </c>
      <c r="M195" s="3481">
        <v>56808</v>
      </c>
      <c r="N195" s="3481">
        <v>38736</v>
      </c>
      <c r="O195" s="3479" t="s">
        <v>633</v>
      </c>
      <c r="P195" s="3479" t="s">
        <v>4233</v>
      </c>
    </row>
    <row r="196" spans="1:16" ht="54" hidden="1">
      <c r="A196" s="3479" t="s">
        <v>4234</v>
      </c>
      <c r="B196" s="3479" t="s">
        <v>4235</v>
      </c>
      <c r="C196" s="3479" t="s">
        <v>3487</v>
      </c>
      <c r="D196" s="3479" t="s">
        <v>3603</v>
      </c>
      <c r="E196" s="3479" t="s">
        <v>3875</v>
      </c>
      <c r="F196" s="3479" t="s">
        <v>673</v>
      </c>
      <c r="G196" s="3479" t="s">
        <v>3513</v>
      </c>
      <c r="H196" s="3479" t="s">
        <v>633</v>
      </c>
      <c r="I196" s="3480">
        <v>45401</v>
      </c>
      <c r="J196" s="3479" t="s">
        <v>3491</v>
      </c>
      <c r="K196" s="3479" t="s">
        <v>3506</v>
      </c>
      <c r="L196" s="3481">
        <v>35188.32</v>
      </c>
      <c r="M196" s="3481">
        <v>57139</v>
      </c>
      <c r="N196" s="3481">
        <v>6158.34</v>
      </c>
      <c r="O196" s="3479" t="s">
        <v>4236</v>
      </c>
      <c r="P196" s="3479" t="s">
        <v>4237</v>
      </c>
    </row>
    <row r="197" spans="1:16" ht="94.5" hidden="1">
      <c r="A197" s="3479" t="s">
        <v>4238</v>
      </c>
      <c r="B197" s="3479" t="s">
        <v>4239</v>
      </c>
      <c r="C197" s="3479" t="s">
        <v>3487</v>
      </c>
      <c r="D197" s="3479" t="s">
        <v>3544</v>
      </c>
      <c r="E197" s="3479" t="s">
        <v>3581</v>
      </c>
      <c r="F197" s="3479" t="s">
        <v>3499</v>
      </c>
      <c r="G197" s="3479" t="s">
        <v>3499</v>
      </c>
      <c r="H197" s="3479" t="s">
        <v>3561</v>
      </c>
      <c r="I197" s="3480">
        <v>44258</v>
      </c>
      <c r="J197" s="3479" t="s">
        <v>3491</v>
      </c>
      <c r="K197" s="3479" t="s">
        <v>3530</v>
      </c>
      <c r="L197" s="3481">
        <v>265000</v>
      </c>
      <c r="M197" s="3481">
        <v>57200</v>
      </c>
      <c r="N197" s="3481">
        <v>46329</v>
      </c>
      <c r="O197" s="3479" t="s">
        <v>4240</v>
      </c>
      <c r="P197" s="3479" t="s">
        <v>4241</v>
      </c>
    </row>
    <row r="198" spans="1:16" s="3487" customFormat="1">
      <c r="A198" s="3484" t="s">
        <v>4242</v>
      </c>
      <c r="B198" s="3503" t="s">
        <v>4698</v>
      </c>
      <c r="C198" s="3484" t="s">
        <v>3487</v>
      </c>
      <c r="D198" s="3484" t="s">
        <v>3598</v>
      </c>
      <c r="E198" s="3484" t="s">
        <v>3672</v>
      </c>
      <c r="F198" s="3484" t="s">
        <v>3499</v>
      </c>
      <c r="G198" s="3484" t="s">
        <v>3499</v>
      </c>
      <c r="H198" s="3484" t="s">
        <v>3534</v>
      </c>
      <c r="I198" s="3485">
        <v>44804</v>
      </c>
      <c r="J198" s="3484" t="s">
        <v>3491</v>
      </c>
      <c r="K198" s="3484" t="s">
        <v>3492</v>
      </c>
      <c r="L198" s="3486">
        <v>43700</v>
      </c>
      <c r="M198" s="3486">
        <v>57251</v>
      </c>
      <c r="N198" s="3486">
        <v>7633</v>
      </c>
      <c r="O198" s="3484" t="s">
        <v>633</v>
      </c>
      <c r="P198" s="3484" t="s">
        <v>4033</v>
      </c>
    </row>
    <row r="199" spans="1:16" ht="27" hidden="1">
      <c r="A199" s="3479" t="s">
        <v>4221</v>
      </c>
      <c r="B199" s="3479" t="s">
        <v>4222</v>
      </c>
      <c r="C199" s="3479" t="s">
        <v>3487</v>
      </c>
      <c r="D199" s="3479" t="s">
        <v>3544</v>
      </c>
      <c r="E199" s="3479" t="s">
        <v>4223</v>
      </c>
      <c r="F199" s="3479" t="s">
        <v>3499</v>
      </c>
      <c r="G199" s="3479" t="s">
        <v>3499</v>
      </c>
      <c r="H199" s="3479" t="s">
        <v>3561</v>
      </c>
      <c r="I199" s="3480">
        <v>43951</v>
      </c>
      <c r="J199" s="3479" t="s">
        <v>3491</v>
      </c>
      <c r="K199" s="3479" t="s">
        <v>3530</v>
      </c>
      <c r="L199" s="3481">
        <v>172000</v>
      </c>
      <c r="M199" s="3481">
        <v>57369</v>
      </c>
      <c r="N199" s="3481">
        <v>29982</v>
      </c>
      <c r="O199" s="3479" t="s">
        <v>4243</v>
      </c>
      <c r="P199" s="3479" t="s">
        <v>4244</v>
      </c>
    </row>
    <row r="200" spans="1:16" ht="40.5" hidden="1">
      <c r="A200" s="3479" t="s">
        <v>4245</v>
      </c>
      <c r="B200" s="3479" t="s">
        <v>4246</v>
      </c>
      <c r="C200" s="3479" t="s">
        <v>3487</v>
      </c>
      <c r="D200" s="3479" t="s">
        <v>3586</v>
      </c>
      <c r="E200" s="3479" t="s">
        <v>4247</v>
      </c>
      <c r="F200" s="3479" t="s">
        <v>673</v>
      </c>
      <c r="G200" s="3479" t="s">
        <v>3605</v>
      </c>
      <c r="H200" s="3479" t="s">
        <v>633</v>
      </c>
      <c r="I200" s="3480">
        <v>45071</v>
      </c>
      <c r="J200" s="3479" t="s">
        <v>3491</v>
      </c>
      <c r="K200" s="3479" t="s">
        <v>3506</v>
      </c>
      <c r="L200" s="3481">
        <v>6101.27</v>
      </c>
      <c r="M200" s="3481">
        <v>57811</v>
      </c>
      <c r="N200" s="3481">
        <v>1055.3800000000001</v>
      </c>
      <c r="O200" s="3479" t="s">
        <v>633</v>
      </c>
      <c r="P200" s="3479" t="s">
        <v>633</v>
      </c>
    </row>
    <row r="201" spans="1:16" hidden="1">
      <c r="A201" s="3479" t="s">
        <v>4248</v>
      </c>
      <c r="B201" s="3479" t="s">
        <v>4249</v>
      </c>
      <c r="C201" s="3479" t="s">
        <v>3487</v>
      </c>
      <c r="D201" s="3479" t="s">
        <v>3962</v>
      </c>
      <c r="E201" s="3479" t="s">
        <v>3645</v>
      </c>
      <c r="F201" s="3479" t="s">
        <v>3529</v>
      </c>
      <c r="G201" s="3479" t="s">
        <v>3529</v>
      </c>
      <c r="H201" s="3479" t="s">
        <v>3534</v>
      </c>
      <c r="I201" s="3480">
        <v>42916</v>
      </c>
      <c r="J201" s="3479" t="s">
        <v>3491</v>
      </c>
      <c r="K201" s="3479" t="s">
        <v>633</v>
      </c>
      <c r="L201" s="3481">
        <v>17200</v>
      </c>
      <c r="M201" s="3481">
        <v>60000</v>
      </c>
      <c r="N201" s="3481">
        <v>2864</v>
      </c>
      <c r="O201" s="3479" t="s">
        <v>633</v>
      </c>
      <c r="P201" s="3479" t="s">
        <v>633</v>
      </c>
    </row>
    <row r="202" spans="1:16" ht="27" hidden="1">
      <c r="A202" s="3479" t="s">
        <v>4250</v>
      </c>
      <c r="B202" s="3479" t="s">
        <v>4251</v>
      </c>
      <c r="C202" s="3479" t="s">
        <v>3487</v>
      </c>
      <c r="D202" s="3479" t="s">
        <v>3544</v>
      </c>
      <c r="E202" s="3479" t="s">
        <v>4252</v>
      </c>
      <c r="F202" s="3479" t="s">
        <v>3546</v>
      </c>
      <c r="G202" s="3479" t="s">
        <v>3546</v>
      </c>
      <c r="H202" s="3479" t="s">
        <v>3534</v>
      </c>
      <c r="I202" s="3480">
        <v>44651</v>
      </c>
      <c r="J202" s="3479" t="s">
        <v>3491</v>
      </c>
      <c r="K202" s="3479" t="s">
        <v>3492</v>
      </c>
      <c r="L202" s="3481">
        <v>15500</v>
      </c>
      <c r="M202" s="3481">
        <v>60476</v>
      </c>
      <c r="N202" s="3481">
        <v>2563</v>
      </c>
      <c r="O202" s="3479" t="s">
        <v>4253</v>
      </c>
      <c r="P202" s="3479" t="s">
        <v>4254</v>
      </c>
    </row>
    <row r="203" spans="1:16" ht="27" hidden="1">
      <c r="A203" s="3479" t="s">
        <v>4255</v>
      </c>
      <c r="B203" s="3479" t="s">
        <v>3727</v>
      </c>
      <c r="C203" s="3479" t="s">
        <v>3487</v>
      </c>
      <c r="D203" s="3479" t="s">
        <v>3598</v>
      </c>
      <c r="E203" s="3479" t="s">
        <v>3728</v>
      </c>
      <c r="F203" s="3479" t="s">
        <v>3499</v>
      </c>
      <c r="G203" s="3479" t="s">
        <v>3499</v>
      </c>
      <c r="H203" s="3479" t="s">
        <v>3534</v>
      </c>
      <c r="I203" s="3480">
        <v>44196</v>
      </c>
      <c r="J203" s="3479" t="s">
        <v>3491</v>
      </c>
      <c r="K203" s="3479" t="s">
        <v>3492</v>
      </c>
      <c r="L203" s="3481">
        <v>112200</v>
      </c>
      <c r="M203" s="3481">
        <v>60978</v>
      </c>
      <c r="N203" s="3481">
        <v>18400</v>
      </c>
      <c r="O203" s="3479" t="s">
        <v>4256</v>
      </c>
      <c r="P203" s="3479" t="s">
        <v>4257</v>
      </c>
    </row>
    <row r="204" spans="1:16" ht="27" hidden="1">
      <c r="A204" s="3479" t="s">
        <v>4258</v>
      </c>
      <c r="B204" s="3479" t="s">
        <v>4259</v>
      </c>
      <c r="C204" s="3479" t="s">
        <v>3487</v>
      </c>
      <c r="D204" s="3479" t="s">
        <v>3544</v>
      </c>
      <c r="E204" s="3479" t="s">
        <v>633</v>
      </c>
      <c r="F204" s="3479" t="s">
        <v>3499</v>
      </c>
      <c r="G204" s="3479" t="s">
        <v>3499</v>
      </c>
      <c r="H204" s="3479" t="s">
        <v>633</v>
      </c>
      <c r="I204" s="3480">
        <v>42916</v>
      </c>
      <c r="J204" s="3479" t="s">
        <v>3491</v>
      </c>
      <c r="K204" s="3479" t="s">
        <v>3530</v>
      </c>
      <c r="L204" s="3481">
        <v>138940.35</v>
      </c>
      <c r="M204" s="3481">
        <v>61298</v>
      </c>
      <c r="N204" s="3481">
        <v>22666</v>
      </c>
      <c r="O204" s="3479" t="s">
        <v>4260</v>
      </c>
      <c r="P204" s="3479" t="s">
        <v>4261</v>
      </c>
    </row>
    <row r="205" spans="1:16" ht="40.5" hidden="1">
      <c r="A205" s="3479" t="s">
        <v>4262</v>
      </c>
      <c r="B205" s="3479" t="s">
        <v>4263</v>
      </c>
      <c r="C205" s="3479" t="s">
        <v>3487</v>
      </c>
      <c r="D205" s="3479" t="s">
        <v>3603</v>
      </c>
      <c r="E205" s="3479" t="s">
        <v>4018</v>
      </c>
      <c r="F205" s="3479" t="s">
        <v>3499</v>
      </c>
      <c r="G205" s="3479" t="s">
        <v>3499</v>
      </c>
      <c r="H205" s="3479" t="s">
        <v>3561</v>
      </c>
      <c r="I205" s="3480">
        <v>43465</v>
      </c>
      <c r="J205" s="3479" t="s">
        <v>3491</v>
      </c>
      <c r="K205" s="3479" t="s">
        <v>633</v>
      </c>
      <c r="L205" s="3481">
        <v>1050000</v>
      </c>
      <c r="M205" s="3481">
        <v>61800</v>
      </c>
      <c r="N205" s="3481">
        <v>169900</v>
      </c>
      <c r="O205" s="3479" t="s">
        <v>4264</v>
      </c>
      <c r="P205" s="3479" t="s">
        <v>4265</v>
      </c>
    </row>
    <row r="206" spans="1:16" ht="27" hidden="1">
      <c r="A206" s="3479" t="s">
        <v>4266</v>
      </c>
      <c r="B206" s="3479" t="s">
        <v>4267</v>
      </c>
      <c r="C206" s="3479" t="s">
        <v>3487</v>
      </c>
      <c r="D206" s="3479" t="s">
        <v>3603</v>
      </c>
      <c r="E206" s="3479" t="s">
        <v>3614</v>
      </c>
      <c r="F206" s="3479" t="s">
        <v>3499</v>
      </c>
      <c r="G206" s="3479" t="s">
        <v>3499</v>
      </c>
      <c r="H206" s="3479" t="s">
        <v>3561</v>
      </c>
      <c r="I206" s="3480">
        <v>43861</v>
      </c>
      <c r="J206" s="3479" t="s">
        <v>3491</v>
      </c>
      <c r="K206" s="3479" t="s">
        <v>3530</v>
      </c>
      <c r="L206" s="3481">
        <v>180000</v>
      </c>
      <c r="M206" s="3481">
        <v>62500</v>
      </c>
      <c r="N206" s="3481">
        <v>64000</v>
      </c>
      <c r="O206" s="3479" t="s">
        <v>4268</v>
      </c>
      <c r="P206" s="3479" t="s">
        <v>4269</v>
      </c>
    </row>
    <row r="207" spans="1:16" ht="54" hidden="1">
      <c r="A207" s="3479" t="s">
        <v>4270</v>
      </c>
      <c r="B207" s="3479" t="s">
        <v>4271</v>
      </c>
      <c r="C207" s="3479" t="s">
        <v>3487</v>
      </c>
      <c r="D207" s="3479" t="s">
        <v>3586</v>
      </c>
      <c r="E207" s="3479" t="s">
        <v>4272</v>
      </c>
      <c r="F207" s="3479" t="s">
        <v>3499</v>
      </c>
      <c r="G207" s="3479" t="s">
        <v>3499</v>
      </c>
      <c r="H207" s="3479" t="s">
        <v>3534</v>
      </c>
      <c r="I207" s="3480">
        <v>42870</v>
      </c>
      <c r="J207" s="3479" t="s">
        <v>3491</v>
      </c>
      <c r="K207" s="3479" t="s">
        <v>3530</v>
      </c>
      <c r="L207" s="3481">
        <v>950300</v>
      </c>
      <c r="M207" s="3481">
        <v>68067</v>
      </c>
      <c r="N207" s="3481">
        <v>139613</v>
      </c>
      <c r="O207" s="3479" t="s">
        <v>4273</v>
      </c>
      <c r="P207" s="3479" t="s">
        <v>633</v>
      </c>
    </row>
    <row r="208" spans="1:16" ht="27" hidden="1">
      <c r="A208" s="3479" t="s">
        <v>4274</v>
      </c>
      <c r="B208" s="3479" t="s">
        <v>4275</v>
      </c>
      <c r="C208" s="3479" t="s">
        <v>3487</v>
      </c>
      <c r="D208" s="3479" t="s">
        <v>3603</v>
      </c>
      <c r="E208" s="3479" t="s">
        <v>4276</v>
      </c>
      <c r="F208" s="3479" t="s">
        <v>3529</v>
      </c>
      <c r="G208" s="3479" t="s">
        <v>3529</v>
      </c>
      <c r="H208" s="3479" t="s">
        <v>3534</v>
      </c>
      <c r="I208" s="3480">
        <v>43890</v>
      </c>
      <c r="J208" s="3479" t="s">
        <v>3491</v>
      </c>
      <c r="K208" s="3479" t="s">
        <v>3530</v>
      </c>
      <c r="L208" s="3481">
        <v>804600</v>
      </c>
      <c r="M208" s="3481">
        <v>72233</v>
      </c>
      <c r="N208" s="3481">
        <v>111390</v>
      </c>
      <c r="O208" s="3479" t="s">
        <v>4131</v>
      </c>
      <c r="P208" s="3479" t="s">
        <v>4277</v>
      </c>
    </row>
    <row r="209" spans="1:16" ht="27" hidden="1">
      <c r="A209" s="3479" t="s">
        <v>4278</v>
      </c>
      <c r="B209" s="3479" t="s">
        <v>4279</v>
      </c>
      <c r="C209" s="3479" t="s">
        <v>3487</v>
      </c>
      <c r="D209" s="3479" t="s">
        <v>633</v>
      </c>
      <c r="E209" s="3479" t="s">
        <v>633</v>
      </c>
      <c r="F209" s="3479" t="s">
        <v>633</v>
      </c>
      <c r="G209" s="3479" t="s">
        <v>633</v>
      </c>
      <c r="H209" s="3479" t="s">
        <v>633</v>
      </c>
      <c r="I209" s="3480">
        <v>44606</v>
      </c>
      <c r="J209" s="3479" t="s">
        <v>3491</v>
      </c>
      <c r="K209" s="3479" t="s">
        <v>3492</v>
      </c>
      <c r="L209" s="3481">
        <v>10318.32</v>
      </c>
      <c r="M209" s="3481">
        <v>73492</v>
      </c>
      <c r="N209" s="3481">
        <v>1404</v>
      </c>
      <c r="O209" s="3479" t="s">
        <v>4280</v>
      </c>
      <c r="P209" s="3479" t="s">
        <v>4281</v>
      </c>
    </row>
    <row r="210" spans="1:16" ht="27" hidden="1">
      <c r="A210" s="3479" t="s">
        <v>4282</v>
      </c>
      <c r="B210" s="3479" t="s">
        <v>4283</v>
      </c>
      <c r="C210" s="3479" t="s">
        <v>3487</v>
      </c>
      <c r="D210" s="3479" t="s">
        <v>3603</v>
      </c>
      <c r="E210" s="3479" t="s">
        <v>3942</v>
      </c>
      <c r="F210" s="3479" t="s">
        <v>3499</v>
      </c>
      <c r="G210" s="3479" t="s">
        <v>3499</v>
      </c>
      <c r="H210" s="3479" t="s">
        <v>3561</v>
      </c>
      <c r="I210" s="3480">
        <v>43100</v>
      </c>
      <c r="J210" s="3479" t="s">
        <v>3491</v>
      </c>
      <c r="K210" s="3479" t="s">
        <v>3530</v>
      </c>
      <c r="L210" s="3481">
        <v>113000</v>
      </c>
      <c r="M210" s="3481">
        <v>74594</v>
      </c>
      <c r="N210" s="3481">
        <v>15149</v>
      </c>
      <c r="O210" s="3479" t="s">
        <v>4284</v>
      </c>
      <c r="P210" s="3479" t="s">
        <v>4285</v>
      </c>
    </row>
    <row r="211" spans="1:16" ht="27" hidden="1">
      <c r="A211" s="3479" t="s">
        <v>4286</v>
      </c>
      <c r="B211" s="3479" t="s">
        <v>4287</v>
      </c>
      <c r="C211" s="3479" t="s">
        <v>3487</v>
      </c>
      <c r="D211" s="3479" t="s">
        <v>3544</v>
      </c>
      <c r="E211" s="3479" t="s">
        <v>3778</v>
      </c>
      <c r="F211" s="3479" t="s">
        <v>3499</v>
      </c>
      <c r="G211" s="3479" t="s">
        <v>3499</v>
      </c>
      <c r="H211" s="3479" t="s">
        <v>633</v>
      </c>
      <c r="I211" s="3480">
        <v>43512</v>
      </c>
      <c r="J211" s="3479" t="s">
        <v>3491</v>
      </c>
      <c r="K211" s="3479" t="s">
        <v>3492</v>
      </c>
      <c r="L211" s="3481">
        <v>200000</v>
      </c>
      <c r="M211" s="3481">
        <v>75000</v>
      </c>
      <c r="N211" s="3481">
        <v>26000</v>
      </c>
      <c r="O211" s="3479" t="s">
        <v>3749</v>
      </c>
      <c r="P211" s="3479" t="s">
        <v>633</v>
      </c>
    </row>
    <row r="212" spans="1:16" ht="27" hidden="1">
      <c r="A212" s="3479" t="s">
        <v>4288</v>
      </c>
      <c r="B212" s="3479" t="s">
        <v>4289</v>
      </c>
      <c r="C212" s="3479" t="s">
        <v>3487</v>
      </c>
      <c r="D212" s="3479" t="s">
        <v>3603</v>
      </c>
      <c r="E212" s="3479" t="s">
        <v>4106</v>
      </c>
      <c r="F212" s="3479" t="s">
        <v>673</v>
      </c>
      <c r="G212" s="3479" t="s">
        <v>4290</v>
      </c>
      <c r="H212" s="3479" t="s">
        <v>633</v>
      </c>
      <c r="I212" s="3480">
        <v>43951</v>
      </c>
      <c r="J212" s="3479" t="s">
        <v>3491</v>
      </c>
      <c r="K212" s="3479" t="s">
        <v>3530</v>
      </c>
      <c r="L212" s="3481">
        <v>77000</v>
      </c>
      <c r="M212" s="3481">
        <v>78874</v>
      </c>
      <c r="N212" s="3481">
        <v>19923</v>
      </c>
      <c r="O212" s="3479" t="s">
        <v>4291</v>
      </c>
      <c r="P212" s="3479" t="s">
        <v>633</v>
      </c>
    </row>
    <row r="213" spans="1:16" ht="40.5" hidden="1">
      <c r="A213" s="3479" t="s">
        <v>4292</v>
      </c>
      <c r="B213" s="3479" t="s">
        <v>4293</v>
      </c>
      <c r="C213" s="3479" t="s">
        <v>3487</v>
      </c>
      <c r="D213" s="3479" t="s">
        <v>3753</v>
      </c>
      <c r="E213" s="3479" t="s">
        <v>4294</v>
      </c>
      <c r="F213" s="3479" t="s">
        <v>3499</v>
      </c>
      <c r="G213" s="3479" t="s">
        <v>3499</v>
      </c>
      <c r="H213" s="3479" t="s">
        <v>3561</v>
      </c>
      <c r="I213" s="3480">
        <v>43465</v>
      </c>
      <c r="J213" s="3479" t="s">
        <v>3491</v>
      </c>
      <c r="K213" s="3479" t="s">
        <v>3530</v>
      </c>
      <c r="L213" s="3481">
        <v>450000</v>
      </c>
      <c r="M213" s="3481">
        <v>80128</v>
      </c>
      <c r="N213" s="3481">
        <v>56160</v>
      </c>
      <c r="O213" s="3479" t="s">
        <v>4295</v>
      </c>
      <c r="P213" s="3479" t="s">
        <v>4296</v>
      </c>
    </row>
    <row r="214" spans="1:16" ht="54" hidden="1">
      <c r="A214" s="3479" t="s">
        <v>4132</v>
      </c>
      <c r="B214" s="3479" t="s">
        <v>4133</v>
      </c>
      <c r="C214" s="3479" t="s">
        <v>3487</v>
      </c>
      <c r="D214" s="3479" t="s">
        <v>3603</v>
      </c>
      <c r="E214" s="3479" t="s">
        <v>4297</v>
      </c>
      <c r="F214" s="3479" t="s">
        <v>3499</v>
      </c>
      <c r="G214" s="3479" t="s">
        <v>3499</v>
      </c>
      <c r="H214" s="3479" t="s">
        <v>3534</v>
      </c>
      <c r="I214" s="3480">
        <v>43890</v>
      </c>
      <c r="J214" s="3479" t="s">
        <v>3491</v>
      </c>
      <c r="K214" s="3479" t="s">
        <v>633</v>
      </c>
      <c r="L214" s="3481">
        <v>450000</v>
      </c>
      <c r="M214" s="3481">
        <v>80130</v>
      </c>
      <c r="N214" s="3481">
        <v>56159</v>
      </c>
      <c r="O214" s="3479" t="s">
        <v>4298</v>
      </c>
      <c r="P214" s="3479" t="s">
        <v>4299</v>
      </c>
    </row>
    <row r="215" spans="1:16" ht="27" hidden="1">
      <c r="A215" s="3479" t="s">
        <v>4300</v>
      </c>
      <c r="B215" s="3479" t="s">
        <v>4301</v>
      </c>
      <c r="C215" s="3479" t="s">
        <v>3487</v>
      </c>
      <c r="D215" s="3479" t="s">
        <v>3603</v>
      </c>
      <c r="E215" s="3479" t="s">
        <v>3955</v>
      </c>
      <c r="F215" s="3479" t="s">
        <v>3499</v>
      </c>
      <c r="G215" s="3479" t="s">
        <v>3499</v>
      </c>
      <c r="H215" s="3479" t="s">
        <v>3534</v>
      </c>
      <c r="I215" s="3480">
        <v>44196</v>
      </c>
      <c r="J215" s="3479" t="s">
        <v>3491</v>
      </c>
      <c r="K215" s="3479" t="s">
        <v>3530</v>
      </c>
      <c r="L215" s="3481">
        <v>270000</v>
      </c>
      <c r="M215" s="3481">
        <v>81818</v>
      </c>
      <c r="N215" s="3481">
        <v>33000</v>
      </c>
      <c r="O215" s="3479" t="s">
        <v>4302</v>
      </c>
      <c r="P215" s="3479" t="s">
        <v>4303</v>
      </c>
    </row>
    <row r="216" spans="1:16" ht="40.5" hidden="1">
      <c r="A216" s="3479" t="s">
        <v>4304</v>
      </c>
      <c r="B216" s="3479" t="s">
        <v>4190</v>
      </c>
      <c r="C216" s="3479" t="s">
        <v>3487</v>
      </c>
      <c r="D216" s="3479" t="s">
        <v>3603</v>
      </c>
      <c r="E216" s="3479" t="s">
        <v>3902</v>
      </c>
      <c r="F216" s="3479" t="s">
        <v>3499</v>
      </c>
      <c r="G216" s="3479" t="s">
        <v>3499</v>
      </c>
      <c r="H216" s="3479" t="s">
        <v>3534</v>
      </c>
      <c r="I216" s="3480">
        <v>44500</v>
      </c>
      <c r="J216" s="3479" t="s">
        <v>3491</v>
      </c>
      <c r="K216" s="3479" t="s">
        <v>3530</v>
      </c>
      <c r="L216" s="3481">
        <v>885000</v>
      </c>
      <c r="M216" s="3481">
        <v>81946</v>
      </c>
      <c r="N216" s="3481">
        <v>107997</v>
      </c>
      <c r="O216" s="3479" t="s">
        <v>4305</v>
      </c>
      <c r="P216" s="3479" t="s">
        <v>4306</v>
      </c>
    </row>
    <row r="217" spans="1:16" ht="27" hidden="1">
      <c r="A217" s="3479" t="s">
        <v>4307</v>
      </c>
      <c r="B217" s="3479" t="s">
        <v>4308</v>
      </c>
      <c r="C217" s="3479" t="s">
        <v>3487</v>
      </c>
      <c r="D217" s="3479" t="s">
        <v>3753</v>
      </c>
      <c r="E217" s="3479" t="s">
        <v>3708</v>
      </c>
      <c r="F217" s="3479" t="s">
        <v>3529</v>
      </c>
      <c r="G217" s="3479" t="s">
        <v>3529</v>
      </c>
      <c r="H217" s="3479" t="s">
        <v>633</v>
      </c>
      <c r="I217" s="3480">
        <v>43913</v>
      </c>
      <c r="J217" s="3479" t="s">
        <v>3491</v>
      </c>
      <c r="K217" s="3479" t="s">
        <v>3530</v>
      </c>
      <c r="L217" s="3481">
        <v>47600</v>
      </c>
      <c r="M217" s="3481">
        <v>82519</v>
      </c>
      <c r="N217" s="3481">
        <v>5768</v>
      </c>
      <c r="O217" s="3479" t="s">
        <v>4309</v>
      </c>
      <c r="P217" s="3479" t="s">
        <v>4310</v>
      </c>
    </row>
    <row r="218" spans="1:16" ht="27" hidden="1">
      <c r="A218" s="3479" t="s">
        <v>4311</v>
      </c>
      <c r="B218" s="3479" t="s">
        <v>4312</v>
      </c>
      <c r="C218" s="3479" t="s">
        <v>3487</v>
      </c>
      <c r="D218" s="3479" t="s">
        <v>3603</v>
      </c>
      <c r="E218" s="3479" t="s">
        <v>3902</v>
      </c>
      <c r="F218" s="3479" t="s">
        <v>3499</v>
      </c>
      <c r="G218" s="3479" t="s">
        <v>3499</v>
      </c>
      <c r="H218" s="3479" t="s">
        <v>3534</v>
      </c>
      <c r="I218" s="3480">
        <v>44348</v>
      </c>
      <c r="J218" s="3479" t="s">
        <v>3491</v>
      </c>
      <c r="K218" s="3479" t="s">
        <v>3530</v>
      </c>
      <c r="L218" s="3481">
        <v>905722.87</v>
      </c>
      <c r="M218" s="3481">
        <v>85203</v>
      </c>
      <c r="N218" s="3481">
        <v>107627.08</v>
      </c>
      <c r="O218" s="3479" t="s">
        <v>4313</v>
      </c>
      <c r="P218" s="3479" t="s">
        <v>4314</v>
      </c>
    </row>
    <row r="219" spans="1:16" ht="27" hidden="1">
      <c r="A219" s="3479" t="s">
        <v>4315</v>
      </c>
      <c r="B219" s="3479" t="s">
        <v>4316</v>
      </c>
      <c r="C219" s="3479" t="s">
        <v>3487</v>
      </c>
      <c r="D219" s="3479" t="s">
        <v>3586</v>
      </c>
      <c r="E219" s="3479" t="s">
        <v>4272</v>
      </c>
      <c r="F219" s="3479" t="s">
        <v>3684</v>
      </c>
      <c r="G219" s="3479" t="s">
        <v>3684</v>
      </c>
      <c r="H219" s="3479" t="s">
        <v>3561</v>
      </c>
      <c r="I219" s="3480">
        <v>44764</v>
      </c>
      <c r="J219" s="3479" t="s">
        <v>3491</v>
      </c>
      <c r="K219" s="3479" t="s">
        <v>3492</v>
      </c>
      <c r="L219" s="3481">
        <v>108000</v>
      </c>
      <c r="M219" s="3481">
        <v>87804</v>
      </c>
      <c r="N219" s="3481">
        <v>12300</v>
      </c>
      <c r="O219" s="3479" t="s">
        <v>4317</v>
      </c>
      <c r="P219" s="3479" t="s">
        <v>4040</v>
      </c>
    </row>
    <row r="220" spans="1:16" ht="27" hidden="1">
      <c r="A220" s="3479" t="s">
        <v>4318</v>
      </c>
      <c r="B220" s="3479" t="s">
        <v>4319</v>
      </c>
      <c r="C220" s="3479" t="s">
        <v>3487</v>
      </c>
      <c r="D220" s="3479" t="s">
        <v>3603</v>
      </c>
      <c r="E220" s="3479" t="s">
        <v>4320</v>
      </c>
      <c r="F220" s="3479" t="s">
        <v>673</v>
      </c>
      <c r="G220" s="3479" t="s">
        <v>3513</v>
      </c>
      <c r="H220" s="3479" t="s">
        <v>633</v>
      </c>
      <c r="I220" s="3480">
        <v>45095</v>
      </c>
      <c r="J220" s="3479" t="s">
        <v>3491</v>
      </c>
      <c r="K220" s="3479" t="s">
        <v>3506</v>
      </c>
      <c r="L220" s="3481">
        <v>1831.13</v>
      </c>
      <c r="M220" s="3481">
        <v>90524</v>
      </c>
      <c r="N220" s="3481">
        <v>202.28</v>
      </c>
      <c r="O220" s="3479" t="s">
        <v>3871</v>
      </c>
      <c r="P220" s="3479" t="s">
        <v>4321</v>
      </c>
    </row>
    <row r="221" spans="1:16" ht="27" hidden="1">
      <c r="A221" s="3479" t="s">
        <v>4322</v>
      </c>
      <c r="B221" s="3479" t="s">
        <v>4323</v>
      </c>
      <c r="C221" s="3479" t="s">
        <v>3487</v>
      </c>
      <c r="D221" s="3479" t="s">
        <v>3586</v>
      </c>
      <c r="E221" s="3479" t="s">
        <v>4272</v>
      </c>
      <c r="F221" s="3479" t="s">
        <v>3499</v>
      </c>
      <c r="G221" s="3479" t="s">
        <v>3499</v>
      </c>
      <c r="H221" s="3479" t="s">
        <v>3561</v>
      </c>
      <c r="I221" s="3480">
        <v>43861</v>
      </c>
      <c r="J221" s="3479" t="s">
        <v>3491</v>
      </c>
      <c r="K221" s="3479" t="s">
        <v>3492</v>
      </c>
      <c r="L221" s="3481">
        <v>152300</v>
      </c>
      <c r="M221" s="3481">
        <v>95539</v>
      </c>
      <c r="N221" s="3481">
        <v>15941</v>
      </c>
      <c r="O221" s="3479" t="s">
        <v>4324</v>
      </c>
      <c r="P221" s="3479" t="s">
        <v>4325</v>
      </c>
    </row>
    <row r="222" spans="1:16" ht="27" hidden="1">
      <c r="A222" s="3479" t="s">
        <v>4326</v>
      </c>
      <c r="B222" s="3479" t="s">
        <v>4327</v>
      </c>
      <c r="C222" s="3479" t="s">
        <v>3487</v>
      </c>
      <c r="D222" s="3479" t="s">
        <v>3586</v>
      </c>
      <c r="E222" s="3479" t="s">
        <v>4328</v>
      </c>
      <c r="F222" s="3479" t="s">
        <v>3546</v>
      </c>
      <c r="G222" s="3479" t="s">
        <v>3546</v>
      </c>
      <c r="H222" s="3479" t="s">
        <v>3534</v>
      </c>
      <c r="I222" s="3480">
        <v>42916</v>
      </c>
      <c r="J222" s="3479" t="s">
        <v>3491</v>
      </c>
      <c r="K222" s="3479" t="s">
        <v>633</v>
      </c>
      <c r="L222" s="3481">
        <v>26800</v>
      </c>
      <c r="M222" s="3481">
        <v>100000</v>
      </c>
      <c r="N222" s="3481">
        <v>2680</v>
      </c>
      <c r="O222" s="3479" t="s">
        <v>633</v>
      </c>
      <c r="P222" s="3479" t="s">
        <v>633</v>
      </c>
    </row>
    <row r="223" spans="1:16" hidden="1">
      <c r="A223" s="3479" t="s">
        <v>4329</v>
      </c>
      <c r="B223" s="3479" t="s">
        <v>4330</v>
      </c>
      <c r="C223" s="3479" t="s">
        <v>3487</v>
      </c>
      <c r="D223" s="3479" t="s">
        <v>3586</v>
      </c>
      <c r="E223" s="3479" t="s">
        <v>4272</v>
      </c>
      <c r="F223" s="3479" t="s">
        <v>3499</v>
      </c>
      <c r="G223" s="3479" t="s">
        <v>3499</v>
      </c>
      <c r="H223" s="3479" t="s">
        <v>633</v>
      </c>
      <c r="I223" s="3480">
        <v>43728</v>
      </c>
      <c r="J223" s="3479" t="s">
        <v>3491</v>
      </c>
      <c r="K223" s="3479" t="s">
        <v>633</v>
      </c>
      <c r="L223" s="3481">
        <v>70083</v>
      </c>
      <c r="M223" s="3481">
        <v>110000</v>
      </c>
      <c r="N223" s="3481">
        <v>6371</v>
      </c>
      <c r="O223" s="3479" t="s">
        <v>4331</v>
      </c>
      <c r="P223" s="3479" t="s">
        <v>633</v>
      </c>
    </row>
    <row r="224" spans="1:16" ht="27" hidden="1">
      <c r="A224" s="3479" t="s">
        <v>4332</v>
      </c>
      <c r="B224" s="3479" t="s">
        <v>4319</v>
      </c>
      <c r="C224" s="3479" t="s">
        <v>3487</v>
      </c>
      <c r="D224" s="3479" t="s">
        <v>3962</v>
      </c>
      <c r="E224" s="3479" t="s">
        <v>633</v>
      </c>
      <c r="F224" s="3479" t="s">
        <v>3814</v>
      </c>
      <c r="G224" s="3479" t="s">
        <v>3814</v>
      </c>
      <c r="H224" s="3479" t="s">
        <v>633</v>
      </c>
      <c r="I224" s="3480">
        <v>45113</v>
      </c>
      <c r="J224" s="3479" t="s">
        <v>3491</v>
      </c>
      <c r="K224" s="3479" t="s">
        <v>3506</v>
      </c>
      <c r="L224" s="3481">
        <v>4435.62</v>
      </c>
      <c r="M224" s="3481">
        <v>117282</v>
      </c>
      <c r="N224" s="3481">
        <v>378.2</v>
      </c>
      <c r="O224" s="3479" t="s">
        <v>633</v>
      </c>
      <c r="P224" s="3479" t="s">
        <v>633</v>
      </c>
    </row>
    <row r="225" spans="1:16" ht="40.5" hidden="1">
      <c r="A225" s="3479" t="s">
        <v>4333</v>
      </c>
      <c r="B225" s="3479" t="s">
        <v>4334</v>
      </c>
      <c r="C225" s="3479" t="s">
        <v>3487</v>
      </c>
      <c r="D225" s="3479" t="s">
        <v>3517</v>
      </c>
      <c r="E225" s="3479" t="s">
        <v>633</v>
      </c>
      <c r="F225" s="3479" t="s">
        <v>3</v>
      </c>
      <c r="G225" s="3479" t="s">
        <v>3797</v>
      </c>
      <c r="H225" s="3479" t="s">
        <v>633</v>
      </c>
      <c r="I225" s="3480">
        <v>44035</v>
      </c>
      <c r="J225" s="3479" t="s">
        <v>3491</v>
      </c>
      <c r="K225" s="3479" t="s">
        <v>3492</v>
      </c>
      <c r="L225" s="3481">
        <v>260000</v>
      </c>
      <c r="M225" s="3481">
        <v>123813</v>
      </c>
      <c r="N225" s="3481">
        <v>21000</v>
      </c>
      <c r="O225" s="3479" t="s">
        <v>4335</v>
      </c>
      <c r="P225" s="3479" t="s">
        <v>4336</v>
      </c>
    </row>
    <row r="226" spans="1:16" ht="40.5" hidden="1">
      <c r="A226" s="3479" t="s">
        <v>4337</v>
      </c>
      <c r="B226" s="3479" t="s">
        <v>4338</v>
      </c>
      <c r="C226" s="3479" t="s">
        <v>3487</v>
      </c>
      <c r="D226" s="3479" t="s">
        <v>4339</v>
      </c>
      <c r="E226" s="3479" t="s">
        <v>633</v>
      </c>
      <c r="F226" s="3479" t="s">
        <v>673</v>
      </c>
      <c r="G226" s="3479" t="s">
        <v>3518</v>
      </c>
      <c r="H226" s="3479" t="s">
        <v>633</v>
      </c>
      <c r="I226" s="3480">
        <v>45342</v>
      </c>
      <c r="J226" s="3479" t="s">
        <v>3491</v>
      </c>
      <c r="K226" s="3479" t="s">
        <v>3506</v>
      </c>
      <c r="L226" s="3481">
        <v>10940.25</v>
      </c>
      <c r="M226" s="3481">
        <v>124599</v>
      </c>
      <c r="N226" s="3481">
        <v>878.04</v>
      </c>
      <c r="O226" s="3479" t="s">
        <v>4340</v>
      </c>
      <c r="P226" s="3479" t="s">
        <v>633</v>
      </c>
    </row>
    <row r="227" spans="1:16">
      <c r="A227" s="3479" t="s">
        <v>4341</v>
      </c>
      <c r="B227" s="3479" t="s">
        <v>4342</v>
      </c>
      <c r="C227" s="3479" t="s">
        <v>3487</v>
      </c>
      <c r="D227" s="3479" t="s">
        <v>3603</v>
      </c>
      <c r="E227" s="3479" t="s">
        <v>4343</v>
      </c>
      <c r="F227" s="3479" t="s">
        <v>3499</v>
      </c>
      <c r="G227" s="3479" t="s">
        <v>3499</v>
      </c>
      <c r="H227" s="3479" t="s">
        <v>633</v>
      </c>
      <c r="I227" s="3480">
        <v>45107</v>
      </c>
      <c r="J227" s="3479" t="s">
        <v>3491</v>
      </c>
      <c r="K227" s="3479" t="s">
        <v>3492</v>
      </c>
      <c r="L227" s="3483" t="s">
        <v>633</v>
      </c>
      <c r="M227" s="3483" t="s">
        <v>633</v>
      </c>
      <c r="N227" s="3481">
        <v>37640</v>
      </c>
      <c r="O227" s="3479" t="s">
        <v>4344</v>
      </c>
      <c r="P227" s="3479" t="s">
        <v>4345</v>
      </c>
    </row>
    <row r="228" spans="1:16" ht="27" hidden="1">
      <c r="A228" s="3479" t="s">
        <v>4346</v>
      </c>
      <c r="B228" s="3479" t="s">
        <v>4347</v>
      </c>
      <c r="C228" s="3479" t="s">
        <v>3487</v>
      </c>
      <c r="D228" s="3479" t="s">
        <v>3603</v>
      </c>
      <c r="E228" s="3479" t="s">
        <v>3880</v>
      </c>
      <c r="F228" s="3479" t="s">
        <v>3814</v>
      </c>
      <c r="G228" s="3479" t="s">
        <v>3814</v>
      </c>
      <c r="H228" s="3479" t="s">
        <v>633</v>
      </c>
      <c r="I228" s="3480">
        <v>45105</v>
      </c>
      <c r="J228" s="3479" t="s">
        <v>3491</v>
      </c>
      <c r="K228" s="3479" t="s">
        <v>3530</v>
      </c>
      <c r="L228" s="3481">
        <v>20800</v>
      </c>
      <c r="M228" s="3483" t="s">
        <v>633</v>
      </c>
      <c r="N228" s="3483" t="s">
        <v>633</v>
      </c>
      <c r="O228" s="3479" t="s">
        <v>4348</v>
      </c>
      <c r="P228" s="3479" t="s">
        <v>4349</v>
      </c>
    </row>
    <row r="229" spans="1:16" ht="67.5" hidden="1">
      <c r="A229" s="3479" t="s">
        <v>4350</v>
      </c>
      <c r="B229" s="3479" t="s">
        <v>4351</v>
      </c>
      <c r="C229" s="3479" t="s">
        <v>3487</v>
      </c>
      <c r="D229" s="3479" t="s">
        <v>3598</v>
      </c>
      <c r="E229" s="3479" t="s">
        <v>3808</v>
      </c>
      <c r="F229" s="3479" t="s">
        <v>3684</v>
      </c>
      <c r="G229" s="3479" t="s">
        <v>3684</v>
      </c>
      <c r="H229" s="3479" t="s">
        <v>633</v>
      </c>
      <c r="I229" s="3480">
        <v>45082</v>
      </c>
      <c r="J229" s="3479" t="s">
        <v>3491</v>
      </c>
      <c r="K229" s="3479" t="s">
        <v>3506</v>
      </c>
      <c r="L229" s="3481">
        <v>1850.78</v>
      </c>
      <c r="M229" s="3483" t="s">
        <v>633</v>
      </c>
      <c r="N229" s="3483" t="s">
        <v>633</v>
      </c>
      <c r="O229" s="3479" t="s">
        <v>633</v>
      </c>
      <c r="P229" s="3479" t="s">
        <v>633</v>
      </c>
    </row>
    <row r="230" spans="1:16" ht="40.5" hidden="1">
      <c r="A230" s="3479" t="s">
        <v>4352</v>
      </c>
      <c r="B230" s="3479" t="s">
        <v>3636</v>
      </c>
      <c r="C230" s="3479" t="s">
        <v>3487</v>
      </c>
      <c r="D230" s="3479" t="s">
        <v>3603</v>
      </c>
      <c r="E230" s="3479" t="s">
        <v>3637</v>
      </c>
      <c r="F230" s="3479" t="s">
        <v>3499</v>
      </c>
      <c r="G230" s="3479" t="s">
        <v>3499</v>
      </c>
      <c r="H230" s="3479" t="s">
        <v>3534</v>
      </c>
      <c r="I230" s="3480">
        <v>45073</v>
      </c>
      <c r="J230" s="3479" t="s">
        <v>3491</v>
      </c>
      <c r="K230" s="3479" t="s">
        <v>3506</v>
      </c>
      <c r="L230" s="3481">
        <v>2376.27</v>
      </c>
      <c r="M230" s="3483" t="s">
        <v>633</v>
      </c>
      <c r="N230" s="3481">
        <v>1208.01</v>
      </c>
      <c r="O230" s="3479" t="s">
        <v>633</v>
      </c>
      <c r="P230" s="3479" t="s">
        <v>633</v>
      </c>
    </row>
    <row r="231" spans="1:16" hidden="1">
      <c r="A231" s="3479" t="s">
        <v>4353</v>
      </c>
      <c r="B231" s="3479" t="s">
        <v>3892</v>
      </c>
      <c r="C231" s="3479" t="s">
        <v>3487</v>
      </c>
      <c r="D231" s="3479" t="s">
        <v>3544</v>
      </c>
      <c r="E231" s="3479" t="s">
        <v>3893</v>
      </c>
      <c r="F231" s="3479" t="s">
        <v>3499</v>
      </c>
      <c r="G231" s="3479" t="s">
        <v>3499</v>
      </c>
      <c r="H231" s="3479" t="s">
        <v>3534</v>
      </c>
      <c r="I231" s="3480">
        <v>45040</v>
      </c>
      <c r="J231" s="3479" t="s">
        <v>3491</v>
      </c>
      <c r="K231" s="3479" t="s">
        <v>3506</v>
      </c>
      <c r="L231" s="3481">
        <v>745</v>
      </c>
      <c r="M231" s="3483" t="s">
        <v>633</v>
      </c>
      <c r="N231" s="3483" t="s">
        <v>633</v>
      </c>
      <c r="O231" s="3479" t="s">
        <v>633</v>
      </c>
      <c r="P231" s="3479" t="s">
        <v>633</v>
      </c>
    </row>
    <row r="232" spans="1:16" ht="27" hidden="1">
      <c r="A232" s="3479" t="s">
        <v>4354</v>
      </c>
      <c r="B232" s="3479" t="s">
        <v>4355</v>
      </c>
      <c r="C232" s="3479" t="s">
        <v>3487</v>
      </c>
      <c r="D232" s="3479" t="s">
        <v>3603</v>
      </c>
      <c r="E232" s="3479" t="s">
        <v>633</v>
      </c>
      <c r="F232" s="3479" t="s">
        <v>633</v>
      </c>
      <c r="G232" s="3479" t="s">
        <v>633</v>
      </c>
      <c r="H232" s="3479" t="s">
        <v>633</v>
      </c>
      <c r="I232" s="3480">
        <v>45036</v>
      </c>
      <c r="J232" s="3479" t="s">
        <v>3491</v>
      </c>
      <c r="K232" s="3479" t="s">
        <v>3530</v>
      </c>
      <c r="L232" s="3483" t="s">
        <v>633</v>
      </c>
      <c r="M232" s="3483" t="s">
        <v>633</v>
      </c>
      <c r="N232" s="3483" t="s">
        <v>633</v>
      </c>
      <c r="O232" s="3479" t="s">
        <v>4356</v>
      </c>
      <c r="P232" s="3479" t="s">
        <v>4357</v>
      </c>
    </row>
    <row r="233" spans="1:16" ht="27" hidden="1">
      <c r="A233" s="3479" t="s">
        <v>4358</v>
      </c>
      <c r="B233" s="3479" t="s">
        <v>4359</v>
      </c>
      <c r="C233" s="3479" t="s">
        <v>3487</v>
      </c>
      <c r="D233" s="3479" t="s">
        <v>3544</v>
      </c>
      <c r="E233" s="3479" t="s">
        <v>4360</v>
      </c>
      <c r="F233" s="3479" t="s">
        <v>673</v>
      </c>
      <c r="G233" s="3479" t="s">
        <v>3513</v>
      </c>
      <c r="H233" s="3479" t="s">
        <v>633</v>
      </c>
      <c r="I233" s="3480">
        <v>45033</v>
      </c>
      <c r="J233" s="3479" t="s">
        <v>3491</v>
      </c>
      <c r="K233" s="3479" t="s">
        <v>3506</v>
      </c>
      <c r="L233" s="3481">
        <v>6963</v>
      </c>
      <c r="M233" s="3483" t="s">
        <v>633</v>
      </c>
      <c r="N233" s="3483" t="s">
        <v>633</v>
      </c>
      <c r="O233" s="3479" t="s">
        <v>633</v>
      </c>
      <c r="P233" s="3479" t="s">
        <v>4361</v>
      </c>
    </row>
    <row r="234" spans="1:16" ht="27" hidden="1">
      <c r="A234" s="3479" t="s">
        <v>4362</v>
      </c>
      <c r="B234" s="3479" t="s">
        <v>4363</v>
      </c>
      <c r="C234" s="3479" t="s">
        <v>3487</v>
      </c>
      <c r="D234" s="3479" t="s">
        <v>3504</v>
      </c>
      <c r="E234" s="3479" t="s">
        <v>3560</v>
      </c>
      <c r="F234" s="3479" t="s">
        <v>673</v>
      </c>
      <c r="G234" s="3479" t="s">
        <v>3513</v>
      </c>
      <c r="H234" s="3479" t="s">
        <v>633</v>
      </c>
      <c r="I234" s="3480">
        <v>45022</v>
      </c>
      <c r="J234" s="3479" t="s">
        <v>3491</v>
      </c>
      <c r="K234" s="3479" t="s">
        <v>3506</v>
      </c>
      <c r="L234" s="3481">
        <v>1784</v>
      </c>
      <c r="M234" s="3483" t="s">
        <v>633</v>
      </c>
      <c r="N234" s="3483" t="s">
        <v>633</v>
      </c>
      <c r="O234" s="3479" t="s">
        <v>633</v>
      </c>
      <c r="P234" s="3479" t="s">
        <v>633</v>
      </c>
    </row>
    <row r="235" spans="1:16" ht="81">
      <c r="A235" s="3479" t="s">
        <v>4364</v>
      </c>
      <c r="B235" s="3479" t="s">
        <v>4365</v>
      </c>
      <c r="C235" s="3479" t="s">
        <v>4366</v>
      </c>
      <c r="D235" s="3479" t="s">
        <v>633</v>
      </c>
      <c r="E235" s="3479" t="s">
        <v>633</v>
      </c>
      <c r="F235" s="3479" t="s">
        <v>3499</v>
      </c>
      <c r="G235" s="3479" t="s">
        <v>3499</v>
      </c>
      <c r="H235" s="3479" t="s">
        <v>633</v>
      </c>
      <c r="I235" s="3480">
        <v>44946</v>
      </c>
      <c r="J235" s="3479" t="s">
        <v>3491</v>
      </c>
      <c r="K235" s="3479" t="s">
        <v>3530</v>
      </c>
      <c r="L235" s="3481">
        <v>733300</v>
      </c>
      <c r="M235" s="3483" t="s">
        <v>633</v>
      </c>
      <c r="N235" s="3483" t="s">
        <v>633</v>
      </c>
      <c r="O235" s="3479" t="s">
        <v>4367</v>
      </c>
      <c r="P235" s="3479" t="s">
        <v>4368</v>
      </c>
    </row>
    <row r="236" spans="1:16">
      <c r="A236" s="3479" t="s">
        <v>4369</v>
      </c>
      <c r="B236" s="3479" t="s">
        <v>4370</v>
      </c>
      <c r="C236" s="3479" t="s">
        <v>3487</v>
      </c>
      <c r="D236" s="3479" t="s">
        <v>3586</v>
      </c>
      <c r="E236" s="3479" t="s">
        <v>4371</v>
      </c>
      <c r="F236" s="3479" t="s">
        <v>3499</v>
      </c>
      <c r="G236" s="3479" t="s">
        <v>3499</v>
      </c>
      <c r="H236" s="3479" t="s">
        <v>633</v>
      </c>
      <c r="I236" s="3480">
        <v>44944</v>
      </c>
      <c r="J236" s="3479" t="s">
        <v>3491</v>
      </c>
      <c r="K236" s="3479" t="s">
        <v>3492</v>
      </c>
      <c r="L236" s="3481">
        <v>46100</v>
      </c>
      <c r="M236" s="3483" t="s">
        <v>633</v>
      </c>
      <c r="N236" s="3483" t="s">
        <v>633</v>
      </c>
      <c r="O236" s="3479" t="s">
        <v>4372</v>
      </c>
      <c r="P236" s="3479" t="s">
        <v>4373</v>
      </c>
    </row>
    <row r="237" spans="1:16" ht="27" hidden="1">
      <c r="A237" s="3479" t="s">
        <v>4374</v>
      </c>
      <c r="B237" s="3479" t="s">
        <v>4375</v>
      </c>
      <c r="C237" s="3479" t="s">
        <v>3487</v>
      </c>
      <c r="D237" s="3479" t="s">
        <v>3603</v>
      </c>
      <c r="E237" s="3479" t="s">
        <v>633</v>
      </c>
      <c r="F237" s="3479" t="s">
        <v>633</v>
      </c>
      <c r="G237" s="3479" t="s">
        <v>633</v>
      </c>
      <c r="H237" s="3479" t="s">
        <v>633</v>
      </c>
      <c r="I237" s="3480">
        <v>44930</v>
      </c>
      <c r="J237" s="3479" t="s">
        <v>3491</v>
      </c>
      <c r="K237" s="3479" t="s">
        <v>3530</v>
      </c>
      <c r="L237" s="3481">
        <v>190000</v>
      </c>
      <c r="M237" s="3483" t="s">
        <v>633</v>
      </c>
      <c r="N237" s="3483" t="s">
        <v>633</v>
      </c>
      <c r="O237" s="3479" t="s">
        <v>4376</v>
      </c>
      <c r="P237" s="3479" t="s">
        <v>633</v>
      </c>
    </row>
    <row r="238" spans="1:16" ht="27" hidden="1">
      <c r="A238" s="3479" t="s">
        <v>4377</v>
      </c>
      <c r="B238" s="3479" t="s">
        <v>4378</v>
      </c>
      <c r="C238" s="3479" t="s">
        <v>3487</v>
      </c>
      <c r="D238" s="3479" t="s">
        <v>3488</v>
      </c>
      <c r="E238" s="3479" t="s">
        <v>3556</v>
      </c>
      <c r="F238" s="3479" t="s">
        <v>3546</v>
      </c>
      <c r="G238" s="3479" t="s">
        <v>3546</v>
      </c>
      <c r="H238" s="3479" t="s">
        <v>633</v>
      </c>
      <c r="I238" s="3480">
        <v>44926</v>
      </c>
      <c r="J238" s="3479" t="s">
        <v>3491</v>
      </c>
      <c r="K238" s="3479" t="s">
        <v>3530</v>
      </c>
      <c r="L238" s="3483" t="s">
        <v>633</v>
      </c>
      <c r="M238" s="3483" t="s">
        <v>633</v>
      </c>
      <c r="N238" s="3483" t="s">
        <v>633</v>
      </c>
      <c r="O238" s="3479" t="s">
        <v>4379</v>
      </c>
      <c r="P238" s="3479" t="s">
        <v>633</v>
      </c>
    </row>
    <row r="239" spans="1:16" ht="27">
      <c r="A239" s="3479" t="s">
        <v>4380</v>
      </c>
      <c r="B239" s="3479" t="s">
        <v>4381</v>
      </c>
      <c r="C239" s="3479" t="s">
        <v>3487</v>
      </c>
      <c r="D239" s="3479" t="s">
        <v>3603</v>
      </c>
      <c r="E239" s="3479" t="s">
        <v>4106</v>
      </c>
      <c r="F239" s="3479" t="s">
        <v>673</v>
      </c>
      <c r="G239" s="3479" t="s">
        <v>3518</v>
      </c>
      <c r="H239" s="3479" t="s">
        <v>633</v>
      </c>
      <c r="I239" s="3480">
        <v>44883</v>
      </c>
      <c r="J239" s="3479" t="s">
        <v>3491</v>
      </c>
      <c r="K239" s="3479" t="s">
        <v>3492</v>
      </c>
      <c r="L239" s="3481">
        <v>12480.37</v>
      </c>
      <c r="M239" s="3483" t="s">
        <v>633</v>
      </c>
      <c r="N239" s="3483" t="s">
        <v>633</v>
      </c>
      <c r="O239" s="3479" t="s">
        <v>4382</v>
      </c>
      <c r="P239" s="3479" t="s">
        <v>633</v>
      </c>
    </row>
    <row r="240" spans="1:16" ht="54">
      <c r="A240" s="3479" t="s">
        <v>4383</v>
      </c>
      <c r="B240" s="3479" t="s">
        <v>4384</v>
      </c>
      <c r="C240" s="3479" t="s">
        <v>3487</v>
      </c>
      <c r="D240" s="3479" t="s">
        <v>3603</v>
      </c>
      <c r="E240" s="3479" t="s">
        <v>3813</v>
      </c>
      <c r="F240" s="3479" t="s">
        <v>3499</v>
      </c>
      <c r="G240" s="3479" t="s">
        <v>3499</v>
      </c>
      <c r="H240" s="3479" t="s">
        <v>3534</v>
      </c>
      <c r="I240" s="3480">
        <v>44851</v>
      </c>
      <c r="J240" s="3479" t="s">
        <v>3491</v>
      </c>
      <c r="K240" s="3479" t="s">
        <v>3530</v>
      </c>
      <c r="L240" s="3481">
        <v>23300</v>
      </c>
      <c r="M240" s="3483" t="s">
        <v>633</v>
      </c>
      <c r="N240" s="3483" t="s">
        <v>633</v>
      </c>
      <c r="O240" s="3479" t="s">
        <v>4385</v>
      </c>
      <c r="P240" s="3479" t="s">
        <v>4386</v>
      </c>
    </row>
    <row r="241" spans="1:16" ht="27">
      <c r="A241" s="3479" t="s">
        <v>4387</v>
      </c>
      <c r="B241" s="3479" t="s">
        <v>4388</v>
      </c>
      <c r="C241" s="3479" t="s">
        <v>3487</v>
      </c>
      <c r="D241" s="3479" t="s">
        <v>3586</v>
      </c>
      <c r="E241" s="3479" t="s">
        <v>4371</v>
      </c>
      <c r="F241" s="3479" t="s">
        <v>3499</v>
      </c>
      <c r="G241" s="3479" t="s">
        <v>3499</v>
      </c>
      <c r="H241" s="3479" t="s">
        <v>3561</v>
      </c>
      <c r="I241" s="3480">
        <v>44835</v>
      </c>
      <c r="J241" s="3479" t="s">
        <v>3491</v>
      </c>
      <c r="K241" s="3479" t="s">
        <v>3492</v>
      </c>
      <c r="L241" s="3481">
        <v>34000</v>
      </c>
      <c r="M241" s="3483" t="s">
        <v>633</v>
      </c>
      <c r="N241" s="3481">
        <v>6747</v>
      </c>
      <c r="O241" s="3479" t="s">
        <v>4389</v>
      </c>
      <c r="P241" s="3479" t="s">
        <v>4390</v>
      </c>
    </row>
    <row r="242" spans="1:16" ht="27">
      <c r="A242" s="3479" t="s">
        <v>4391</v>
      </c>
      <c r="B242" s="3479" t="s">
        <v>4392</v>
      </c>
      <c r="C242" s="3479" t="s">
        <v>3487</v>
      </c>
      <c r="D242" s="3479" t="s">
        <v>3603</v>
      </c>
      <c r="E242" s="3479" t="s">
        <v>633</v>
      </c>
      <c r="F242" s="3479" t="s">
        <v>3499</v>
      </c>
      <c r="G242" s="3479" t="s">
        <v>3499</v>
      </c>
      <c r="H242" s="3479" t="s">
        <v>633</v>
      </c>
      <c r="I242" s="3480">
        <v>44725</v>
      </c>
      <c r="J242" s="3479" t="s">
        <v>4393</v>
      </c>
      <c r="K242" s="3479" t="s">
        <v>3530</v>
      </c>
      <c r="L242" s="3481">
        <v>134200</v>
      </c>
      <c r="M242" s="3483" t="s">
        <v>633</v>
      </c>
      <c r="N242" s="3483" t="s">
        <v>633</v>
      </c>
      <c r="O242" s="3479" t="s">
        <v>4394</v>
      </c>
      <c r="P242" s="3479" t="s">
        <v>3661</v>
      </c>
    </row>
    <row r="243" spans="1:16" ht="27" hidden="1">
      <c r="A243" s="3479" t="s">
        <v>4395</v>
      </c>
      <c r="B243" s="3479" t="s">
        <v>4396</v>
      </c>
      <c r="C243" s="3479" t="s">
        <v>3487</v>
      </c>
      <c r="D243" s="3479" t="s">
        <v>3544</v>
      </c>
      <c r="E243" s="3479" t="s">
        <v>633</v>
      </c>
      <c r="F243" s="3479" t="s">
        <v>3518</v>
      </c>
      <c r="G243" s="3479" t="s">
        <v>3518</v>
      </c>
      <c r="H243" s="3479" t="s">
        <v>633</v>
      </c>
      <c r="I243" s="3480">
        <v>44720</v>
      </c>
      <c r="J243" s="3479" t="s">
        <v>3491</v>
      </c>
      <c r="K243" s="3479" t="s">
        <v>3530</v>
      </c>
      <c r="L243" s="3481">
        <v>9700</v>
      </c>
      <c r="M243" s="3483" t="s">
        <v>633</v>
      </c>
      <c r="N243" s="3483" t="s">
        <v>633</v>
      </c>
      <c r="O243" s="3479" t="s">
        <v>4397</v>
      </c>
      <c r="P243" s="3479" t="s">
        <v>4398</v>
      </c>
    </row>
    <row r="244" spans="1:16" ht="27" hidden="1">
      <c r="A244" s="3479" t="s">
        <v>4399</v>
      </c>
      <c r="B244" s="3479" t="s">
        <v>4400</v>
      </c>
      <c r="C244" s="3479" t="s">
        <v>3487</v>
      </c>
      <c r="D244" s="3479" t="s">
        <v>3488</v>
      </c>
      <c r="E244" s="3479" t="s">
        <v>633</v>
      </c>
      <c r="F244" s="3479" t="s">
        <v>3814</v>
      </c>
      <c r="G244" s="3479" t="s">
        <v>3814</v>
      </c>
      <c r="H244" s="3479" t="s">
        <v>633</v>
      </c>
      <c r="I244" s="3480">
        <v>44636</v>
      </c>
      <c r="J244" s="3479" t="s">
        <v>3491</v>
      </c>
      <c r="K244" s="3479" t="s">
        <v>3492</v>
      </c>
      <c r="L244" s="3481">
        <v>187000</v>
      </c>
      <c r="M244" s="3483" t="s">
        <v>633</v>
      </c>
      <c r="N244" s="3483" t="s">
        <v>633</v>
      </c>
      <c r="O244" s="3479" t="s">
        <v>4401</v>
      </c>
      <c r="P244" s="3479" t="s">
        <v>4402</v>
      </c>
    </row>
    <row r="245" spans="1:16" ht="27" hidden="1">
      <c r="A245" s="3479" t="s">
        <v>4403</v>
      </c>
      <c r="B245" s="3479" t="s">
        <v>4404</v>
      </c>
      <c r="C245" s="3479" t="s">
        <v>3487</v>
      </c>
      <c r="D245" s="3479" t="s">
        <v>3598</v>
      </c>
      <c r="E245" s="3479" t="s">
        <v>633</v>
      </c>
      <c r="F245" s="3479" t="s">
        <v>3546</v>
      </c>
      <c r="G245" s="3479" t="s">
        <v>3546</v>
      </c>
      <c r="H245" s="3479" t="s">
        <v>633</v>
      </c>
      <c r="I245" s="3480">
        <v>44615</v>
      </c>
      <c r="J245" s="3479" t="s">
        <v>3491</v>
      </c>
      <c r="K245" s="3479" t="s">
        <v>3492</v>
      </c>
      <c r="L245" s="3481">
        <v>6400</v>
      </c>
      <c r="M245" s="3483" t="s">
        <v>633</v>
      </c>
      <c r="N245" s="3483" t="s">
        <v>633</v>
      </c>
      <c r="O245" s="3479" t="s">
        <v>633</v>
      </c>
      <c r="P245" s="3479" t="s">
        <v>4405</v>
      </c>
    </row>
    <row r="246" spans="1:16" ht="27">
      <c r="A246" s="3479" t="s">
        <v>4406</v>
      </c>
      <c r="B246" s="3479" t="s">
        <v>4407</v>
      </c>
      <c r="C246" s="3479" t="s">
        <v>3487</v>
      </c>
      <c r="D246" s="3479" t="s">
        <v>3603</v>
      </c>
      <c r="E246" s="3479" t="s">
        <v>633</v>
      </c>
      <c r="F246" s="3479" t="s">
        <v>673</v>
      </c>
      <c r="G246" s="3479" t="s">
        <v>3513</v>
      </c>
      <c r="H246" s="3479" t="s">
        <v>633</v>
      </c>
      <c r="I246" s="3480">
        <v>44566</v>
      </c>
      <c r="J246" s="3479" t="s">
        <v>3491</v>
      </c>
      <c r="K246" s="3479" t="s">
        <v>3492</v>
      </c>
      <c r="L246" s="3481">
        <v>7380</v>
      </c>
      <c r="M246" s="3483" t="s">
        <v>633</v>
      </c>
      <c r="N246" s="3483" t="s">
        <v>633</v>
      </c>
      <c r="O246" s="3479" t="s">
        <v>633</v>
      </c>
      <c r="P246" s="3479" t="s">
        <v>4408</v>
      </c>
    </row>
    <row r="247" spans="1:16" ht="27" hidden="1">
      <c r="A247" s="3479" t="s">
        <v>4409</v>
      </c>
      <c r="B247" s="3479" t="s">
        <v>4410</v>
      </c>
      <c r="C247" s="3479" t="s">
        <v>3487</v>
      </c>
      <c r="D247" s="3479" t="s">
        <v>3488</v>
      </c>
      <c r="E247" s="3479" t="s">
        <v>633</v>
      </c>
      <c r="F247" s="3479" t="s">
        <v>673</v>
      </c>
      <c r="G247" s="3479" t="s">
        <v>3513</v>
      </c>
      <c r="H247" s="3479" t="s">
        <v>633</v>
      </c>
      <c r="I247" s="3480">
        <v>44560</v>
      </c>
      <c r="J247" s="3479" t="s">
        <v>3491</v>
      </c>
      <c r="K247" s="3479" t="s">
        <v>3492</v>
      </c>
      <c r="L247" s="3481">
        <v>9156</v>
      </c>
      <c r="M247" s="3483" t="s">
        <v>633</v>
      </c>
      <c r="N247" s="3483" t="s">
        <v>633</v>
      </c>
      <c r="O247" s="3479" t="s">
        <v>633</v>
      </c>
      <c r="P247" s="3479" t="s">
        <v>4411</v>
      </c>
    </row>
    <row r="248" spans="1:16" ht="27" hidden="1">
      <c r="A248" s="3479" t="s">
        <v>4412</v>
      </c>
      <c r="B248" s="3479" t="s">
        <v>4413</v>
      </c>
      <c r="C248" s="3479" t="s">
        <v>3487</v>
      </c>
      <c r="D248" s="3479" t="s">
        <v>3586</v>
      </c>
      <c r="E248" s="3479" t="s">
        <v>4272</v>
      </c>
      <c r="F248" s="3479" t="s">
        <v>3684</v>
      </c>
      <c r="G248" s="3479" t="s">
        <v>3684</v>
      </c>
      <c r="H248" s="3479" t="s">
        <v>633</v>
      </c>
      <c r="I248" s="3480">
        <v>44554</v>
      </c>
      <c r="J248" s="3479" t="s">
        <v>4393</v>
      </c>
      <c r="K248" s="3479" t="s">
        <v>3492</v>
      </c>
      <c r="L248" s="3483" t="s">
        <v>633</v>
      </c>
      <c r="M248" s="3483" t="s">
        <v>633</v>
      </c>
      <c r="N248" s="3483" t="s">
        <v>633</v>
      </c>
      <c r="O248" s="3479" t="s">
        <v>4414</v>
      </c>
      <c r="P248" s="3479" t="s">
        <v>4415</v>
      </c>
    </row>
    <row r="249" spans="1:16" ht="27" hidden="1">
      <c r="A249" s="3479" t="s">
        <v>4416</v>
      </c>
      <c r="B249" s="3479" t="s">
        <v>4417</v>
      </c>
      <c r="C249" s="3479" t="s">
        <v>3487</v>
      </c>
      <c r="D249" s="3479" t="s">
        <v>3586</v>
      </c>
      <c r="E249" s="3479" t="s">
        <v>633</v>
      </c>
      <c r="F249" s="3479" t="s">
        <v>673</v>
      </c>
      <c r="G249" s="3479" t="s">
        <v>3572</v>
      </c>
      <c r="H249" s="3479" t="s">
        <v>633</v>
      </c>
      <c r="I249" s="3480">
        <v>44540</v>
      </c>
      <c r="J249" s="3479" t="s">
        <v>3491</v>
      </c>
      <c r="K249" s="3479" t="s">
        <v>3530</v>
      </c>
      <c r="L249" s="3481">
        <v>1923.61</v>
      </c>
      <c r="M249" s="3483" t="s">
        <v>633</v>
      </c>
      <c r="N249" s="3483" t="s">
        <v>633</v>
      </c>
      <c r="O249" s="3479" t="s">
        <v>4418</v>
      </c>
      <c r="P249" s="3479" t="s">
        <v>4419</v>
      </c>
    </row>
    <row r="250" spans="1:16" ht="27" hidden="1">
      <c r="A250" s="3479" t="s">
        <v>4420</v>
      </c>
      <c r="B250" s="3479" t="s">
        <v>4421</v>
      </c>
      <c r="C250" s="3479" t="s">
        <v>3487</v>
      </c>
      <c r="D250" s="3479" t="s">
        <v>3603</v>
      </c>
      <c r="E250" s="3479" t="s">
        <v>633</v>
      </c>
      <c r="F250" s="3479" t="s">
        <v>3499</v>
      </c>
      <c r="G250" s="3479" t="s">
        <v>3499</v>
      </c>
      <c r="H250" s="3479" t="s">
        <v>633</v>
      </c>
      <c r="I250" s="3480">
        <v>44538</v>
      </c>
      <c r="J250" s="3479" t="s">
        <v>4393</v>
      </c>
      <c r="K250" s="3479" t="s">
        <v>3530</v>
      </c>
      <c r="L250" s="3481">
        <v>22000</v>
      </c>
      <c r="M250" s="3483" t="s">
        <v>633</v>
      </c>
      <c r="N250" s="3483" t="s">
        <v>633</v>
      </c>
      <c r="O250" s="3479" t="s">
        <v>4422</v>
      </c>
      <c r="P250" s="3479" t="s">
        <v>4423</v>
      </c>
    </row>
    <row r="251" spans="1:16" ht="27" hidden="1">
      <c r="A251" s="3479" t="s">
        <v>4424</v>
      </c>
      <c r="B251" s="3479" t="s">
        <v>4425</v>
      </c>
      <c r="C251" s="3479" t="s">
        <v>3487</v>
      </c>
      <c r="D251" s="3479" t="s">
        <v>3603</v>
      </c>
      <c r="E251" s="3479" t="s">
        <v>633</v>
      </c>
      <c r="F251" s="3479" t="s">
        <v>3499</v>
      </c>
      <c r="G251" s="3479" t="s">
        <v>3499</v>
      </c>
      <c r="H251" s="3479" t="s">
        <v>633</v>
      </c>
      <c r="I251" s="3480">
        <v>44512</v>
      </c>
      <c r="J251" s="3479" t="s">
        <v>3491</v>
      </c>
      <c r="K251" s="3479" t="s">
        <v>3492</v>
      </c>
      <c r="L251" s="3481">
        <v>9201</v>
      </c>
      <c r="M251" s="3483" t="s">
        <v>633</v>
      </c>
      <c r="N251" s="3483" t="s">
        <v>633</v>
      </c>
      <c r="O251" s="3479" t="s">
        <v>633</v>
      </c>
      <c r="P251" s="3479" t="s">
        <v>4426</v>
      </c>
    </row>
    <row r="252" spans="1:16" ht="27" hidden="1">
      <c r="A252" s="3479" t="s">
        <v>4427</v>
      </c>
      <c r="B252" s="3479" t="s">
        <v>4428</v>
      </c>
      <c r="C252" s="3479" t="s">
        <v>3487</v>
      </c>
      <c r="D252" s="3479" t="s">
        <v>3603</v>
      </c>
      <c r="E252" s="3479" t="s">
        <v>633</v>
      </c>
      <c r="F252" s="3479" t="s">
        <v>3499</v>
      </c>
      <c r="G252" s="3479" t="s">
        <v>3499</v>
      </c>
      <c r="H252" s="3479" t="s">
        <v>633</v>
      </c>
      <c r="I252" s="3480">
        <v>44509</v>
      </c>
      <c r="J252" s="3479" t="s">
        <v>3491</v>
      </c>
      <c r="K252" s="3479" t="s">
        <v>3506</v>
      </c>
      <c r="L252" s="3481">
        <v>33900</v>
      </c>
      <c r="M252" s="3483" t="s">
        <v>633</v>
      </c>
      <c r="N252" s="3483" t="s">
        <v>633</v>
      </c>
      <c r="O252" s="3479" t="s">
        <v>4429</v>
      </c>
      <c r="P252" s="3479" t="s">
        <v>633</v>
      </c>
    </row>
    <row r="253" spans="1:16" ht="40.5" hidden="1">
      <c r="A253" s="3479" t="s">
        <v>4430</v>
      </c>
      <c r="B253" s="3479" t="s">
        <v>4431</v>
      </c>
      <c r="C253" s="3479" t="s">
        <v>3487</v>
      </c>
      <c r="D253" s="3479" t="s">
        <v>3753</v>
      </c>
      <c r="E253" s="3479" t="s">
        <v>4138</v>
      </c>
      <c r="F253" s="3479" t="s">
        <v>3499</v>
      </c>
      <c r="G253" s="3479" t="s">
        <v>3499</v>
      </c>
      <c r="H253" s="3479" t="s">
        <v>3534</v>
      </c>
      <c r="I253" s="3480">
        <v>44469</v>
      </c>
      <c r="J253" s="3479" t="s">
        <v>3491</v>
      </c>
      <c r="K253" s="3479" t="s">
        <v>3492</v>
      </c>
      <c r="L253" s="3481">
        <v>2000000</v>
      </c>
      <c r="M253" s="3483" t="s">
        <v>633</v>
      </c>
      <c r="N253" s="3483" t="s">
        <v>633</v>
      </c>
      <c r="O253" s="3479" t="s">
        <v>4432</v>
      </c>
      <c r="P253" s="3479" t="s">
        <v>4433</v>
      </c>
    </row>
    <row r="254" spans="1:16" ht="54" hidden="1">
      <c r="A254" s="3479" t="s">
        <v>4434</v>
      </c>
      <c r="B254" s="3479" t="s">
        <v>4435</v>
      </c>
      <c r="C254" s="3479" t="s">
        <v>3487</v>
      </c>
      <c r="D254" s="3479" t="s">
        <v>3523</v>
      </c>
      <c r="E254" s="3479" t="s">
        <v>4091</v>
      </c>
      <c r="F254" s="3479" t="s">
        <v>3499</v>
      </c>
      <c r="G254" s="3479" t="s">
        <v>3499</v>
      </c>
      <c r="H254" s="3479" t="s">
        <v>633</v>
      </c>
      <c r="I254" s="3480">
        <v>44449</v>
      </c>
      <c r="J254" s="3479" t="s">
        <v>4393</v>
      </c>
      <c r="K254" s="3479" t="s">
        <v>3492</v>
      </c>
      <c r="L254" s="3481">
        <v>25828</v>
      </c>
      <c r="M254" s="3483" t="s">
        <v>633</v>
      </c>
      <c r="N254" s="3481">
        <v>6522</v>
      </c>
      <c r="O254" s="3479" t="s">
        <v>4436</v>
      </c>
      <c r="P254" s="3479" t="s">
        <v>4437</v>
      </c>
    </row>
    <row r="255" spans="1:16" ht="54" hidden="1">
      <c r="A255" s="3479" t="s">
        <v>4438</v>
      </c>
      <c r="B255" s="3479" t="s">
        <v>3982</v>
      </c>
      <c r="C255" s="3479" t="s">
        <v>3487</v>
      </c>
      <c r="D255" s="3479" t="s">
        <v>3598</v>
      </c>
      <c r="E255" s="3479" t="s">
        <v>3672</v>
      </c>
      <c r="F255" s="3479" t="s">
        <v>3499</v>
      </c>
      <c r="G255" s="3479" t="s">
        <v>3499</v>
      </c>
      <c r="H255" s="3479" t="s">
        <v>633</v>
      </c>
      <c r="I255" s="3480">
        <v>44405</v>
      </c>
      <c r="J255" s="3479" t="s">
        <v>3491</v>
      </c>
      <c r="K255" s="3479" t="s">
        <v>3530</v>
      </c>
      <c r="L255" s="3483" t="s">
        <v>633</v>
      </c>
      <c r="M255" s="3483" t="s">
        <v>633</v>
      </c>
      <c r="N255" s="3481">
        <v>587386</v>
      </c>
      <c r="O255" s="3479" t="s">
        <v>4439</v>
      </c>
      <c r="P255" s="3479" t="s">
        <v>4440</v>
      </c>
    </row>
    <row r="256" spans="1:16" ht="54" hidden="1">
      <c r="A256" s="3479" t="s">
        <v>4441</v>
      </c>
      <c r="B256" s="3479" t="s">
        <v>4442</v>
      </c>
      <c r="C256" s="3479" t="s">
        <v>3487</v>
      </c>
      <c r="D256" s="3479" t="s">
        <v>3598</v>
      </c>
      <c r="E256" s="3479" t="s">
        <v>3672</v>
      </c>
      <c r="F256" s="3479" t="s">
        <v>3529</v>
      </c>
      <c r="G256" s="3479" t="s">
        <v>3529</v>
      </c>
      <c r="H256" s="3479" t="s">
        <v>633</v>
      </c>
      <c r="I256" s="3480">
        <v>44383</v>
      </c>
      <c r="J256" s="3479" t="s">
        <v>3491</v>
      </c>
      <c r="K256" s="3479" t="s">
        <v>3492</v>
      </c>
      <c r="L256" s="3481">
        <v>167189.79</v>
      </c>
      <c r="M256" s="3483" t="s">
        <v>633</v>
      </c>
      <c r="N256" s="3481">
        <v>72328.639999999999</v>
      </c>
      <c r="O256" s="3479" t="s">
        <v>4443</v>
      </c>
      <c r="P256" s="3479" t="s">
        <v>4444</v>
      </c>
    </row>
    <row r="257" spans="1:16" ht="27" hidden="1">
      <c r="A257" s="3479" t="s">
        <v>4445</v>
      </c>
      <c r="B257" s="3479" t="s">
        <v>4446</v>
      </c>
      <c r="C257" s="3479" t="s">
        <v>3487</v>
      </c>
      <c r="D257" s="3479" t="s">
        <v>3603</v>
      </c>
      <c r="E257" s="3479" t="s">
        <v>3902</v>
      </c>
      <c r="F257" s="3479" t="s">
        <v>3499</v>
      </c>
      <c r="G257" s="3479" t="s">
        <v>3499</v>
      </c>
      <c r="H257" s="3479" t="s">
        <v>3534</v>
      </c>
      <c r="I257" s="3480">
        <v>44377</v>
      </c>
      <c r="J257" s="3479" t="s">
        <v>3491</v>
      </c>
      <c r="K257" s="3479" t="s">
        <v>3530</v>
      </c>
      <c r="L257" s="3481">
        <v>22500</v>
      </c>
      <c r="M257" s="3483" t="s">
        <v>633</v>
      </c>
      <c r="N257" s="3483" t="s">
        <v>633</v>
      </c>
      <c r="O257" s="3479" t="s">
        <v>4447</v>
      </c>
      <c r="P257" s="3479" t="s">
        <v>4448</v>
      </c>
    </row>
    <row r="258" spans="1:16" ht="81" hidden="1">
      <c r="A258" s="3479" t="s">
        <v>4449</v>
      </c>
      <c r="B258" s="3479" t="s">
        <v>4450</v>
      </c>
      <c r="C258" s="3479" t="s">
        <v>4451</v>
      </c>
      <c r="D258" s="3479" t="s">
        <v>633</v>
      </c>
      <c r="E258" s="3479" t="s">
        <v>633</v>
      </c>
      <c r="F258" s="3479" t="s">
        <v>3529</v>
      </c>
      <c r="G258" s="3479" t="s">
        <v>3529</v>
      </c>
      <c r="H258" s="3479" t="s">
        <v>633</v>
      </c>
      <c r="I258" s="3480">
        <v>44375</v>
      </c>
      <c r="J258" s="3479" t="s">
        <v>3491</v>
      </c>
      <c r="K258" s="3479" t="s">
        <v>3530</v>
      </c>
      <c r="L258" s="3481">
        <v>4360880</v>
      </c>
      <c r="M258" s="3483" t="s">
        <v>633</v>
      </c>
      <c r="N258" s="3481">
        <v>763405</v>
      </c>
      <c r="O258" s="3479" t="s">
        <v>4452</v>
      </c>
      <c r="P258" s="3479" t="s">
        <v>4453</v>
      </c>
    </row>
    <row r="259" spans="1:16" ht="40.5" hidden="1">
      <c r="A259" s="3479" t="s">
        <v>4454</v>
      </c>
      <c r="B259" s="3479" t="s">
        <v>4455</v>
      </c>
      <c r="C259" s="3479" t="s">
        <v>3487</v>
      </c>
      <c r="D259" s="3479" t="s">
        <v>3603</v>
      </c>
      <c r="E259" s="3479" t="s">
        <v>3604</v>
      </c>
      <c r="F259" s="3479" t="s">
        <v>633</v>
      </c>
      <c r="G259" s="3479" t="s">
        <v>633</v>
      </c>
      <c r="H259" s="3479" t="s">
        <v>3534</v>
      </c>
      <c r="I259" s="3480">
        <v>44372</v>
      </c>
      <c r="J259" s="3479" t="s">
        <v>3491</v>
      </c>
      <c r="K259" s="3479" t="s">
        <v>3530</v>
      </c>
      <c r="L259" s="3483" t="s">
        <v>633</v>
      </c>
      <c r="M259" s="3483" t="s">
        <v>633</v>
      </c>
      <c r="N259" s="3483" t="s">
        <v>633</v>
      </c>
      <c r="O259" s="3479" t="s">
        <v>4456</v>
      </c>
      <c r="P259" s="3479" t="s">
        <v>4457</v>
      </c>
    </row>
    <row r="260" spans="1:16" hidden="1">
      <c r="A260" s="3479" t="s">
        <v>4458</v>
      </c>
      <c r="B260" s="3479" t="s">
        <v>4459</v>
      </c>
      <c r="C260" s="3479" t="s">
        <v>3487</v>
      </c>
      <c r="D260" s="3479" t="s">
        <v>3603</v>
      </c>
      <c r="E260" s="3479" t="s">
        <v>3813</v>
      </c>
      <c r="F260" s="3479" t="s">
        <v>3499</v>
      </c>
      <c r="G260" s="3479" t="s">
        <v>3499</v>
      </c>
      <c r="H260" s="3479" t="s">
        <v>633</v>
      </c>
      <c r="I260" s="3480">
        <v>44363</v>
      </c>
      <c r="J260" s="3479" t="s">
        <v>3491</v>
      </c>
      <c r="K260" s="3479" t="s">
        <v>3530</v>
      </c>
      <c r="L260" s="3481">
        <v>1950000</v>
      </c>
      <c r="M260" s="3483" t="s">
        <v>633</v>
      </c>
      <c r="N260" s="3483" t="s">
        <v>633</v>
      </c>
      <c r="O260" s="3479" t="s">
        <v>4460</v>
      </c>
      <c r="P260" s="3479" t="s">
        <v>4461</v>
      </c>
    </row>
    <row r="261" spans="1:16" ht="40.5" hidden="1">
      <c r="A261" s="3479" t="s">
        <v>4462</v>
      </c>
      <c r="B261" s="3479" t="s">
        <v>4463</v>
      </c>
      <c r="C261" s="3479" t="s">
        <v>4464</v>
      </c>
      <c r="D261" s="3479" t="s">
        <v>633</v>
      </c>
      <c r="E261" s="3479" t="s">
        <v>633</v>
      </c>
      <c r="F261" s="3479" t="s">
        <v>3</v>
      </c>
      <c r="G261" s="3479" t="s">
        <v>3797</v>
      </c>
      <c r="H261" s="3479" t="s">
        <v>633</v>
      </c>
      <c r="I261" s="3480">
        <v>44355</v>
      </c>
      <c r="J261" s="3479" t="s">
        <v>3491</v>
      </c>
      <c r="K261" s="3479" t="s">
        <v>3492</v>
      </c>
      <c r="L261" s="3481">
        <v>165000</v>
      </c>
      <c r="M261" s="3483" t="s">
        <v>633</v>
      </c>
      <c r="N261" s="3483" t="s">
        <v>633</v>
      </c>
      <c r="O261" s="3479" t="s">
        <v>4465</v>
      </c>
      <c r="P261" s="3479" t="s">
        <v>4466</v>
      </c>
    </row>
    <row r="262" spans="1:16" ht="40.5" hidden="1">
      <c r="A262" s="3479" t="s">
        <v>4467</v>
      </c>
      <c r="B262" s="3479" t="s">
        <v>4468</v>
      </c>
      <c r="C262" s="3479" t="s">
        <v>4469</v>
      </c>
      <c r="D262" s="3479" t="s">
        <v>633</v>
      </c>
      <c r="E262" s="3479" t="s">
        <v>633</v>
      </c>
      <c r="F262" s="3479" t="s">
        <v>3529</v>
      </c>
      <c r="G262" s="3479" t="s">
        <v>3529</v>
      </c>
      <c r="H262" s="3479" t="s">
        <v>633</v>
      </c>
      <c r="I262" s="3480">
        <v>44350</v>
      </c>
      <c r="J262" s="3479" t="s">
        <v>3491</v>
      </c>
      <c r="K262" s="3479" t="s">
        <v>3492</v>
      </c>
      <c r="L262" s="3481">
        <v>901190</v>
      </c>
      <c r="M262" s="3483" t="s">
        <v>633</v>
      </c>
      <c r="N262" s="3481">
        <v>259993</v>
      </c>
      <c r="O262" s="3479" t="s">
        <v>4470</v>
      </c>
      <c r="P262" s="3479" t="s">
        <v>4471</v>
      </c>
    </row>
    <row r="263" spans="1:16" ht="27" hidden="1">
      <c r="A263" s="3479" t="s">
        <v>4472</v>
      </c>
      <c r="B263" s="3479" t="s">
        <v>4473</v>
      </c>
      <c r="C263" s="3479" t="s">
        <v>3487</v>
      </c>
      <c r="D263" s="3479" t="s">
        <v>3544</v>
      </c>
      <c r="E263" s="3479" t="s">
        <v>3581</v>
      </c>
      <c r="F263" s="3479" t="s">
        <v>3499</v>
      </c>
      <c r="G263" s="3479" t="s">
        <v>3499</v>
      </c>
      <c r="H263" s="3479" t="s">
        <v>633</v>
      </c>
      <c r="I263" s="3480">
        <v>44329</v>
      </c>
      <c r="J263" s="3479" t="s">
        <v>3491</v>
      </c>
      <c r="K263" s="3479" t="s">
        <v>3530</v>
      </c>
      <c r="L263" s="3483" t="s">
        <v>633</v>
      </c>
      <c r="M263" s="3483" t="s">
        <v>633</v>
      </c>
      <c r="N263" s="3481">
        <v>23000</v>
      </c>
      <c r="O263" s="3479" t="s">
        <v>4474</v>
      </c>
      <c r="P263" s="3479" t="s">
        <v>4475</v>
      </c>
    </row>
    <row r="264" spans="1:16" ht="27" hidden="1">
      <c r="A264" s="3479" t="s">
        <v>4476</v>
      </c>
      <c r="B264" s="3479" t="s">
        <v>4477</v>
      </c>
      <c r="C264" s="3479" t="s">
        <v>3487</v>
      </c>
      <c r="D264" s="3479" t="s">
        <v>3517</v>
      </c>
      <c r="E264" s="3479" t="s">
        <v>4126</v>
      </c>
      <c r="F264" s="3479" t="s">
        <v>673</v>
      </c>
      <c r="G264" s="3479" t="s">
        <v>3518</v>
      </c>
      <c r="H264" s="3479" t="s">
        <v>3534</v>
      </c>
      <c r="I264" s="3480">
        <v>44286</v>
      </c>
      <c r="J264" s="3479" t="s">
        <v>3491</v>
      </c>
      <c r="K264" s="3479" t="s">
        <v>3492</v>
      </c>
      <c r="L264" s="3481">
        <v>164900</v>
      </c>
      <c r="M264" s="3483" t="s">
        <v>633</v>
      </c>
      <c r="N264" s="3481">
        <v>80798</v>
      </c>
      <c r="O264" s="3479" t="s">
        <v>633</v>
      </c>
      <c r="P264" s="3479" t="s">
        <v>4478</v>
      </c>
    </row>
    <row r="265" spans="1:16" ht="54" hidden="1">
      <c r="A265" s="3479" t="s">
        <v>4479</v>
      </c>
      <c r="B265" s="3479" t="s">
        <v>4480</v>
      </c>
      <c r="C265" s="3479" t="s">
        <v>3487</v>
      </c>
      <c r="D265" s="3479" t="s">
        <v>3603</v>
      </c>
      <c r="E265" s="3479" t="s">
        <v>4297</v>
      </c>
      <c r="F265" s="3479" t="s">
        <v>3814</v>
      </c>
      <c r="G265" s="3479" t="s">
        <v>3814</v>
      </c>
      <c r="H265" s="3479" t="s">
        <v>633</v>
      </c>
      <c r="I265" s="3480">
        <v>44286</v>
      </c>
      <c r="J265" s="3479" t="s">
        <v>3491</v>
      </c>
      <c r="K265" s="3479" t="s">
        <v>3492</v>
      </c>
      <c r="L265" s="3481">
        <v>210000</v>
      </c>
      <c r="M265" s="3483" t="s">
        <v>633</v>
      </c>
      <c r="N265" s="3481">
        <v>37923</v>
      </c>
      <c r="O265" s="3479" t="s">
        <v>4481</v>
      </c>
      <c r="P265" s="3479" t="s">
        <v>4482</v>
      </c>
    </row>
    <row r="266" spans="1:16" ht="40.5" hidden="1">
      <c r="A266" s="3479" t="s">
        <v>4483</v>
      </c>
      <c r="B266" s="3479" t="s">
        <v>4484</v>
      </c>
      <c r="C266" s="3479" t="s">
        <v>3487</v>
      </c>
      <c r="D266" s="3479" t="s">
        <v>3598</v>
      </c>
      <c r="E266" s="3479" t="s">
        <v>3728</v>
      </c>
      <c r="F266" s="3479" t="s">
        <v>3499</v>
      </c>
      <c r="G266" s="3479" t="s">
        <v>3499</v>
      </c>
      <c r="H266" s="3479" t="s">
        <v>633</v>
      </c>
      <c r="I266" s="3480">
        <v>44286</v>
      </c>
      <c r="J266" s="3479" t="s">
        <v>3491</v>
      </c>
      <c r="K266" s="3479" t="s">
        <v>3492</v>
      </c>
      <c r="L266" s="3481">
        <v>112700</v>
      </c>
      <c r="M266" s="3483" t="s">
        <v>633</v>
      </c>
      <c r="N266" s="3483" t="s">
        <v>633</v>
      </c>
      <c r="O266" s="3479" t="s">
        <v>4485</v>
      </c>
      <c r="P266" s="3479" t="s">
        <v>3730</v>
      </c>
    </row>
    <row r="267" spans="1:16" ht="27" hidden="1">
      <c r="A267" s="3479" t="s">
        <v>4486</v>
      </c>
      <c r="B267" s="3479" t="s">
        <v>4487</v>
      </c>
      <c r="C267" s="3479" t="s">
        <v>3487</v>
      </c>
      <c r="D267" s="3479" t="s">
        <v>3603</v>
      </c>
      <c r="E267" s="3479" t="s">
        <v>633</v>
      </c>
      <c r="F267" s="3479" t="s">
        <v>3499</v>
      </c>
      <c r="G267" s="3479" t="s">
        <v>3499</v>
      </c>
      <c r="H267" s="3479" t="s">
        <v>633</v>
      </c>
      <c r="I267" s="3480">
        <v>44286</v>
      </c>
      <c r="J267" s="3479" t="s">
        <v>3491</v>
      </c>
      <c r="K267" s="3479" t="s">
        <v>633</v>
      </c>
      <c r="L267" s="3481">
        <v>340500</v>
      </c>
      <c r="M267" s="3483" t="s">
        <v>633</v>
      </c>
      <c r="N267" s="3483" t="s">
        <v>633</v>
      </c>
      <c r="O267" s="3479" t="s">
        <v>4068</v>
      </c>
      <c r="P267" s="3479" t="s">
        <v>4488</v>
      </c>
    </row>
    <row r="268" spans="1:16" ht="27" hidden="1">
      <c r="A268" s="3479" t="s">
        <v>4489</v>
      </c>
      <c r="B268" s="3479" t="s">
        <v>4490</v>
      </c>
      <c r="C268" s="3479" t="s">
        <v>3487</v>
      </c>
      <c r="D268" s="3479" t="s">
        <v>3544</v>
      </c>
      <c r="E268" s="3479" t="s">
        <v>3581</v>
      </c>
      <c r="F268" s="3479" t="s">
        <v>3499</v>
      </c>
      <c r="G268" s="3479" t="s">
        <v>3499</v>
      </c>
      <c r="H268" s="3479" t="s">
        <v>3561</v>
      </c>
      <c r="I268" s="3480">
        <v>44286</v>
      </c>
      <c r="J268" s="3479" t="s">
        <v>3491</v>
      </c>
      <c r="K268" s="3479" t="s">
        <v>3506</v>
      </c>
      <c r="L268" s="3481">
        <v>5000</v>
      </c>
      <c r="M268" s="3483" t="s">
        <v>633</v>
      </c>
      <c r="N268" s="3483" t="s">
        <v>633</v>
      </c>
      <c r="O268" s="3479" t="s">
        <v>4491</v>
      </c>
      <c r="P268" s="3479" t="s">
        <v>633</v>
      </c>
    </row>
    <row r="269" spans="1:16" ht="27" hidden="1">
      <c r="A269" s="3479" t="s">
        <v>4492</v>
      </c>
      <c r="B269" s="3479" t="s">
        <v>4493</v>
      </c>
      <c r="C269" s="3479" t="s">
        <v>3487</v>
      </c>
      <c r="D269" s="3479" t="s">
        <v>3603</v>
      </c>
      <c r="E269" s="3479" t="s">
        <v>4018</v>
      </c>
      <c r="F269" s="3479" t="s">
        <v>673</v>
      </c>
      <c r="G269" s="3479" t="s">
        <v>4494</v>
      </c>
      <c r="H269" s="3479" t="s">
        <v>633</v>
      </c>
      <c r="I269" s="3480">
        <v>44286</v>
      </c>
      <c r="J269" s="3479" t="s">
        <v>3491</v>
      </c>
      <c r="K269" s="3479" t="s">
        <v>3492</v>
      </c>
      <c r="L269" s="3481">
        <v>11000</v>
      </c>
      <c r="M269" s="3483" t="s">
        <v>633</v>
      </c>
      <c r="N269" s="3483" t="s">
        <v>633</v>
      </c>
      <c r="O269" s="3479" t="s">
        <v>4495</v>
      </c>
      <c r="P269" s="3479" t="s">
        <v>633</v>
      </c>
    </row>
    <row r="270" spans="1:16" ht="54" hidden="1">
      <c r="A270" s="3479" t="s">
        <v>4496</v>
      </c>
      <c r="B270" s="3479" t="s">
        <v>4497</v>
      </c>
      <c r="C270" s="3479" t="s">
        <v>3487</v>
      </c>
      <c r="D270" s="3479" t="s">
        <v>3603</v>
      </c>
      <c r="E270" s="3479" t="s">
        <v>3813</v>
      </c>
      <c r="F270" s="3479" t="s">
        <v>3529</v>
      </c>
      <c r="G270" s="3479" t="s">
        <v>3529</v>
      </c>
      <c r="H270" s="3479" t="s">
        <v>633</v>
      </c>
      <c r="I270" s="3480">
        <v>44280</v>
      </c>
      <c r="J270" s="3479" t="s">
        <v>3491</v>
      </c>
      <c r="K270" s="3479" t="s">
        <v>3530</v>
      </c>
      <c r="L270" s="3481">
        <v>1300000</v>
      </c>
      <c r="M270" s="3483" t="s">
        <v>633</v>
      </c>
      <c r="N270" s="3481">
        <v>201600</v>
      </c>
      <c r="O270" s="3479" t="s">
        <v>4498</v>
      </c>
      <c r="P270" s="3479" t="s">
        <v>4499</v>
      </c>
    </row>
    <row r="271" spans="1:16" ht="27" hidden="1">
      <c r="A271" s="3479" t="s">
        <v>4500</v>
      </c>
      <c r="B271" s="3479" t="s">
        <v>4501</v>
      </c>
      <c r="C271" s="3479" t="s">
        <v>3487</v>
      </c>
      <c r="D271" s="3479" t="s">
        <v>3586</v>
      </c>
      <c r="E271" s="3479" t="s">
        <v>633</v>
      </c>
      <c r="F271" s="3479" t="s">
        <v>673</v>
      </c>
      <c r="G271" s="3479" t="s">
        <v>3518</v>
      </c>
      <c r="H271" s="3479" t="s">
        <v>633</v>
      </c>
      <c r="I271" s="3480">
        <v>44273</v>
      </c>
      <c r="J271" s="3479" t="s">
        <v>3491</v>
      </c>
      <c r="K271" s="3479" t="s">
        <v>3492</v>
      </c>
      <c r="L271" s="3481">
        <v>34711.440000000002</v>
      </c>
      <c r="M271" s="3483" t="s">
        <v>633</v>
      </c>
      <c r="N271" s="3481">
        <v>2155.9899999999998</v>
      </c>
      <c r="O271" s="3479" t="s">
        <v>633</v>
      </c>
      <c r="P271" s="3479" t="s">
        <v>4502</v>
      </c>
    </row>
    <row r="272" spans="1:16" ht="27" hidden="1">
      <c r="A272" s="3479" t="s">
        <v>4503</v>
      </c>
      <c r="B272" s="3479" t="s">
        <v>4504</v>
      </c>
      <c r="C272" s="3479" t="s">
        <v>3487</v>
      </c>
      <c r="D272" s="3479" t="s">
        <v>3544</v>
      </c>
      <c r="E272" s="3479" t="s">
        <v>4505</v>
      </c>
      <c r="F272" s="3479" t="s">
        <v>3499</v>
      </c>
      <c r="G272" s="3479" t="s">
        <v>3499</v>
      </c>
      <c r="H272" s="3479" t="s">
        <v>633</v>
      </c>
      <c r="I272" s="3480">
        <v>44211</v>
      </c>
      <c r="J272" s="3479" t="s">
        <v>3491</v>
      </c>
      <c r="K272" s="3479" t="s">
        <v>3492</v>
      </c>
      <c r="L272" s="3481">
        <v>280000</v>
      </c>
      <c r="M272" s="3483" t="s">
        <v>633</v>
      </c>
      <c r="N272" s="3481">
        <v>114200</v>
      </c>
      <c r="O272" s="3479" t="s">
        <v>4506</v>
      </c>
      <c r="P272" s="3479" t="s">
        <v>4507</v>
      </c>
    </row>
    <row r="273" spans="1:16" ht="27" hidden="1">
      <c r="A273" s="3479" t="s">
        <v>4508</v>
      </c>
      <c r="B273" s="3479" t="s">
        <v>4509</v>
      </c>
      <c r="C273" s="3479" t="s">
        <v>3487</v>
      </c>
      <c r="D273" s="3479" t="s">
        <v>3603</v>
      </c>
      <c r="E273" s="3479" t="s">
        <v>3902</v>
      </c>
      <c r="F273" s="3479" t="s">
        <v>3499</v>
      </c>
      <c r="G273" s="3479" t="s">
        <v>3499</v>
      </c>
      <c r="H273" s="3479" t="s">
        <v>3534</v>
      </c>
      <c r="I273" s="3480">
        <v>44196</v>
      </c>
      <c r="J273" s="3479" t="s">
        <v>3491</v>
      </c>
      <c r="K273" s="3479" t="s">
        <v>3506</v>
      </c>
      <c r="L273" s="3481">
        <v>106300</v>
      </c>
      <c r="M273" s="3483" t="s">
        <v>633</v>
      </c>
      <c r="N273" s="3483" t="s">
        <v>633</v>
      </c>
      <c r="O273" s="3479" t="s">
        <v>4510</v>
      </c>
      <c r="P273" s="3479" t="s">
        <v>4511</v>
      </c>
    </row>
    <row r="274" spans="1:16" ht="27" hidden="1">
      <c r="A274" s="3479" t="s">
        <v>4512</v>
      </c>
      <c r="B274" s="3479" t="s">
        <v>4513</v>
      </c>
      <c r="C274" s="3479" t="s">
        <v>3487</v>
      </c>
      <c r="D274" s="3479" t="s">
        <v>3598</v>
      </c>
      <c r="E274" s="3479" t="s">
        <v>3672</v>
      </c>
      <c r="F274" s="3479" t="s">
        <v>3499</v>
      </c>
      <c r="G274" s="3479" t="s">
        <v>3499</v>
      </c>
      <c r="H274" s="3479" t="s">
        <v>633</v>
      </c>
      <c r="I274" s="3480">
        <v>44196</v>
      </c>
      <c r="J274" s="3479" t="s">
        <v>3491</v>
      </c>
      <c r="K274" s="3479" t="s">
        <v>3506</v>
      </c>
      <c r="L274" s="3481">
        <v>12400</v>
      </c>
      <c r="M274" s="3483" t="s">
        <v>633</v>
      </c>
      <c r="N274" s="3483" t="s">
        <v>633</v>
      </c>
      <c r="O274" s="3479" t="s">
        <v>4514</v>
      </c>
      <c r="P274" s="3479" t="s">
        <v>633</v>
      </c>
    </row>
    <row r="275" spans="1:16" hidden="1">
      <c r="A275" s="3479" t="s">
        <v>4515</v>
      </c>
      <c r="B275" s="3479" t="s">
        <v>4516</v>
      </c>
      <c r="C275" s="3479" t="s">
        <v>3487</v>
      </c>
      <c r="D275" s="3479" t="s">
        <v>3523</v>
      </c>
      <c r="E275" s="3479" t="s">
        <v>633</v>
      </c>
      <c r="F275" s="3479" t="s">
        <v>3499</v>
      </c>
      <c r="G275" s="3479" t="s">
        <v>3546</v>
      </c>
      <c r="H275" s="3479" t="s">
        <v>633</v>
      </c>
      <c r="I275" s="3480">
        <v>44196</v>
      </c>
      <c r="J275" s="3479" t="s">
        <v>3491</v>
      </c>
      <c r="K275" s="3479" t="s">
        <v>633</v>
      </c>
      <c r="L275" s="3481">
        <v>71700</v>
      </c>
      <c r="M275" s="3483" t="s">
        <v>633</v>
      </c>
      <c r="N275" s="3483" t="s">
        <v>633</v>
      </c>
      <c r="O275" s="3479" t="s">
        <v>4517</v>
      </c>
      <c r="P275" s="3479" t="s">
        <v>633</v>
      </c>
    </row>
    <row r="276" spans="1:16" ht="67.5" hidden="1">
      <c r="A276" s="3479" t="s">
        <v>4518</v>
      </c>
      <c r="B276" s="3479" t="s">
        <v>4519</v>
      </c>
      <c r="C276" s="3479" t="s">
        <v>3487</v>
      </c>
      <c r="D276" s="3479" t="s">
        <v>3598</v>
      </c>
      <c r="E276" s="3479" t="s">
        <v>3672</v>
      </c>
      <c r="F276" s="3479" t="s">
        <v>3499</v>
      </c>
      <c r="G276" s="3479" t="s">
        <v>3499</v>
      </c>
      <c r="H276" s="3479" t="s">
        <v>3534</v>
      </c>
      <c r="I276" s="3480">
        <v>44188</v>
      </c>
      <c r="J276" s="3479" t="s">
        <v>3491</v>
      </c>
      <c r="K276" s="3479" t="s">
        <v>3530</v>
      </c>
      <c r="L276" s="3481">
        <v>371000</v>
      </c>
      <c r="M276" s="3483" t="s">
        <v>633</v>
      </c>
      <c r="N276" s="3481">
        <v>138000</v>
      </c>
      <c r="O276" s="3479" t="s">
        <v>3935</v>
      </c>
      <c r="P276" s="3479" t="s">
        <v>4520</v>
      </c>
    </row>
    <row r="277" spans="1:16" ht="27" hidden="1">
      <c r="A277" s="3479" t="s">
        <v>4521</v>
      </c>
      <c r="B277" s="3479" t="s">
        <v>4522</v>
      </c>
      <c r="C277" s="3479" t="s">
        <v>3487</v>
      </c>
      <c r="D277" s="3479" t="s">
        <v>3603</v>
      </c>
      <c r="E277" s="3479" t="s">
        <v>633</v>
      </c>
      <c r="F277" s="3479" t="s">
        <v>673</v>
      </c>
      <c r="G277" s="3479" t="s">
        <v>4494</v>
      </c>
      <c r="H277" s="3479" t="s">
        <v>633</v>
      </c>
      <c r="I277" s="3480">
        <v>44188</v>
      </c>
      <c r="J277" s="3479" t="s">
        <v>3491</v>
      </c>
      <c r="K277" s="3479" t="s">
        <v>3492</v>
      </c>
      <c r="L277" s="3481">
        <v>115000</v>
      </c>
      <c r="M277" s="3483" t="s">
        <v>633</v>
      </c>
      <c r="N277" s="3483" t="s">
        <v>633</v>
      </c>
      <c r="O277" s="3479" t="s">
        <v>633</v>
      </c>
      <c r="P277" s="3479" t="s">
        <v>4523</v>
      </c>
    </row>
    <row r="278" spans="1:16" ht="40.5" hidden="1">
      <c r="A278" s="3479" t="s">
        <v>4524</v>
      </c>
      <c r="B278" s="3479" t="s">
        <v>4525</v>
      </c>
      <c r="C278" s="3479" t="s">
        <v>3487</v>
      </c>
      <c r="D278" s="3479" t="s">
        <v>3517</v>
      </c>
      <c r="E278" s="3479" t="s">
        <v>4126</v>
      </c>
      <c r="F278" s="3479" t="s">
        <v>3529</v>
      </c>
      <c r="G278" s="3479" t="s">
        <v>3529</v>
      </c>
      <c r="H278" s="3479" t="s">
        <v>633</v>
      </c>
      <c r="I278" s="3480">
        <v>44187</v>
      </c>
      <c r="J278" s="3479" t="s">
        <v>3491</v>
      </c>
      <c r="K278" s="3479" t="s">
        <v>3530</v>
      </c>
      <c r="L278" s="3481">
        <v>98000</v>
      </c>
      <c r="M278" s="3483" t="s">
        <v>633</v>
      </c>
      <c r="N278" s="3481">
        <v>368625</v>
      </c>
      <c r="O278" s="3479" t="s">
        <v>4526</v>
      </c>
      <c r="P278" s="3479" t="s">
        <v>4527</v>
      </c>
    </row>
    <row r="279" spans="1:16" ht="27" hidden="1">
      <c r="A279" s="3479" t="s">
        <v>4528</v>
      </c>
      <c r="B279" s="3479" t="s">
        <v>4529</v>
      </c>
      <c r="C279" s="3479" t="s">
        <v>3487</v>
      </c>
      <c r="D279" s="3479" t="s">
        <v>3962</v>
      </c>
      <c r="E279" s="3479" t="s">
        <v>633</v>
      </c>
      <c r="F279" s="3479" t="s">
        <v>3546</v>
      </c>
      <c r="G279" s="3479" t="s">
        <v>3546</v>
      </c>
      <c r="H279" s="3479" t="s">
        <v>633</v>
      </c>
      <c r="I279" s="3480">
        <v>44165</v>
      </c>
      <c r="J279" s="3479" t="s">
        <v>3491</v>
      </c>
      <c r="K279" s="3479" t="s">
        <v>633</v>
      </c>
      <c r="L279" s="3481">
        <v>54811.42</v>
      </c>
      <c r="M279" s="3483" t="s">
        <v>633</v>
      </c>
      <c r="N279" s="3483" t="s">
        <v>633</v>
      </c>
      <c r="O279" s="3479" t="s">
        <v>633</v>
      </c>
      <c r="P279" s="3479" t="s">
        <v>4530</v>
      </c>
    </row>
    <row r="280" spans="1:16" ht="40.5" hidden="1">
      <c r="A280" s="3479" t="s">
        <v>4531</v>
      </c>
      <c r="B280" s="3479" t="s">
        <v>4532</v>
      </c>
      <c r="C280" s="3479" t="s">
        <v>3487</v>
      </c>
      <c r="D280" s="3479" t="s">
        <v>3511</v>
      </c>
      <c r="E280" s="3479" t="s">
        <v>3512</v>
      </c>
      <c r="F280" s="3479" t="s">
        <v>3</v>
      </c>
      <c r="G280" s="3479" t="s">
        <v>3490</v>
      </c>
      <c r="H280" s="3479" t="s">
        <v>633</v>
      </c>
      <c r="I280" s="3480">
        <v>44141</v>
      </c>
      <c r="J280" s="3479" t="s">
        <v>3491</v>
      </c>
      <c r="K280" s="3479" t="s">
        <v>3506</v>
      </c>
      <c r="L280" s="3481">
        <v>109668.84</v>
      </c>
      <c r="M280" s="3483" t="s">
        <v>633</v>
      </c>
      <c r="N280" s="3483" t="s">
        <v>633</v>
      </c>
      <c r="O280" s="3479" t="s">
        <v>633</v>
      </c>
      <c r="P280" s="3479" t="s">
        <v>4533</v>
      </c>
    </row>
    <row r="281" spans="1:16" ht="27" hidden="1">
      <c r="A281" s="3479" t="s">
        <v>4534</v>
      </c>
      <c r="B281" s="3479" t="s">
        <v>4535</v>
      </c>
      <c r="C281" s="3479" t="s">
        <v>3487</v>
      </c>
      <c r="D281" s="3479" t="s">
        <v>3683</v>
      </c>
      <c r="E281" s="3479" t="s">
        <v>3581</v>
      </c>
      <c r="F281" s="3479" t="s">
        <v>3499</v>
      </c>
      <c r="G281" s="3479" t="s">
        <v>3499</v>
      </c>
      <c r="H281" s="3479" t="s">
        <v>3561</v>
      </c>
      <c r="I281" s="3480">
        <v>44126</v>
      </c>
      <c r="J281" s="3479" t="s">
        <v>3491</v>
      </c>
      <c r="K281" s="3479" t="s">
        <v>633</v>
      </c>
      <c r="L281" s="3481">
        <v>5123.68</v>
      </c>
      <c r="M281" s="3483" t="s">
        <v>633</v>
      </c>
      <c r="N281" s="3483" t="s">
        <v>633</v>
      </c>
      <c r="O281" s="3479" t="s">
        <v>633</v>
      </c>
      <c r="P281" s="3479" t="s">
        <v>4536</v>
      </c>
    </row>
    <row r="282" spans="1:16" ht="27" hidden="1">
      <c r="A282" s="3479" t="s">
        <v>4537</v>
      </c>
      <c r="B282" s="3479" t="s">
        <v>4538</v>
      </c>
      <c r="C282" s="3479" t="s">
        <v>3487</v>
      </c>
      <c r="D282" s="3479" t="s">
        <v>3683</v>
      </c>
      <c r="E282" s="3479" t="s">
        <v>3926</v>
      </c>
      <c r="F282" s="3479" t="s">
        <v>3546</v>
      </c>
      <c r="G282" s="3479" t="s">
        <v>3546</v>
      </c>
      <c r="H282" s="3479" t="s">
        <v>3534</v>
      </c>
      <c r="I282" s="3480">
        <v>44118</v>
      </c>
      <c r="J282" s="3479" t="s">
        <v>3491</v>
      </c>
      <c r="K282" s="3479" t="s">
        <v>633</v>
      </c>
      <c r="L282" s="3481">
        <v>6700</v>
      </c>
      <c r="M282" s="3483" t="s">
        <v>633</v>
      </c>
      <c r="N282" s="3483" t="s">
        <v>633</v>
      </c>
      <c r="O282" s="3479" t="s">
        <v>633</v>
      </c>
      <c r="P282" s="3479" t="s">
        <v>4539</v>
      </c>
    </row>
    <row r="283" spans="1:16" ht="54" hidden="1">
      <c r="A283" s="3479" t="s">
        <v>4540</v>
      </c>
      <c r="B283" s="3479" t="s">
        <v>4541</v>
      </c>
      <c r="C283" s="3479" t="s">
        <v>3487</v>
      </c>
      <c r="D283" s="3479" t="s">
        <v>3504</v>
      </c>
      <c r="E283" s="3479" t="s">
        <v>633</v>
      </c>
      <c r="F283" s="3479" t="s">
        <v>3</v>
      </c>
      <c r="G283" s="3479" t="s">
        <v>3797</v>
      </c>
      <c r="H283" s="3479" t="s">
        <v>633</v>
      </c>
      <c r="I283" s="3480">
        <v>44097</v>
      </c>
      <c r="J283" s="3479" t="s">
        <v>3491</v>
      </c>
      <c r="K283" s="3479" t="s">
        <v>3530</v>
      </c>
      <c r="L283" s="3481">
        <v>380000</v>
      </c>
      <c r="M283" s="3483" t="s">
        <v>633</v>
      </c>
      <c r="N283" s="3481">
        <v>19000</v>
      </c>
      <c r="O283" s="3479" t="s">
        <v>4542</v>
      </c>
      <c r="P283" s="3479" t="s">
        <v>4543</v>
      </c>
    </row>
    <row r="284" spans="1:16" hidden="1">
      <c r="A284" s="3479" t="s">
        <v>4544</v>
      </c>
      <c r="B284" s="3479" t="s">
        <v>4545</v>
      </c>
      <c r="C284" s="3479" t="s">
        <v>3487</v>
      </c>
      <c r="D284" s="3479" t="s">
        <v>4099</v>
      </c>
      <c r="E284" s="3479" t="s">
        <v>633</v>
      </c>
      <c r="F284" s="3479" t="s">
        <v>3499</v>
      </c>
      <c r="G284" s="3479" t="s">
        <v>3499</v>
      </c>
      <c r="H284" s="3479" t="s">
        <v>633</v>
      </c>
      <c r="I284" s="3480">
        <v>44012</v>
      </c>
      <c r="J284" s="3479" t="s">
        <v>3491</v>
      </c>
      <c r="K284" s="3479" t="s">
        <v>633</v>
      </c>
      <c r="L284" s="3481">
        <v>32000</v>
      </c>
      <c r="M284" s="3483" t="s">
        <v>633</v>
      </c>
      <c r="N284" s="3483" t="s">
        <v>633</v>
      </c>
      <c r="O284" s="3479" t="s">
        <v>633</v>
      </c>
      <c r="P284" s="3479" t="s">
        <v>4033</v>
      </c>
    </row>
    <row r="285" spans="1:16" ht="27" hidden="1">
      <c r="A285" s="3479" t="s">
        <v>4546</v>
      </c>
      <c r="B285" s="3479" t="s">
        <v>4547</v>
      </c>
      <c r="C285" s="3479" t="s">
        <v>3487</v>
      </c>
      <c r="D285" s="3479" t="s">
        <v>3603</v>
      </c>
      <c r="E285" s="3479" t="s">
        <v>3875</v>
      </c>
      <c r="F285" s="3479" t="s">
        <v>673</v>
      </c>
      <c r="G285" s="3479" t="s">
        <v>3518</v>
      </c>
      <c r="H285" s="3479" t="s">
        <v>633</v>
      </c>
      <c r="I285" s="3480">
        <v>44004</v>
      </c>
      <c r="J285" s="3479" t="s">
        <v>3491</v>
      </c>
      <c r="K285" s="3479" t="s">
        <v>3530</v>
      </c>
      <c r="L285" s="3481">
        <v>49700</v>
      </c>
      <c r="M285" s="3483" t="s">
        <v>633</v>
      </c>
      <c r="N285" s="3481">
        <v>84900</v>
      </c>
      <c r="O285" s="3479" t="s">
        <v>4548</v>
      </c>
      <c r="P285" s="3479" t="s">
        <v>4549</v>
      </c>
    </row>
    <row r="286" spans="1:16" ht="27" hidden="1">
      <c r="A286" s="3479" t="s">
        <v>4550</v>
      </c>
      <c r="B286" s="3479" t="s">
        <v>4551</v>
      </c>
      <c r="C286" s="3479" t="s">
        <v>4552</v>
      </c>
      <c r="D286" s="3479" t="s">
        <v>633</v>
      </c>
      <c r="E286" s="3479" t="s">
        <v>633</v>
      </c>
      <c r="F286" s="3479" t="s">
        <v>3529</v>
      </c>
      <c r="G286" s="3479" t="s">
        <v>3529</v>
      </c>
      <c r="H286" s="3479" t="s">
        <v>633</v>
      </c>
      <c r="I286" s="3480">
        <v>44004</v>
      </c>
      <c r="J286" s="3479" t="s">
        <v>3491</v>
      </c>
      <c r="K286" s="3479" t="s">
        <v>3530</v>
      </c>
      <c r="L286" s="3481">
        <v>129900</v>
      </c>
      <c r="M286" s="3483" t="s">
        <v>633</v>
      </c>
      <c r="N286" s="3481">
        <v>296000</v>
      </c>
      <c r="O286" s="3479" t="s">
        <v>4553</v>
      </c>
      <c r="P286" s="3479" t="s">
        <v>4549</v>
      </c>
    </row>
    <row r="287" spans="1:16" ht="27" hidden="1">
      <c r="A287" s="3479" t="s">
        <v>4554</v>
      </c>
      <c r="B287" s="3479" t="s">
        <v>4555</v>
      </c>
      <c r="C287" s="3479" t="s">
        <v>3487</v>
      </c>
      <c r="D287" s="3479" t="s">
        <v>3523</v>
      </c>
      <c r="E287" s="3479" t="s">
        <v>633</v>
      </c>
      <c r="F287" s="3479" t="s">
        <v>3499</v>
      </c>
      <c r="G287" s="3479" t="s">
        <v>3499</v>
      </c>
      <c r="H287" s="3479" t="s">
        <v>633</v>
      </c>
      <c r="I287" s="3480">
        <v>43977</v>
      </c>
      <c r="J287" s="3479" t="s">
        <v>3491</v>
      </c>
      <c r="K287" s="3479" t="s">
        <v>3492</v>
      </c>
      <c r="L287" s="3483" t="s">
        <v>633</v>
      </c>
      <c r="M287" s="3483" t="s">
        <v>633</v>
      </c>
      <c r="N287" s="3481">
        <v>21999</v>
      </c>
      <c r="O287" s="3479" t="s">
        <v>4556</v>
      </c>
      <c r="P287" s="3479" t="s">
        <v>633</v>
      </c>
    </row>
    <row r="288" spans="1:16" ht="27" hidden="1">
      <c r="A288" s="3479" t="s">
        <v>4557</v>
      </c>
      <c r="B288" s="3479" t="s">
        <v>4558</v>
      </c>
      <c r="C288" s="3479" t="s">
        <v>3487</v>
      </c>
      <c r="D288" s="3479" t="s">
        <v>3603</v>
      </c>
      <c r="E288" s="3479" t="s">
        <v>3955</v>
      </c>
      <c r="F288" s="3479" t="s">
        <v>673</v>
      </c>
      <c r="G288" s="3479" t="s">
        <v>3572</v>
      </c>
      <c r="H288" s="3479" t="s">
        <v>633</v>
      </c>
      <c r="I288" s="3480">
        <v>43830</v>
      </c>
      <c r="J288" s="3479" t="s">
        <v>3491</v>
      </c>
      <c r="K288" s="3479" t="s">
        <v>633</v>
      </c>
      <c r="L288" s="3481">
        <v>77000</v>
      </c>
      <c r="M288" s="3483" t="s">
        <v>633</v>
      </c>
      <c r="N288" s="3481">
        <v>130000</v>
      </c>
      <c r="O288" s="3479" t="s">
        <v>4559</v>
      </c>
      <c r="P288" s="3479" t="s">
        <v>4560</v>
      </c>
    </row>
    <row r="289" spans="1:16" ht="40.5" hidden="1">
      <c r="A289" s="3479" t="s">
        <v>4561</v>
      </c>
      <c r="B289" s="3479" t="s">
        <v>4562</v>
      </c>
      <c r="C289" s="3479" t="s">
        <v>3650</v>
      </c>
      <c r="D289" s="3479" t="s">
        <v>633</v>
      </c>
      <c r="E289" s="3479" t="s">
        <v>633</v>
      </c>
      <c r="F289" s="3479" t="s">
        <v>3529</v>
      </c>
      <c r="G289" s="3479" t="s">
        <v>3529</v>
      </c>
      <c r="H289" s="3479" t="s">
        <v>633</v>
      </c>
      <c r="I289" s="3480">
        <v>43830</v>
      </c>
      <c r="J289" s="3479" t="s">
        <v>3491</v>
      </c>
      <c r="K289" s="3479" t="s">
        <v>3530</v>
      </c>
      <c r="L289" s="3481">
        <v>786290</v>
      </c>
      <c r="M289" s="3483" t="s">
        <v>633</v>
      </c>
      <c r="N289" s="3481">
        <v>124795</v>
      </c>
      <c r="O289" s="3479" t="s">
        <v>4563</v>
      </c>
      <c r="P289" s="3479" t="s">
        <v>4564</v>
      </c>
    </row>
    <row r="290" spans="1:16" ht="27" hidden="1">
      <c r="A290" s="3479" t="s">
        <v>4565</v>
      </c>
      <c r="B290" s="3479" t="s">
        <v>3671</v>
      </c>
      <c r="C290" s="3479" t="s">
        <v>3487</v>
      </c>
      <c r="D290" s="3479" t="s">
        <v>4099</v>
      </c>
      <c r="E290" s="3479" t="s">
        <v>633</v>
      </c>
      <c r="F290" s="3479" t="s">
        <v>3546</v>
      </c>
      <c r="G290" s="3479" t="s">
        <v>3546</v>
      </c>
      <c r="H290" s="3479" t="s">
        <v>633</v>
      </c>
      <c r="I290" s="3480">
        <v>43817</v>
      </c>
      <c r="J290" s="3479" t="s">
        <v>3491</v>
      </c>
      <c r="K290" s="3479" t="s">
        <v>633</v>
      </c>
      <c r="L290" s="3481">
        <v>25664.799999999999</v>
      </c>
      <c r="M290" s="3483" t="s">
        <v>633</v>
      </c>
      <c r="N290" s="3483" t="s">
        <v>633</v>
      </c>
      <c r="O290" s="3479" t="s">
        <v>633</v>
      </c>
      <c r="P290" s="3479" t="s">
        <v>4566</v>
      </c>
    </row>
    <row r="291" spans="1:16" ht="27" hidden="1">
      <c r="A291" s="3479" t="s">
        <v>4567</v>
      </c>
      <c r="B291" s="3479" t="s">
        <v>4568</v>
      </c>
      <c r="C291" s="3479" t="s">
        <v>3487</v>
      </c>
      <c r="D291" s="3479" t="s">
        <v>3603</v>
      </c>
      <c r="E291" s="3479" t="s">
        <v>3902</v>
      </c>
      <c r="F291" s="3479" t="s">
        <v>3499</v>
      </c>
      <c r="G291" s="3479" t="s">
        <v>3499</v>
      </c>
      <c r="H291" s="3479" t="s">
        <v>3534</v>
      </c>
      <c r="I291" s="3480">
        <v>43791</v>
      </c>
      <c r="J291" s="3479" t="s">
        <v>3491</v>
      </c>
      <c r="K291" s="3479" t="s">
        <v>3492</v>
      </c>
      <c r="L291" s="3483" t="s">
        <v>633</v>
      </c>
      <c r="M291" s="3483" t="s">
        <v>633</v>
      </c>
      <c r="N291" s="3481">
        <v>118903</v>
      </c>
      <c r="O291" s="3479" t="s">
        <v>4569</v>
      </c>
      <c r="P291" s="3479" t="s">
        <v>4570</v>
      </c>
    </row>
    <row r="292" spans="1:16" ht="27" hidden="1">
      <c r="A292" s="3479" t="s">
        <v>4571</v>
      </c>
      <c r="B292" s="3479" t="s">
        <v>4572</v>
      </c>
      <c r="C292" s="3479" t="s">
        <v>3487</v>
      </c>
      <c r="D292" s="3479" t="s">
        <v>3544</v>
      </c>
      <c r="E292" s="3479" t="s">
        <v>633</v>
      </c>
      <c r="F292" s="3479" t="s">
        <v>673</v>
      </c>
      <c r="G292" s="3479" t="s">
        <v>4573</v>
      </c>
      <c r="H292" s="3479" t="s">
        <v>633</v>
      </c>
      <c r="I292" s="3480">
        <v>43766</v>
      </c>
      <c r="J292" s="3479" t="s">
        <v>3491</v>
      </c>
      <c r="K292" s="3479" t="s">
        <v>3492</v>
      </c>
      <c r="L292" s="3483" t="s">
        <v>633</v>
      </c>
      <c r="M292" s="3483" t="s">
        <v>633</v>
      </c>
      <c r="N292" s="3481">
        <v>199995</v>
      </c>
      <c r="O292" s="3479" t="s">
        <v>3774</v>
      </c>
      <c r="P292" s="3479" t="s">
        <v>3775</v>
      </c>
    </row>
    <row r="293" spans="1:16" ht="27" hidden="1">
      <c r="A293" s="3479" t="s">
        <v>4574</v>
      </c>
      <c r="B293" s="3479" t="s">
        <v>4575</v>
      </c>
      <c r="C293" s="3479" t="s">
        <v>3487</v>
      </c>
      <c r="D293" s="3479" t="s">
        <v>633</v>
      </c>
      <c r="E293" s="3479" t="s">
        <v>633</v>
      </c>
      <c r="F293" s="3479" t="s">
        <v>3</v>
      </c>
      <c r="G293" s="3479" t="s">
        <v>3490</v>
      </c>
      <c r="H293" s="3479" t="s">
        <v>633</v>
      </c>
      <c r="I293" s="3480">
        <v>43753</v>
      </c>
      <c r="J293" s="3479" t="s">
        <v>3491</v>
      </c>
      <c r="K293" s="3479" t="s">
        <v>633</v>
      </c>
      <c r="L293" s="3481">
        <v>8029.7</v>
      </c>
      <c r="M293" s="3483" t="s">
        <v>633</v>
      </c>
      <c r="N293" s="3483" t="s">
        <v>633</v>
      </c>
      <c r="O293" s="3479" t="s">
        <v>633</v>
      </c>
      <c r="P293" s="3479" t="s">
        <v>4576</v>
      </c>
    </row>
    <row r="294" spans="1:16" ht="27" hidden="1">
      <c r="A294" s="3479" t="s">
        <v>4577</v>
      </c>
      <c r="B294" s="3479" t="s">
        <v>4578</v>
      </c>
      <c r="C294" s="3479" t="s">
        <v>3487</v>
      </c>
      <c r="D294" s="3479" t="s">
        <v>3544</v>
      </c>
      <c r="E294" s="3479" t="s">
        <v>3926</v>
      </c>
      <c r="F294" s="3479" t="s">
        <v>3499</v>
      </c>
      <c r="G294" s="3479" t="s">
        <v>3499</v>
      </c>
      <c r="H294" s="3479" t="s">
        <v>3534</v>
      </c>
      <c r="I294" s="3480">
        <v>43707</v>
      </c>
      <c r="J294" s="3479" t="s">
        <v>3491</v>
      </c>
      <c r="K294" s="3479" t="s">
        <v>3492</v>
      </c>
      <c r="L294" s="3481">
        <v>31011</v>
      </c>
      <c r="M294" s="3483" t="s">
        <v>633</v>
      </c>
      <c r="N294" s="3483" t="s">
        <v>633</v>
      </c>
      <c r="O294" s="3479" t="s">
        <v>4579</v>
      </c>
      <c r="P294" s="3479" t="s">
        <v>4580</v>
      </c>
    </row>
    <row r="295" spans="1:16" ht="27" hidden="1">
      <c r="A295" s="3479" t="s">
        <v>4581</v>
      </c>
      <c r="B295" s="3479" t="s">
        <v>4582</v>
      </c>
      <c r="C295" s="3479" t="s">
        <v>3487</v>
      </c>
      <c r="D295" s="3479" t="s">
        <v>3586</v>
      </c>
      <c r="E295" s="3479" t="s">
        <v>4272</v>
      </c>
      <c r="F295" s="3479" t="s">
        <v>3499</v>
      </c>
      <c r="G295" s="3479" t="s">
        <v>3499</v>
      </c>
      <c r="H295" s="3479" t="s">
        <v>3534</v>
      </c>
      <c r="I295" s="3480">
        <v>43693</v>
      </c>
      <c r="J295" s="3479" t="s">
        <v>3491</v>
      </c>
      <c r="K295" s="3479" t="s">
        <v>633</v>
      </c>
      <c r="L295" s="3483" t="s">
        <v>633</v>
      </c>
      <c r="M295" s="3483" t="s">
        <v>633</v>
      </c>
      <c r="N295" s="3481">
        <v>106685</v>
      </c>
      <c r="O295" s="3479" t="s">
        <v>4583</v>
      </c>
      <c r="P295" s="3479" t="s">
        <v>633</v>
      </c>
    </row>
    <row r="296" spans="1:16" ht="27" hidden="1">
      <c r="A296" s="3479" t="s">
        <v>4584</v>
      </c>
      <c r="B296" s="3479" t="s">
        <v>4585</v>
      </c>
      <c r="C296" s="3479" t="s">
        <v>3487</v>
      </c>
      <c r="D296" s="3479" t="s">
        <v>3603</v>
      </c>
      <c r="E296" s="3479" t="s">
        <v>4276</v>
      </c>
      <c r="F296" s="3479" t="s">
        <v>673</v>
      </c>
      <c r="G296" s="3479" t="s">
        <v>3572</v>
      </c>
      <c r="H296" s="3479" t="s">
        <v>3561</v>
      </c>
      <c r="I296" s="3480">
        <v>43671</v>
      </c>
      <c r="J296" s="3479" t="s">
        <v>3491</v>
      </c>
      <c r="K296" s="3479" t="s">
        <v>3492</v>
      </c>
      <c r="L296" s="3483" t="s">
        <v>633</v>
      </c>
      <c r="M296" s="3483" t="s">
        <v>633</v>
      </c>
      <c r="N296" s="3481">
        <v>13000</v>
      </c>
      <c r="O296" s="3479" t="s">
        <v>4586</v>
      </c>
      <c r="P296" s="3479" t="s">
        <v>4587</v>
      </c>
    </row>
    <row r="297" spans="1:16" ht="27" hidden="1">
      <c r="A297" s="3479" t="s">
        <v>4588</v>
      </c>
      <c r="B297" s="3479" t="s">
        <v>4589</v>
      </c>
      <c r="C297" s="3479" t="s">
        <v>3487</v>
      </c>
      <c r="D297" s="3479" t="s">
        <v>3603</v>
      </c>
      <c r="E297" s="3479" t="s">
        <v>4076</v>
      </c>
      <c r="F297" s="3479" t="s">
        <v>3499</v>
      </c>
      <c r="G297" s="3479" t="s">
        <v>3499</v>
      </c>
      <c r="H297" s="3479" t="s">
        <v>3561</v>
      </c>
      <c r="I297" s="3480">
        <v>43652</v>
      </c>
      <c r="J297" s="3479" t="s">
        <v>3491</v>
      </c>
      <c r="K297" s="3479" t="s">
        <v>3530</v>
      </c>
      <c r="L297" s="3481">
        <v>130400</v>
      </c>
      <c r="M297" s="3483" t="s">
        <v>633</v>
      </c>
      <c r="N297" s="3481">
        <v>39145</v>
      </c>
      <c r="O297" s="3479" t="s">
        <v>4590</v>
      </c>
      <c r="P297" s="3479" t="s">
        <v>4591</v>
      </c>
    </row>
    <row r="298" spans="1:16" ht="27" hidden="1">
      <c r="A298" s="3479" t="s">
        <v>4592</v>
      </c>
      <c r="B298" s="3479" t="s">
        <v>4593</v>
      </c>
      <c r="C298" s="3479" t="s">
        <v>3487</v>
      </c>
      <c r="D298" s="3479" t="s">
        <v>3592</v>
      </c>
      <c r="E298" s="3479" t="s">
        <v>633</v>
      </c>
      <c r="F298" s="3479" t="s">
        <v>3518</v>
      </c>
      <c r="G298" s="3479" t="s">
        <v>3518</v>
      </c>
      <c r="H298" s="3479" t="s">
        <v>633</v>
      </c>
      <c r="I298" s="3480">
        <v>43646</v>
      </c>
      <c r="J298" s="3479" t="s">
        <v>3491</v>
      </c>
      <c r="K298" s="3479" t="s">
        <v>3530</v>
      </c>
      <c r="L298" s="3481">
        <v>107600</v>
      </c>
      <c r="M298" s="3483" t="s">
        <v>633</v>
      </c>
      <c r="N298" s="3483" t="s">
        <v>633</v>
      </c>
      <c r="O298" s="3479" t="s">
        <v>4594</v>
      </c>
      <c r="P298" s="3479" t="s">
        <v>4595</v>
      </c>
    </row>
    <row r="299" spans="1:16" ht="40.5" hidden="1">
      <c r="A299" s="3479" t="s">
        <v>4596</v>
      </c>
      <c r="B299" s="3479" t="s">
        <v>4597</v>
      </c>
      <c r="C299" s="3479" t="s">
        <v>3487</v>
      </c>
      <c r="D299" s="3479" t="s">
        <v>3603</v>
      </c>
      <c r="E299" s="3479" t="s">
        <v>4598</v>
      </c>
      <c r="F299" s="3479" t="s">
        <v>673</v>
      </c>
      <c r="G299" s="3479" t="s">
        <v>3572</v>
      </c>
      <c r="H299" s="3479" t="s">
        <v>633</v>
      </c>
      <c r="I299" s="3480">
        <v>43612</v>
      </c>
      <c r="J299" s="3479" t="s">
        <v>3491</v>
      </c>
      <c r="K299" s="3479" t="s">
        <v>633</v>
      </c>
      <c r="L299" s="3481">
        <v>210000</v>
      </c>
      <c r="M299" s="3483" t="s">
        <v>633</v>
      </c>
      <c r="N299" s="3483" t="s">
        <v>633</v>
      </c>
      <c r="O299" s="3479" t="s">
        <v>4599</v>
      </c>
      <c r="P299" s="3479" t="s">
        <v>633</v>
      </c>
    </row>
    <row r="300" spans="1:16" ht="40.5" hidden="1">
      <c r="A300" s="3479" t="s">
        <v>4600</v>
      </c>
      <c r="B300" s="3479" t="s">
        <v>4601</v>
      </c>
      <c r="C300" s="3479" t="s">
        <v>3487</v>
      </c>
      <c r="D300" s="3479" t="s">
        <v>3603</v>
      </c>
      <c r="E300" s="3479" t="s">
        <v>633</v>
      </c>
      <c r="F300" s="3479" t="s">
        <v>3499</v>
      </c>
      <c r="G300" s="3479" t="s">
        <v>3499</v>
      </c>
      <c r="H300" s="3479" t="s">
        <v>633</v>
      </c>
      <c r="I300" s="3480">
        <v>43599</v>
      </c>
      <c r="J300" s="3479" t="s">
        <v>3491</v>
      </c>
      <c r="K300" s="3479" t="s">
        <v>3530</v>
      </c>
      <c r="L300" s="3483" t="s">
        <v>633</v>
      </c>
      <c r="M300" s="3483" t="s">
        <v>633</v>
      </c>
      <c r="N300" s="3481">
        <v>21906</v>
      </c>
      <c r="O300" s="3479" t="s">
        <v>4602</v>
      </c>
      <c r="P300" s="3479" t="s">
        <v>4603</v>
      </c>
    </row>
    <row r="301" spans="1:16" ht="27" hidden="1">
      <c r="A301" s="3479" t="s">
        <v>4604</v>
      </c>
      <c r="B301" s="3479" t="s">
        <v>4605</v>
      </c>
      <c r="C301" s="3479" t="s">
        <v>3650</v>
      </c>
      <c r="D301" s="3479" t="s">
        <v>633</v>
      </c>
      <c r="E301" s="3479" t="s">
        <v>633</v>
      </c>
      <c r="F301" s="3479" t="s">
        <v>3529</v>
      </c>
      <c r="G301" s="3479" t="s">
        <v>3529</v>
      </c>
      <c r="H301" s="3479" t="s">
        <v>633</v>
      </c>
      <c r="I301" s="3480">
        <v>43441</v>
      </c>
      <c r="J301" s="3479" t="s">
        <v>3491</v>
      </c>
      <c r="K301" s="3479" t="s">
        <v>3492</v>
      </c>
      <c r="L301" s="3481">
        <v>923690</v>
      </c>
      <c r="M301" s="3483" t="s">
        <v>633</v>
      </c>
      <c r="N301" s="3481">
        <v>137247</v>
      </c>
      <c r="O301" s="3479" t="s">
        <v>4264</v>
      </c>
      <c r="P301" s="3479" t="s">
        <v>4606</v>
      </c>
    </row>
    <row r="302" spans="1:16" ht="27" hidden="1">
      <c r="A302" s="3479" t="s">
        <v>4607</v>
      </c>
      <c r="B302" s="3479" t="s">
        <v>4608</v>
      </c>
      <c r="C302" s="3479" t="s">
        <v>3487</v>
      </c>
      <c r="D302" s="3479" t="s">
        <v>3603</v>
      </c>
      <c r="E302" s="3479" t="s">
        <v>633</v>
      </c>
      <c r="F302" s="3479" t="s">
        <v>673</v>
      </c>
      <c r="G302" s="3479" t="s">
        <v>3513</v>
      </c>
      <c r="H302" s="3479" t="s">
        <v>633</v>
      </c>
      <c r="I302" s="3480">
        <v>43369</v>
      </c>
      <c r="J302" s="3479" t="s">
        <v>3491</v>
      </c>
      <c r="K302" s="3479" t="s">
        <v>3492</v>
      </c>
      <c r="L302" s="3481">
        <v>14176</v>
      </c>
      <c r="M302" s="3483" t="s">
        <v>633</v>
      </c>
      <c r="N302" s="3483" t="s">
        <v>633</v>
      </c>
      <c r="O302" s="3479" t="s">
        <v>633</v>
      </c>
      <c r="P302" s="3479" t="s">
        <v>4408</v>
      </c>
    </row>
    <row r="303" spans="1:16" ht="27" hidden="1">
      <c r="A303" s="3479" t="s">
        <v>4609</v>
      </c>
      <c r="B303" s="3479" t="s">
        <v>4610</v>
      </c>
      <c r="C303" s="3479" t="s">
        <v>3650</v>
      </c>
      <c r="D303" s="3479" t="s">
        <v>633</v>
      </c>
      <c r="E303" s="3479" t="s">
        <v>633</v>
      </c>
      <c r="F303" s="3479" t="s">
        <v>673</v>
      </c>
      <c r="G303" s="3479" t="s">
        <v>3529</v>
      </c>
      <c r="H303" s="3479" t="s">
        <v>633</v>
      </c>
      <c r="I303" s="3480">
        <v>43314</v>
      </c>
      <c r="J303" s="3479" t="s">
        <v>3491</v>
      </c>
      <c r="K303" s="3479" t="s">
        <v>3530</v>
      </c>
      <c r="L303" s="3483" t="s">
        <v>633</v>
      </c>
      <c r="M303" s="3483" t="s">
        <v>633</v>
      </c>
      <c r="N303" s="3481">
        <v>81066</v>
      </c>
      <c r="O303" s="3479" t="s">
        <v>4611</v>
      </c>
      <c r="P303" s="3479" t="s">
        <v>4612</v>
      </c>
    </row>
    <row r="304" spans="1:16" ht="27" hidden="1">
      <c r="A304" s="3479" t="s">
        <v>4613</v>
      </c>
      <c r="B304" s="3479" t="s">
        <v>4614</v>
      </c>
      <c r="C304" s="3479" t="s">
        <v>3487</v>
      </c>
      <c r="D304" s="3479" t="s">
        <v>3488</v>
      </c>
      <c r="E304" s="3479" t="s">
        <v>3659</v>
      </c>
      <c r="F304" s="3479" t="s">
        <v>673</v>
      </c>
      <c r="G304" s="3479" t="s">
        <v>3572</v>
      </c>
      <c r="H304" s="3479" t="s">
        <v>633</v>
      </c>
      <c r="I304" s="3480">
        <v>43281</v>
      </c>
      <c r="J304" s="3479" t="s">
        <v>3491</v>
      </c>
      <c r="K304" s="3479" t="s">
        <v>3530</v>
      </c>
      <c r="L304" s="3483" t="s">
        <v>633</v>
      </c>
      <c r="M304" s="3483" t="s">
        <v>633</v>
      </c>
      <c r="N304" s="3481">
        <v>228083</v>
      </c>
      <c r="O304" s="3479" t="s">
        <v>4559</v>
      </c>
      <c r="P304" s="3479" t="s">
        <v>4615</v>
      </c>
    </row>
    <row r="305" spans="1:16" ht="27" hidden="1">
      <c r="A305" s="3479" t="s">
        <v>4616</v>
      </c>
      <c r="B305" s="3479" t="s">
        <v>4617</v>
      </c>
      <c r="C305" s="3479" t="s">
        <v>3487</v>
      </c>
      <c r="D305" s="3479" t="s">
        <v>3603</v>
      </c>
      <c r="E305" s="3479" t="s">
        <v>3813</v>
      </c>
      <c r="F305" s="3479" t="s">
        <v>3499</v>
      </c>
      <c r="G305" s="3479" t="s">
        <v>3499</v>
      </c>
      <c r="H305" s="3479" t="s">
        <v>3561</v>
      </c>
      <c r="I305" s="3480">
        <v>43281</v>
      </c>
      <c r="J305" s="3479" t="s">
        <v>3491</v>
      </c>
      <c r="K305" s="3479" t="s">
        <v>633</v>
      </c>
      <c r="L305" s="3483" t="s">
        <v>633</v>
      </c>
      <c r="M305" s="3483" t="s">
        <v>633</v>
      </c>
      <c r="N305" s="3481">
        <v>46299</v>
      </c>
      <c r="O305" s="3479" t="s">
        <v>4072</v>
      </c>
      <c r="P305" s="3479" t="s">
        <v>633</v>
      </c>
    </row>
    <row r="306" spans="1:16" ht="27" hidden="1">
      <c r="A306" s="3479" t="s">
        <v>4616</v>
      </c>
      <c r="B306" s="3479" t="s">
        <v>4617</v>
      </c>
      <c r="C306" s="3479" t="s">
        <v>3487</v>
      </c>
      <c r="D306" s="3479" t="s">
        <v>3603</v>
      </c>
      <c r="E306" s="3479" t="s">
        <v>3902</v>
      </c>
      <c r="F306" s="3479" t="s">
        <v>673</v>
      </c>
      <c r="G306" s="3479" t="s">
        <v>3572</v>
      </c>
      <c r="H306" s="3479" t="s">
        <v>3561</v>
      </c>
      <c r="I306" s="3480">
        <v>43281</v>
      </c>
      <c r="J306" s="3479" t="s">
        <v>3491</v>
      </c>
      <c r="K306" s="3479" t="s">
        <v>633</v>
      </c>
      <c r="L306" s="3483" t="s">
        <v>633</v>
      </c>
      <c r="M306" s="3483" t="s">
        <v>633</v>
      </c>
      <c r="N306" s="3481">
        <v>46299</v>
      </c>
      <c r="O306" s="3479" t="s">
        <v>4072</v>
      </c>
      <c r="P306" s="3479" t="s">
        <v>633</v>
      </c>
    </row>
    <row r="307" spans="1:16" ht="27" hidden="1">
      <c r="A307" s="3479" t="s">
        <v>4618</v>
      </c>
      <c r="B307" s="3479" t="s">
        <v>4619</v>
      </c>
      <c r="C307" s="3479" t="s">
        <v>3487</v>
      </c>
      <c r="D307" s="3479" t="s">
        <v>4620</v>
      </c>
      <c r="E307" s="3479" t="s">
        <v>4621</v>
      </c>
      <c r="F307" s="3479" t="s">
        <v>3529</v>
      </c>
      <c r="G307" s="3479" t="s">
        <v>3529</v>
      </c>
      <c r="H307" s="3479" t="s">
        <v>3561</v>
      </c>
      <c r="I307" s="3480">
        <v>43158</v>
      </c>
      <c r="J307" s="3479" t="s">
        <v>3491</v>
      </c>
      <c r="K307" s="3479" t="s">
        <v>633</v>
      </c>
      <c r="L307" s="3481">
        <v>6643</v>
      </c>
      <c r="M307" s="3483" t="s">
        <v>633</v>
      </c>
      <c r="N307" s="3483" t="s">
        <v>633</v>
      </c>
      <c r="O307" s="3479" t="s">
        <v>633</v>
      </c>
      <c r="P307" s="3479" t="s">
        <v>4622</v>
      </c>
    </row>
    <row r="308" spans="1:16" ht="40.5" hidden="1">
      <c r="A308" s="3479" t="s">
        <v>4623</v>
      </c>
      <c r="B308" s="3479" t="s">
        <v>4624</v>
      </c>
      <c r="C308" s="3479" t="s">
        <v>3487</v>
      </c>
      <c r="D308" s="3479" t="s">
        <v>3586</v>
      </c>
      <c r="E308" s="3479" t="s">
        <v>633</v>
      </c>
      <c r="F308" s="3479" t="s">
        <v>3499</v>
      </c>
      <c r="G308" s="3479" t="s">
        <v>3499</v>
      </c>
      <c r="H308" s="3479" t="s">
        <v>633</v>
      </c>
      <c r="I308" s="3480">
        <v>43088</v>
      </c>
      <c r="J308" s="3479" t="s">
        <v>3491</v>
      </c>
      <c r="K308" s="3479" t="s">
        <v>3492</v>
      </c>
      <c r="L308" s="3481">
        <v>6599</v>
      </c>
      <c r="M308" s="3483" t="s">
        <v>633</v>
      </c>
      <c r="N308" s="3483" t="s">
        <v>633</v>
      </c>
      <c r="O308" s="3479" t="s">
        <v>633</v>
      </c>
      <c r="P308" s="3479" t="s">
        <v>4625</v>
      </c>
    </row>
    <row r="309" spans="1:16" ht="27" hidden="1">
      <c r="A309" s="3479" t="s">
        <v>4626</v>
      </c>
      <c r="B309" s="3479" t="s">
        <v>4627</v>
      </c>
      <c r="C309" s="3479" t="s">
        <v>4628</v>
      </c>
      <c r="D309" s="3479" t="s">
        <v>633</v>
      </c>
      <c r="E309" s="3479" t="s">
        <v>633</v>
      </c>
      <c r="F309" s="3479" t="s">
        <v>3499</v>
      </c>
      <c r="G309" s="3479" t="s">
        <v>3499</v>
      </c>
      <c r="H309" s="3479" t="s">
        <v>633</v>
      </c>
      <c r="I309" s="3480">
        <v>43069</v>
      </c>
      <c r="J309" s="3479" t="s">
        <v>3491</v>
      </c>
      <c r="K309" s="3479" t="s">
        <v>3530</v>
      </c>
      <c r="L309" s="3481">
        <v>489470</v>
      </c>
      <c r="M309" s="3483" t="s">
        <v>633</v>
      </c>
      <c r="N309" s="3481">
        <v>267277</v>
      </c>
      <c r="O309" s="3479" t="s">
        <v>4629</v>
      </c>
      <c r="P309" s="3479" t="s">
        <v>4630</v>
      </c>
    </row>
    <row r="310" spans="1:16" ht="27" hidden="1">
      <c r="A310" s="3479" t="s">
        <v>4631</v>
      </c>
      <c r="B310" s="3479" t="s">
        <v>4632</v>
      </c>
      <c r="C310" s="3479" t="s">
        <v>3487</v>
      </c>
      <c r="D310" s="3479" t="s">
        <v>3517</v>
      </c>
      <c r="E310" s="3479" t="s">
        <v>633</v>
      </c>
      <c r="F310" s="3479" t="s">
        <v>3499</v>
      </c>
      <c r="G310" s="3479" t="s">
        <v>3546</v>
      </c>
      <c r="H310" s="3479" t="s">
        <v>633</v>
      </c>
      <c r="I310" s="3480">
        <v>43051</v>
      </c>
      <c r="J310" s="3479" t="s">
        <v>3491</v>
      </c>
      <c r="K310" s="3479" t="s">
        <v>633</v>
      </c>
      <c r="L310" s="3483" t="s">
        <v>633</v>
      </c>
      <c r="M310" s="3483" t="s">
        <v>633</v>
      </c>
      <c r="N310" s="3481">
        <v>118633</v>
      </c>
      <c r="O310" s="3479" t="s">
        <v>4633</v>
      </c>
      <c r="P310" s="3479" t="s">
        <v>633</v>
      </c>
    </row>
    <row r="311" spans="1:16" ht="27" hidden="1">
      <c r="A311" s="3479" t="s">
        <v>4634</v>
      </c>
      <c r="B311" s="3479" t="s">
        <v>4635</v>
      </c>
      <c r="C311" s="3479" t="s">
        <v>3487</v>
      </c>
      <c r="D311" s="3479" t="s">
        <v>3517</v>
      </c>
      <c r="E311" s="3479" t="s">
        <v>633</v>
      </c>
      <c r="F311" s="3479" t="s">
        <v>3499</v>
      </c>
      <c r="G311" s="3479" t="s">
        <v>3546</v>
      </c>
      <c r="H311" s="3479" t="s">
        <v>633</v>
      </c>
      <c r="I311" s="3480">
        <v>43051</v>
      </c>
      <c r="J311" s="3479" t="s">
        <v>3491</v>
      </c>
      <c r="K311" s="3479" t="s">
        <v>633</v>
      </c>
      <c r="L311" s="3483" t="s">
        <v>633</v>
      </c>
      <c r="M311" s="3483" t="s">
        <v>633</v>
      </c>
      <c r="N311" s="3481">
        <v>92343</v>
      </c>
      <c r="O311" s="3479" t="s">
        <v>4633</v>
      </c>
      <c r="P311" s="3479" t="s">
        <v>633</v>
      </c>
    </row>
    <row r="312" spans="1:16" ht="27" hidden="1">
      <c r="A312" s="3479" t="s">
        <v>4636</v>
      </c>
      <c r="B312" s="3479" t="s">
        <v>4637</v>
      </c>
      <c r="C312" s="3479" t="s">
        <v>3487</v>
      </c>
      <c r="D312" s="3479" t="s">
        <v>3962</v>
      </c>
      <c r="E312" s="3479" t="s">
        <v>3813</v>
      </c>
      <c r="F312" s="3479" t="s">
        <v>3529</v>
      </c>
      <c r="G312" s="3479" t="s">
        <v>3529</v>
      </c>
      <c r="H312" s="3479" t="s">
        <v>3534</v>
      </c>
      <c r="I312" s="3480">
        <v>43047</v>
      </c>
      <c r="J312" s="3479" t="s">
        <v>3491</v>
      </c>
      <c r="K312" s="3479" t="s">
        <v>633</v>
      </c>
      <c r="L312" s="3481">
        <v>12144.6</v>
      </c>
      <c r="M312" s="3483" t="s">
        <v>633</v>
      </c>
      <c r="N312" s="3483" t="s">
        <v>633</v>
      </c>
      <c r="O312" s="3479" t="s">
        <v>633</v>
      </c>
      <c r="P312" s="3479" t="s">
        <v>4638</v>
      </c>
    </row>
    <row r="313" spans="1:16" ht="27" hidden="1">
      <c r="A313" s="3479" t="s">
        <v>4639</v>
      </c>
      <c r="B313" s="3479" t="s">
        <v>4640</v>
      </c>
      <c r="C313" s="3479" t="s">
        <v>3487</v>
      </c>
      <c r="D313" s="3479" t="s">
        <v>3683</v>
      </c>
      <c r="E313" s="3479" t="s">
        <v>3581</v>
      </c>
      <c r="F313" s="3479" t="s">
        <v>3499</v>
      </c>
      <c r="G313" s="3479" t="s">
        <v>3499</v>
      </c>
      <c r="H313" s="3479" t="s">
        <v>3561</v>
      </c>
      <c r="I313" s="3480">
        <v>43045</v>
      </c>
      <c r="J313" s="3479" t="s">
        <v>3491</v>
      </c>
      <c r="K313" s="3479" t="s">
        <v>633</v>
      </c>
      <c r="L313" s="3481">
        <v>5217</v>
      </c>
      <c r="M313" s="3483" t="s">
        <v>633</v>
      </c>
      <c r="N313" s="3483" t="s">
        <v>633</v>
      </c>
      <c r="O313" s="3479" t="s">
        <v>633</v>
      </c>
      <c r="P313" s="3479" t="s">
        <v>4641</v>
      </c>
    </row>
    <row r="314" spans="1:16" ht="27" hidden="1">
      <c r="A314" s="3479" t="s">
        <v>4642</v>
      </c>
      <c r="B314" s="3479" t="s">
        <v>4643</v>
      </c>
      <c r="C314" s="3479" t="s">
        <v>3487</v>
      </c>
      <c r="D314" s="3479" t="s">
        <v>3598</v>
      </c>
      <c r="E314" s="3479" t="s">
        <v>633</v>
      </c>
      <c r="F314" s="3479" t="s">
        <v>673</v>
      </c>
      <c r="G314" s="3479" t="s">
        <v>4644</v>
      </c>
      <c r="H314" s="3479" t="s">
        <v>633</v>
      </c>
      <c r="I314" s="3480">
        <v>43008</v>
      </c>
      <c r="J314" s="3479" t="s">
        <v>3491</v>
      </c>
      <c r="K314" s="3479" t="s">
        <v>3530</v>
      </c>
      <c r="L314" s="3483" t="s">
        <v>633</v>
      </c>
      <c r="M314" s="3483" t="s">
        <v>633</v>
      </c>
      <c r="N314" s="3481">
        <v>12086</v>
      </c>
      <c r="O314" s="3479" t="s">
        <v>4645</v>
      </c>
      <c r="P314" s="3479" t="s">
        <v>4646</v>
      </c>
    </row>
    <row r="315" spans="1:16" ht="40.5" hidden="1">
      <c r="A315" s="3479" t="s">
        <v>4647</v>
      </c>
      <c r="B315" s="3479" t="s">
        <v>4624</v>
      </c>
      <c r="C315" s="3479" t="s">
        <v>3487</v>
      </c>
      <c r="D315" s="3479" t="s">
        <v>3586</v>
      </c>
      <c r="E315" s="3479" t="s">
        <v>633</v>
      </c>
      <c r="F315" s="3479" t="s">
        <v>3499</v>
      </c>
      <c r="G315" s="3479" t="s">
        <v>3499</v>
      </c>
      <c r="H315" s="3479" t="s">
        <v>633</v>
      </c>
      <c r="I315" s="3480">
        <v>42997</v>
      </c>
      <c r="J315" s="3479" t="s">
        <v>3491</v>
      </c>
      <c r="K315" s="3479" t="s">
        <v>3492</v>
      </c>
      <c r="L315" s="3481">
        <v>26330</v>
      </c>
      <c r="M315" s="3483" t="s">
        <v>633</v>
      </c>
      <c r="N315" s="3483" t="s">
        <v>633</v>
      </c>
      <c r="O315" s="3479" t="s">
        <v>633</v>
      </c>
      <c r="P315" s="3479" t="s">
        <v>4648</v>
      </c>
    </row>
    <row r="316" spans="1:16" ht="27" hidden="1">
      <c r="A316" s="3479" t="s">
        <v>4649</v>
      </c>
      <c r="B316" s="3479" t="s">
        <v>4624</v>
      </c>
      <c r="C316" s="3479" t="s">
        <v>3487</v>
      </c>
      <c r="D316" s="3479" t="s">
        <v>3586</v>
      </c>
      <c r="E316" s="3479" t="s">
        <v>633</v>
      </c>
      <c r="F316" s="3479" t="s">
        <v>3814</v>
      </c>
      <c r="G316" s="3479" t="s">
        <v>3814</v>
      </c>
      <c r="H316" s="3479" t="s">
        <v>633</v>
      </c>
      <c r="I316" s="3480">
        <v>42997</v>
      </c>
      <c r="J316" s="3479" t="s">
        <v>3491</v>
      </c>
      <c r="K316" s="3479" t="s">
        <v>3492</v>
      </c>
      <c r="L316" s="3481">
        <v>8120</v>
      </c>
      <c r="M316" s="3483" t="s">
        <v>633</v>
      </c>
      <c r="N316" s="3483" t="s">
        <v>633</v>
      </c>
      <c r="O316" s="3479" t="s">
        <v>633</v>
      </c>
      <c r="P316" s="3479" t="s">
        <v>4648</v>
      </c>
    </row>
    <row r="317" spans="1:16" ht="40.5" hidden="1">
      <c r="A317" s="3479" t="s">
        <v>4650</v>
      </c>
      <c r="B317" s="3479" t="s">
        <v>4651</v>
      </c>
      <c r="C317" s="3479" t="s">
        <v>4652</v>
      </c>
      <c r="D317" s="3479" t="s">
        <v>633</v>
      </c>
      <c r="E317" s="3479" t="s">
        <v>633</v>
      </c>
      <c r="F317" s="3479" t="s">
        <v>3529</v>
      </c>
      <c r="G317" s="3479" t="s">
        <v>3529</v>
      </c>
      <c r="H317" s="3479" t="s">
        <v>633</v>
      </c>
      <c r="I317" s="3480">
        <v>42916</v>
      </c>
      <c r="J317" s="3479" t="s">
        <v>3491</v>
      </c>
      <c r="K317" s="3479" t="s">
        <v>3530</v>
      </c>
      <c r="L317" s="3481">
        <v>287990</v>
      </c>
      <c r="M317" s="3483" t="s">
        <v>633</v>
      </c>
      <c r="N317" s="3481">
        <v>163777</v>
      </c>
      <c r="O317" s="3479" t="s">
        <v>4653</v>
      </c>
      <c r="P317" s="3479" t="s">
        <v>4654</v>
      </c>
    </row>
    <row r="318" spans="1:16" ht="40.5" hidden="1">
      <c r="A318" s="3479" t="s">
        <v>4655</v>
      </c>
      <c r="B318" s="3479" t="s">
        <v>4656</v>
      </c>
      <c r="C318" s="3479" t="s">
        <v>3487</v>
      </c>
      <c r="D318" s="3479" t="s">
        <v>3603</v>
      </c>
      <c r="E318" s="3479" t="s">
        <v>633</v>
      </c>
      <c r="F318" s="3479" t="s">
        <v>673</v>
      </c>
      <c r="G318" s="3479" t="s">
        <v>3572</v>
      </c>
      <c r="H318" s="3479" t="s">
        <v>633</v>
      </c>
      <c r="I318" s="3480">
        <v>42862</v>
      </c>
      <c r="J318" s="3479" t="s">
        <v>3491</v>
      </c>
      <c r="K318" s="3479" t="s">
        <v>633</v>
      </c>
      <c r="L318" s="3483" t="s">
        <v>633</v>
      </c>
      <c r="M318" s="3483" t="s">
        <v>633</v>
      </c>
      <c r="N318" s="3481">
        <v>111398</v>
      </c>
      <c r="O318" s="3479" t="s">
        <v>4657</v>
      </c>
      <c r="P318" s="3479" t="s">
        <v>633</v>
      </c>
    </row>
  </sheetData>
  <autoFilter ref="A7:P318">
    <filterColumn colId="5">
      <filters>
        <filter val="商业"/>
        <filter val="写字楼"/>
        <filter val="综合体"/>
      </filters>
    </filterColumn>
    <filterColumn colId="8">
      <filters>
        <dateGroupItem year="2024" dateTimeGrouping="year"/>
        <dateGroupItem year="2023" dateTimeGrouping="year"/>
        <dateGroupItem year="2022" dateTimeGrouping="year"/>
      </filters>
    </filterColumn>
    <filterColumn colId="10">
      <filters>
        <filter val="股权交易"/>
        <filter val="资产交易"/>
      </filters>
    </filterColumn>
    <sortState ref="A2:P312">
      <sortCondition ref="M1:M312"/>
    </sortState>
  </autoFilter>
  <phoneticPr fontId="13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topLeftCell="A2" workbookViewId="0">
      <selection activeCell="L328" sqref="L328"/>
    </sheetView>
  </sheetViews>
  <sheetFormatPr defaultColWidth="7" defaultRowHeight="11.25"/>
  <cols>
    <col min="1" max="1" width="3.75" style="3851" customWidth="1"/>
    <col min="2" max="2" width="30.875" style="3851" bestFit="1" customWidth="1"/>
    <col min="3" max="3" width="4.25" style="3851" bestFit="1" customWidth="1"/>
    <col min="4" max="5" width="7" style="3851" bestFit="1" customWidth="1"/>
    <col min="6" max="6" width="14.75" style="3864" bestFit="1" customWidth="1"/>
    <col min="7" max="7" width="4.25" style="3851" bestFit="1" customWidth="1"/>
    <col min="8" max="8" width="5.75" style="3851" customWidth="1"/>
    <col min="9" max="9" width="24.25" style="3851" bestFit="1" customWidth="1"/>
    <col min="10" max="10" width="27.25" style="3851" bestFit="1" customWidth="1"/>
    <col min="11" max="11" width="11.625" style="3864" bestFit="1" customWidth="1"/>
    <col min="12" max="12" width="14" style="3864" bestFit="1" customWidth="1"/>
    <col min="13" max="13" width="10.5" style="3851" bestFit="1" customWidth="1"/>
    <col min="14" max="14" width="2.625" style="3851" customWidth="1"/>
    <col min="15" max="15" width="7" style="3851"/>
    <col min="16" max="16" width="23.625" style="3851" customWidth="1"/>
    <col min="17" max="16384" width="7" style="3851"/>
  </cols>
  <sheetData>
    <row r="1" spans="1:13" ht="24.75" customHeight="1">
      <c r="A1" s="3849" t="s">
        <v>4728</v>
      </c>
      <c r="B1" s="3849"/>
      <c r="C1" s="3849"/>
      <c r="D1" s="3849"/>
      <c r="E1" s="3849"/>
      <c r="F1" s="3850"/>
      <c r="G1" s="3849"/>
      <c r="H1" s="3849"/>
      <c r="I1" s="3849"/>
      <c r="J1" s="3849"/>
      <c r="K1" s="3850"/>
      <c r="L1" s="3850"/>
      <c r="M1" s="3849"/>
    </row>
    <row r="2" spans="1:13" s="3854" customFormat="1" ht="12.95" customHeight="1">
      <c r="A2" s="3852" t="s">
        <v>2642</v>
      </c>
      <c r="B2" s="3852" t="s">
        <v>4729</v>
      </c>
      <c r="C2" s="3852" t="s">
        <v>4730</v>
      </c>
      <c r="D2" s="3852" t="s">
        <v>4731</v>
      </c>
      <c r="E2" s="3852" t="s">
        <v>4732</v>
      </c>
      <c r="F2" s="3853" t="s">
        <v>4733</v>
      </c>
      <c r="G2" s="3852" t="s">
        <v>4734</v>
      </c>
      <c r="H2" s="3852" t="s">
        <v>4735</v>
      </c>
      <c r="I2" s="3852" t="s">
        <v>4736</v>
      </c>
      <c r="J2" s="3852" t="s">
        <v>4737</v>
      </c>
      <c r="K2" s="3853" t="s">
        <v>4738</v>
      </c>
      <c r="L2" s="3853" t="s">
        <v>4739</v>
      </c>
      <c r="M2" s="3852" t="s">
        <v>4740</v>
      </c>
    </row>
    <row r="3" spans="1:13" s="3854" customFormat="1" ht="12.95" hidden="1" customHeight="1">
      <c r="A3" s="3852">
        <v>1</v>
      </c>
      <c r="B3" s="3852" t="s">
        <v>4741</v>
      </c>
      <c r="C3" s="3852" t="s">
        <v>4742</v>
      </c>
      <c r="D3" s="3852" t="s">
        <v>4743</v>
      </c>
      <c r="E3" s="3852" t="s">
        <v>4744</v>
      </c>
      <c r="F3" s="3853">
        <v>6662</v>
      </c>
      <c r="G3" s="3852" t="s">
        <v>4745</v>
      </c>
      <c r="H3" s="3852">
        <v>2022</v>
      </c>
      <c r="I3" s="3852" t="s">
        <v>4746</v>
      </c>
      <c r="J3" s="3852" t="s">
        <v>4747</v>
      </c>
      <c r="K3" s="3853">
        <v>370</v>
      </c>
      <c r="L3" s="3853">
        <v>56000</v>
      </c>
      <c r="M3" s="3852" t="s">
        <v>4748</v>
      </c>
    </row>
    <row r="4" spans="1:13" s="3854" customFormat="1" ht="12.95" hidden="1" customHeight="1">
      <c r="A4" s="3852">
        <v>2</v>
      </c>
      <c r="B4" s="3852" t="s">
        <v>4749</v>
      </c>
      <c r="C4" s="3852" t="s">
        <v>4742</v>
      </c>
      <c r="D4" s="3852" t="s">
        <v>4750</v>
      </c>
      <c r="E4" s="3852" t="s">
        <v>21</v>
      </c>
      <c r="F4" s="3853">
        <v>5136</v>
      </c>
      <c r="G4" s="3852" t="s">
        <v>4745</v>
      </c>
      <c r="H4" s="3852">
        <v>2022</v>
      </c>
      <c r="I4" s="3852" t="s">
        <v>4751</v>
      </c>
      <c r="J4" s="3852" t="s">
        <v>4752</v>
      </c>
      <c r="K4" s="3853">
        <v>248</v>
      </c>
      <c r="L4" s="3853">
        <v>48287</v>
      </c>
      <c r="M4" s="3852" t="s">
        <v>3492</v>
      </c>
    </row>
    <row r="5" spans="1:13" s="3854" customFormat="1" ht="12.95" hidden="1" customHeight="1">
      <c r="A5" s="3852">
        <v>3</v>
      </c>
      <c r="B5" s="3852" t="s">
        <v>4753</v>
      </c>
      <c r="C5" s="3852" t="s">
        <v>4742</v>
      </c>
      <c r="D5" s="3852" t="s">
        <v>4754</v>
      </c>
      <c r="E5" s="3852" t="s">
        <v>3814</v>
      </c>
      <c r="F5" s="3853">
        <v>3012</v>
      </c>
      <c r="G5" s="3852" t="s">
        <v>4745</v>
      </c>
      <c r="H5" s="3852">
        <v>2022</v>
      </c>
      <c r="I5" s="3852" t="s">
        <v>4755</v>
      </c>
      <c r="J5" s="3852" t="s">
        <v>4756</v>
      </c>
      <c r="K5" s="3853">
        <v>110</v>
      </c>
      <c r="L5" s="3853">
        <v>36500</v>
      </c>
      <c r="M5" s="3852" t="s">
        <v>4757</v>
      </c>
    </row>
    <row r="6" spans="1:13" s="3854" customFormat="1" ht="12.95" hidden="1" customHeight="1">
      <c r="A6" s="3852">
        <v>4</v>
      </c>
      <c r="B6" s="3852" t="s">
        <v>4758</v>
      </c>
      <c r="C6" s="3852" t="s">
        <v>4742</v>
      </c>
      <c r="D6" s="3852" t="s">
        <v>4759</v>
      </c>
      <c r="E6" s="3852" t="s">
        <v>4760</v>
      </c>
      <c r="F6" s="3853">
        <v>131215</v>
      </c>
      <c r="G6" s="3852" t="s">
        <v>4745</v>
      </c>
      <c r="H6" s="3852">
        <v>2022</v>
      </c>
      <c r="I6" s="3852" t="s">
        <v>4761</v>
      </c>
      <c r="J6" s="3852" t="s">
        <v>4762</v>
      </c>
      <c r="K6" s="3853">
        <v>1375</v>
      </c>
      <c r="L6" s="3853">
        <v>10479</v>
      </c>
      <c r="M6" s="3852" t="s">
        <v>4757</v>
      </c>
    </row>
    <row r="7" spans="1:13" s="3854" customFormat="1" ht="12.95" hidden="1" customHeight="1">
      <c r="A7" s="3852">
        <v>5</v>
      </c>
      <c r="B7" s="3852" t="s">
        <v>4763</v>
      </c>
      <c r="C7" s="3852" t="s">
        <v>4742</v>
      </c>
      <c r="D7" s="3852" t="s">
        <v>4759</v>
      </c>
      <c r="E7" s="3852" t="s">
        <v>21</v>
      </c>
      <c r="F7" s="3853">
        <v>1398</v>
      </c>
      <c r="G7" s="3852" t="s">
        <v>4745</v>
      </c>
      <c r="H7" s="3852">
        <v>2022</v>
      </c>
      <c r="I7" s="3852" t="s">
        <v>4764</v>
      </c>
      <c r="J7" s="3852" t="s">
        <v>4765</v>
      </c>
      <c r="K7" s="3853">
        <v>147</v>
      </c>
      <c r="L7" s="3853">
        <v>104902</v>
      </c>
      <c r="M7" s="3852" t="s">
        <v>3492</v>
      </c>
    </row>
    <row r="8" spans="1:13" s="3854" customFormat="1" ht="12.95" hidden="1" customHeight="1">
      <c r="A8" s="3852">
        <v>6</v>
      </c>
      <c r="B8" s="3852" t="s">
        <v>4766</v>
      </c>
      <c r="C8" s="3852" t="s">
        <v>4742</v>
      </c>
      <c r="D8" s="3852" t="s">
        <v>4767</v>
      </c>
      <c r="E8" s="3852" t="s">
        <v>3684</v>
      </c>
      <c r="F8" s="3853">
        <v>7017</v>
      </c>
      <c r="G8" s="3852" t="s">
        <v>4745</v>
      </c>
      <c r="H8" s="3852">
        <v>2022</v>
      </c>
      <c r="I8" s="3852" t="s">
        <v>4768</v>
      </c>
      <c r="J8" s="3852" t="s">
        <v>4769</v>
      </c>
      <c r="K8" s="3853">
        <v>213</v>
      </c>
      <c r="L8" s="3853">
        <v>29970</v>
      </c>
      <c r="M8" s="3852" t="s">
        <v>3492</v>
      </c>
    </row>
    <row r="9" spans="1:13" s="3854" customFormat="1" ht="12.95" hidden="1" customHeight="1">
      <c r="A9" s="3852">
        <v>7</v>
      </c>
      <c r="B9" s="3852" t="s">
        <v>4770</v>
      </c>
      <c r="C9" s="3852" t="s">
        <v>4742</v>
      </c>
      <c r="D9" s="3852" t="s">
        <v>4771</v>
      </c>
      <c r="E9" s="3852" t="s">
        <v>4772</v>
      </c>
      <c r="F9" s="3853">
        <v>67000</v>
      </c>
      <c r="G9" s="3852" t="s">
        <v>4745</v>
      </c>
      <c r="H9" s="3852">
        <v>2022</v>
      </c>
      <c r="I9" s="3852" t="s">
        <v>4773</v>
      </c>
      <c r="J9" s="3852" t="s">
        <v>4774</v>
      </c>
      <c r="K9" s="3853">
        <v>800</v>
      </c>
      <c r="L9" s="3853">
        <v>12000</v>
      </c>
      <c r="M9" s="3852" t="s">
        <v>4757</v>
      </c>
    </row>
    <row r="10" spans="1:13" s="3854" customFormat="1" ht="15" hidden="1" customHeight="1">
      <c r="A10" s="3852">
        <v>8</v>
      </c>
      <c r="B10" s="3852" t="s">
        <v>4775</v>
      </c>
      <c r="C10" s="3852" t="s">
        <v>4742</v>
      </c>
      <c r="D10" s="3852" t="s">
        <v>4750</v>
      </c>
      <c r="E10" s="3852" t="s">
        <v>4772</v>
      </c>
      <c r="F10" s="3853">
        <v>17930</v>
      </c>
      <c r="G10" s="3852" t="s">
        <v>4745</v>
      </c>
      <c r="H10" s="3852">
        <v>2022</v>
      </c>
      <c r="I10" s="3852" t="s">
        <v>4776</v>
      </c>
      <c r="J10" s="3852" t="s">
        <v>4777</v>
      </c>
      <c r="K10" s="3853">
        <v>663</v>
      </c>
      <c r="L10" s="3853">
        <v>36977</v>
      </c>
      <c r="M10" s="3852" t="s">
        <v>3492</v>
      </c>
    </row>
    <row r="11" spans="1:13" s="3854" customFormat="1" ht="15" hidden="1" customHeight="1">
      <c r="A11" s="3852">
        <v>9</v>
      </c>
      <c r="B11" s="3852" t="s">
        <v>4778</v>
      </c>
      <c r="C11" s="3852" t="s">
        <v>4742</v>
      </c>
      <c r="D11" s="3852" t="s">
        <v>4779</v>
      </c>
      <c r="E11" s="3852" t="s">
        <v>21</v>
      </c>
      <c r="F11" s="3853">
        <v>6772</v>
      </c>
      <c r="G11" s="3852" t="s">
        <v>4745</v>
      </c>
      <c r="H11" s="3852">
        <v>2022</v>
      </c>
      <c r="I11" s="3852" t="s">
        <v>4780</v>
      </c>
      <c r="J11" s="3852" t="s">
        <v>4781</v>
      </c>
      <c r="K11" s="3853">
        <v>203</v>
      </c>
      <c r="L11" s="3853">
        <v>29976</v>
      </c>
      <c r="M11" s="3852" t="s">
        <v>4757</v>
      </c>
    </row>
    <row r="12" spans="1:13" s="3854" customFormat="1" ht="15" hidden="1" customHeight="1">
      <c r="A12" s="3852">
        <v>10</v>
      </c>
      <c r="B12" s="3852" t="s">
        <v>4782</v>
      </c>
      <c r="C12" s="3852" t="s">
        <v>4742</v>
      </c>
      <c r="D12" s="3852" t="s">
        <v>4771</v>
      </c>
      <c r="E12" s="3852" t="s">
        <v>4772</v>
      </c>
      <c r="F12" s="3853">
        <v>8100</v>
      </c>
      <c r="G12" s="3852" t="s">
        <v>4745</v>
      </c>
      <c r="H12" s="3852">
        <v>2022</v>
      </c>
      <c r="I12" s="3852" t="s">
        <v>4783</v>
      </c>
      <c r="J12" s="3852" t="s">
        <v>4784</v>
      </c>
      <c r="K12" s="3853">
        <v>220</v>
      </c>
      <c r="L12" s="3853">
        <v>27160</v>
      </c>
      <c r="M12" s="3852" t="s">
        <v>4757</v>
      </c>
    </row>
    <row r="13" spans="1:13" s="3854" customFormat="1" ht="15" hidden="1" customHeight="1">
      <c r="A13" s="3852">
        <v>11</v>
      </c>
      <c r="B13" s="3852" t="s">
        <v>4785</v>
      </c>
      <c r="C13" s="3852" t="s">
        <v>4742</v>
      </c>
      <c r="D13" s="3852" t="s">
        <v>4786</v>
      </c>
      <c r="E13" s="3852" t="s">
        <v>4772</v>
      </c>
      <c r="F13" s="3853">
        <v>11756</v>
      </c>
      <c r="G13" s="3852" t="s">
        <v>4745</v>
      </c>
      <c r="H13" s="3852">
        <v>2022</v>
      </c>
      <c r="I13" s="3852" t="s">
        <v>4787</v>
      </c>
      <c r="J13" s="3852" t="s">
        <v>4788</v>
      </c>
      <c r="K13" s="3853">
        <v>458</v>
      </c>
      <c r="L13" s="3853">
        <v>39000</v>
      </c>
      <c r="M13" s="3852" t="s">
        <v>4757</v>
      </c>
    </row>
    <row r="14" spans="1:13" s="3854" customFormat="1" ht="15" hidden="1" customHeight="1">
      <c r="A14" s="3852">
        <v>12</v>
      </c>
      <c r="B14" s="3852" t="s">
        <v>4789</v>
      </c>
      <c r="C14" s="3852" t="s">
        <v>4742</v>
      </c>
      <c r="D14" s="3852" t="s">
        <v>4743</v>
      </c>
      <c r="E14" s="3852" t="s">
        <v>3814</v>
      </c>
      <c r="F14" s="3853">
        <v>4677</v>
      </c>
      <c r="G14" s="3852" t="s">
        <v>4745</v>
      </c>
      <c r="H14" s="3852">
        <v>2022</v>
      </c>
      <c r="I14" s="3852" t="s">
        <v>4790</v>
      </c>
      <c r="J14" s="3852" t="s">
        <v>4791</v>
      </c>
      <c r="K14" s="3853">
        <v>183</v>
      </c>
      <c r="L14" s="3853">
        <v>39128</v>
      </c>
      <c r="M14" s="3852" t="s">
        <v>3492</v>
      </c>
    </row>
    <row r="15" spans="1:13" s="3854" customFormat="1" ht="15" hidden="1" customHeight="1">
      <c r="A15" s="3852">
        <v>13</v>
      </c>
      <c r="B15" s="3852" t="s">
        <v>4792</v>
      </c>
      <c r="C15" s="3852" t="s">
        <v>4742</v>
      </c>
      <c r="D15" s="3852" t="s">
        <v>4759</v>
      </c>
      <c r="E15" s="3852" t="s">
        <v>21</v>
      </c>
      <c r="F15" s="3853">
        <v>8573</v>
      </c>
      <c r="G15" s="3852" t="s">
        <v>4745</v>
      </c>
      <c r="H15" s="3852">
        <v>2022</v>
      </c>
      <c r="I15" s="3852" t="s">
        <v>4793</v>
      </c>
      <c r="J15" s="3852" t="s">
        <v>4794</v>
      </c>
      <c r="K15" s="3853">
        <v>386</v>
      </c>
      <c r="L15" s="3853">
        <v>45025</v>
      </c>
      <c r="M15" s="3852" t="s">
        <v>3492</v>
      </c>
    </row>
    <row r="16" spans="1:13" s="3854" customFormat="1" ht="15" hidden="1" customHeight="1">
      <c r="A16" s="3852">
        <v>14</v>
      </c>
      <c r="B16" s="3852" t="s">
        <v>4795</v>
      </c>
      <c r="C16" s="3852" t="s">
        <v>4742</v>
      </c>
      <c r="D16" s="3852" t="s">
        <v>4796</v>
      </c>
      <c r="E16" s="3852" t="s">
        <v>3684</v>
      </c>
      <c r="F16" s="3853">
        <v>109905</v>
      </c>
      <c r="G16" s="3852" t="s">
        <v>4745</v>
      </c>
      <c r="H16" s="3852">
        <v>2022</v>
      </c>
      <c r="I16" s="3852" t="s">
        <v>4797</v>
      </c>
      <c r="J16" s="3852" t="s">
        <v>4798</v>
      </c>
      <c r="K16" s="3853">
        <v>4500</v>
      </c>
      <c r="L16" s="3853">
        <v>40944</v>
      </c>
      <c r="M16" s="3852" t="s">
        <v>4757</v>
      </c>
    </row>
    <row r="17" spans="1:13" s="3854" customFormat="1" ht="15" hidden="1" customHeight="1">
      <c r="A17" s="3852">
        <v>15</v>
      </c>
      <c r="B17" s="3852" t="s">
        <v>4799</v>
      </c>
      <c r="C17" s="3852" t="s">
        <v>4742</v>
      </c>
      <c r="D17" s="3852" t="s">
        <v>4759</v>
      </c>
      <c r="E17" s="3852" t="s">
        <v>21</v>
      </c>
      <c r="F17" s="3853">
        <v>15695</v>
      </c>
      <c r="G17" s="3852" t="s">
        <v>4745</v>
      </c>
      <c r="H17" s="3852">
        <v>2022</v>
      </c>
      <c r="I17" s="3852" t="s">
        <v>4800</v>
      </c>
      <c r="J17" s="3852" t="s">
        <v>4801</v>
      </c>
      <c r="K17" s="3853">
        <v>439</v>
      </c>
      <c r="L17" s="3853">
        <v>28000</v>
      </c>
      <c r="M17" s="3852" t="s">
        <v>3492</v>
      </c>
    </row>
    <row r="18" spans="1:13" s="3854" customFormat="1" ht="15" hidden="1" customHeight="1">
      <c r="A18" s="3852">
        <v>16</v>
      </c>
      <c r="B18" s="3852" t="s">
        <v>4802</v>
      </c>
      <c r="C18" s="3852" t="s">
        <v>4742</v>
      </c>
      <c r="D18" s="3852" t="s">
        <v>4771</v>
      </c>
      <c r="E18" s="3852" t="s">
        <v>4772</v>
      </c>
      <c r="F18" s="3853">
        <v>29473</v>
      </c>
      <c r="G18" s="3852" t="s">
        <v>4745</v>
      </c>
      <c r="H18" s="3852">
        <v>2022</v>
      </c>
      <c r="I18" s="3852" t="s">
        <v>4803</v>
      </c>
      <c r="J18" s="3852" t="s">
        <v>4804</v>
      </c>
      <c r="K18" s="3853">
        <v>994</v>
      </c>
      <c r="L18" s="3853">
        <v>33738</v>
      </c>
      <c r="M18" s="3852" t="s">
        <v>3492</v>
      </c>
    </row>
    <row r="19" spans="1:13" s="3854" customFormat="1" ht="15" hidden="1" customHeight="1">
      <c r="A19" s="3852">
        <v>17</v>
      </c>
      <c r="B19" s="3852" t="s">
        <v>4805</v>
      </c>
      <c r="C19" s="3852" t="s">
        <v>4742</v>
      </c>
      <c r="D19" s="3852" t="s">
        <v>4754</v>
      </c>
      <c r="E19" s="3852" t="s">
        <v>3529</v>
      </c>
      <c r="F19" s="3853">
        <v>420000</v>
      </c>
      <c r="G19" s="3852" t="s">
        <v>4745</v>
      </c>
      <c r="H19" s="3852">
        <v>2022</v>
      </c>
      <c r="I19" s="3852" t="s">
        <v>4806</v>
      </c>
      <c r="J19" s="3852" t="s">
        <v>4807</v>
      </c>
      <c r="K19" s="3853">
        <v>11539</v>
      </c>
      <c r="L19" s="3853">
        <v>54948</v>
      </c>
      <c r="M19" s="3852" t="s">
        <v>4757</v>
      </c>
    </row>
    <row r="20" spans="1:13" s="3854" customFormat="1" ht="15" hidden="1" customHeight="1">
      <c r="A20" s="3852">
        <v>18</v>
      </c>
      <c r="B20" s="3852" t="s">
        <v>4808</v>
      </c>
      <c r="C20" s="3852" t="s">
        <v>4742</v>
      </c>
      <c r="D20" s="3852" t="s">
        <v>4767</v>
      </c>
      <c r="E20" s="3852" t="s">
        <v>21</v>
      </c>
      <c r="F20" s="3853">
        <v>57800</v>
      </c>
      <c r="G20" s="3852" t="s">
        <v>4745</v>
      </c>
      <c r="H20" s="3852">
        <v>2022</v>
      </c>
      <c r="I20" s="3852" t="s">
        <v>4809</v>
      </c>
      <c r="J20" s="3852" t="s">
        <v>4810</v>
      </c>
      <c r="K20" s="3853">
        <v>2984</v>
      </c>
      <c r="L20" s="3853">
        <v>51800</v>
      </c>
      <c r="M20" s="3852" t="s">
        <v>3492</v>
      </c>
    </row>
    <row r="21" spans="1:13" s="3854" customFormat="1" ht="15" hidden="1" customHeight="1">
      <c r="A21" s="3852">
        <v>19</v>
      </c>
      <c r="B21" s="3852" t="s">
        <v>4811</v>
      </c>
      <c r="C21" s="3852" t="s">
        <v>4742</v>
      </c>
      <c r="D21" s="3852" t="s">
        <v>4754</v>
      </c>
      <c r="E21" s="3852" t="s">
        <v>21</v>
      </c>
      <c r="F21" s="3853">
        <v>40393</v>
      </c>
      <c r="G21" s="3852" t="s">
        <v>4812</v>
      </c>
      <c r="H21" s="3852">
        <v>2022</v>
      </c>
      <c r="I21" s="3852" t="s">
        <v>4813</v>
      </c>
      <c r="J21" s="3852" t="s">
        <v>4814</v>
      </c>
      <c r="K21" s="3853">
        <v>1396</v>
      </c>
      <c r="L21" s="3853">
        <v>34560</v>
      </c>
      <c r="M21" s="3852" t="s">
        <v>3492</v>
      </c>
    </row>
    <row r="22" spans="1:13" s="3854" customFormat="1" ht="15" hidden="1" customHeight="1">
      <c r="A22" s="3852">
        <v>20</v>
      </c>
      <c r="B22" s="3852" t="s">
        <v>4815</v>
      </c>
      <c r="C22" s="3852" t="s">
        <v>4742</v>
      </c>
      <c r="D22" s="3852" t="s">
        <v>4786</v>
      </c>
      <c r="E22" s="3852" t="s">
        <v>4772</v>
      </c>
      <c r="F22" s="3853">
        <v>20187</v>
      </c>
      <c r="G22" s="3852" t="s">
        <v>4812</v>
      </c>
      <c r="H22" s="3852">
        <v>2022</v>
      </c>
      <c r="I22" s="3852" t="s">
        <v>4816</v>
      </c>
      <c r="J22" s="3852" t="s">
        <v>4817</v>
      </c>
      <c r="K22" s="3853">
        <v>396</v>
      </c>
      <c r="L22" s="3853">
        <v>19617</v>
      </c>
      <c r="M22" s="3852" t="s">
        <v>3492</v>
      </c>
    </row>
    <row r="23" spans="1:13" s="3854" customFormat="1" ht="15" hidden="1" customHeight="1">
      <c r="A23" s="3852">
        <v>21</v>
      </c>
      <c r="B23" s="3852" t="s">
        <v>4818</v>
      </c>
      <c r="C23" s="3852" t="s">
        <v>4742</v>
      </c>
      <c r="D23" s="3852" t="s">
        <v>4743</v>
      </c>
      <c r="E23" s="3852" t="s">
        <v>3814</v>
      </c>
      <c r="F23" s="3853">
        <v>19127</v>
      </c>
      <c r="G23" s="3852" t="s">
        <v>4812</v>
      </c>
      <c r="H23" s="3852">
        <v>2022</v>
      </c>
      <c r="I23" s="3852" t="s">
        <v>4819</v>
      </c>
      <c r="J23" s="3852" t="s">
        <v>4820</v>
      </c>
      <c r="K23" s="3853">
        <v>840</v>
      </c>
      <c r="L23" s="3853">
        <v>43917</v>
      </c>
      <c r="M23" s="3852" t="s">
        <v>4757</v>
      </c>
    </row>
    <row r="24" spans="1:13" s="3854" customFormat="1" ht="15" hidden="1" customHeight="1">
      <c r="A24" s="3852">
        <v>22</v>
      </c>
      <c r="B24" s="3852" t="s">
        <v>4821</v>
      </c>
      <c r="C24" s="3852" t="s">
        <v>4742</v>
      </c>
      <c r="D24" s="3852" t="s">
        <v>4822</v>
      </c>
      <c r="E24" s="3852" t="s">
        <v>4823</v>
      </c>
      <c r="F24" s="3853">
        <v>71260</v>
      </c>
      <c r="G24" s="3852" t="s">
        <v>4812</v>
      </c>
      <c r="H24" s="3852">
        <v>2022</v>
      </c>
      <c r="I24" s="3852" t="s">
        <v>4824</v>
      </c>
      <c r="J24" s="3852" t="s">
        <v>4825</v>
      </c>
      <c r="K24" s="3853">
        <v>392</v>
      </c>
      <c r="L24" s="3853">
        <v>5500</v>
      </c>
      <c r="M24" s="3852" t="s">
        <v>3492</v>
      </c>
    </row>
    <row r="25" spans="1:13" s="3854" customFormat="1" ht="15" hidden="1" customHeight="1">
      <c r="A25" s="3852">
        <v>23</v>
      </c>
      <c r="B25" s="3852" t="s">
        <v>4826</v>
      </c>
      <c r="C25" s="3852" t="s">
        <v>4742</v>
      </c>
      <c r="D25" s="3852" t="s">
        <v>4759</v>
      </c>
      <c r="E25" s="3852" t="s">
        <v>21</v>
      </c>
      <c r="F25" s="3853">
        <v>37924</v>
      </c>
      <c r="G25" s="3852" t="s">
        <v>4812</v>
      </c>
      <c r="H25" s="3852">
        <v>2022</v>
      </c>
      <c r="I25" s="3852" t="s">
        <v>4801</v>
      </c>
      <c r="J25" s="3852" t="s">
        <v>4827</v>
      </c>
      <c r="K25" s="3853">
        <v>950</v>
      </c>
      <c r="L25" s="3853">
        <v>25050</v>
      </c>
      <c r="M25" s="3852" t="s">
        <v>4757</v>
      </c>
    </row>
    <row r="26" spans="1:13" s="3854" customFormat="1" ht="15" hidden="1" customHeight="1">
      <c r="A26" s="3852">
        <v>24</v>
      </c>
      <c r="B26" s="3852" t="s">
        <v>4828</v>
      </c>
      <c r="C26" s="3852" t="s">
        <v>4742</v>
      </c>
      <c r="D26" s="3852" t="s">
        <v>4771</v>
      </c>
      <c r="E26" s="3852" t="s">
        <v>21</v>
      </c>
      <c r="F26" s="3853">
        <v>54200</v>
      </c>
      <c r="G26" s="3852" t="s">
        <v>4812</v>
      </c>
      <c r="H26" s="3852">
        <v>2022</v>
      </c>
      <c r="I26" s="3852" t="s">
        <v>4798</v>
      </c>
      <c r="J26" s="3852" t="s">
        <v>4829</v>
      </c>
      <c r="K26" s="3853">
        <v>3057</v>
      </c>
      <c r="L26" s="3853">
        <v>56403</v>
      </c>
      <c r="M26" s="3852" t="s">
        <v>3492</v>
      </c>
    </row>
    <row r="27" spans="1:13" s="3854" customFormat="1" ht="15" hidden="1" customHeight="1">
      <c r="A27" s="3852">
        <v>25</v>
      </c>
      <c r="B27" s="3852" t="s">
        <v>4830</v>
      </c>
      <c r="C27" s="3852" t="s">
        <v>4742</v>
      </c>
      <c r="D27" s="3852" t="s">
        <v>4771</v>
      </c>
      <c r="E27" s="3852" t="s">
        <v>4744</v>
      </c>
      <c r="F27" s="3853">
        <v>8690</v>
      </c>
      <c r="G27" s="3852" t="s">
        <v>4812</v>
      </c>
      <c r="H27" s="3852">
        <v>2022</v>
      </c>
      <c r="I27" s="3852" t="s">
        <v>4831</v>
      </c>
      <c r="J27" s="3852" t="s">
        <v>4832</v>
      </c>
      <c r="K27" s="3853">
        <v>282</v>
      </c>
      <c r="L27" s="3853">
        <v>32451</v>
      </c>
      <c r="M27" s="3852" t="s">
        <v>3492</v>
      </c>
    </row>
    <row r="28" spans="1:13" s="3854" customFormat="1" ht="15" hidden="1" customHeight="1">
      <c r="A28" s="3852">
        <v>26</v>
      </c>
      <c r="B28" s="3852" t="s">
        <v>4833</v>
      </c>
      <c r="C28" s="3852" t="s">
        <v>4742</v>
      </c>
      <c r="D28" s="3852" t="s">
        <v>4796</v>
      </c>
      <c r="E28" s="3852" t="s">
        <v>21</v>
      </c>
      <c r="F28" s="3853">
        <v>31000</v>
      </c>
      <c r="G28" s="3852" t="s">
        <v>4812</v>
      </c>
      <c r="H28" s="3852">
        <v>2022</v>
      </c>
      <c r="I28" s="3852" t="s">
        <v>4834</v>
      </c>
      <c r="J28" s="3852" t="s">
        <v>4835</v>
      </c>
      <c r="K28" s="3853">
        <v>2283</v>
      </c>
      <c r="L28" s="3853">
        <v>90920</v>
      </c>
      <c r="M28" s="3852" t="s">
        <v>4757</v>
      </c>
    </row>
    <row r="29" spans="1:13" s="3854" customFormat="1" ht="15" hidden="1" customHeight="1">
      <c r="A29" s="3852">
        <v>27</v>
      </c>
      <c r="B29" s="3852" t="s">
        <v>4836</v>
      </c>
      <c r="C29" s="3852" t="s">
        <v>4742</v>
      </c>
      <c r="D29" s="3852" t="s">
        <v>4771</v>
      </c>
      <c r="E29" s="3852" t="s">
        <v>4772</v>
      </c>
      <c r="F29" s="3853">
        <v>32274</v>
      </c>
      <c r="G29" s="3852" t="s">
        <v>4812</v>
      </c>
      <c r="H29" s="3852">
        <v>2022</v>
      </c>
      <c r="I29" s="3852" t="s">
        <v>4746</v>
      </c>
      <c r="J29" s="3852" t="s">
        <v>4837</v>
      </c>
      <c r="K29" s="3853">
        <v>1300</v>
      </c>
      <c r="L29" s="3853">
        <v>40280</v>
      </c>
      <c r="M29" s="3852" t="s">
        <v>4748</v>
      </c>
    </row>
    <row r="30" spans="1:13" s="3854" customFormat="1" ht="15" hidden="1" customHeight="1">
      <c r="A30" s="3852">
        <v>28</v>
      </c>
      <c r="B30" s="3852" t="s">
        <v>4838</v>
      </c>
      <c r="C30" s="3852" t="s">
        <v>4742</v>
      </c>
      <c r="D30" s="3852" t="s">
        <v>4771</v>
      </c>
      <c r="E30" s="3852" t="s">
        <v>4772</v>
      </c>
      <c r="F30" s="3853">
        <v>8940</v>
      </c>
      <c r="G30" s="3852" t="s">
        <v>4839</v>
      </c>
      <c r="H30" s="3852">
        <v>2022</v>
      </c>
      <c r="I30" s="3852" t="s">
        <v>4819</v>
      </c>
      <c r="J30" s="3852" t="s">
        <v>4840</v>
      </c>
      <c r="K30" s="3853">
        <v>270</v>
      </c>
      <c r="L30" s="3853">
        <v>30200</v>
      </c>
      <c r="M30" s="3852" t="s">
        <v>4757</v>
      </c>
    </row>
    <row r="31" spans="1:13" s="3854" customFormat="1" ht="15" hidden="1" customHeight="1">
      <c r="A31" s="3852">
        <v>29</v>
      </c>
      <c r="B31" s="3852" t="s">
        <v>4841</v>
      </c>
      <c r="C31" s="3852" t="s">
        <v>4742</v>
      </c>
      <c r="D31" s="3852" t="s">
        <v>4771</v>
      </c>
      <c r="E31" s="3852" t="s">
        <v>4823</v>
      </c>
      <c r="F31" s="3853">
        <v>40038</v>
      </c>
      <c r="G31" s="3852" t="s">
        <v>4839</v>
      </c>
      <c r="H31" s="3852">
        <v>2022</v>
      </c>
      <c r="I31" s="3852" t="s">
        <v>4842</v>
      </c>
      <c r="J31" s="3852" t="s">
        <v>4843</v>
      </c>
      <c r="K31" s="3853">
        <v>180</v>
      </c>
      <c r="L31" s="3853">
        <v>4496</v>
      </c>
      <c r="M31" s="3852" t="s">
        <v>3492</v>
      </c>
    </row>
    <row r="32" spans="1:13" s="3854" customFormat="1" ht="15" hidden="1" customHeight="1">
      <c r="A32" s="3852">
        <v>30</v>
      </c>
      <c r="B32" s="3852" t="s">
        <v>4844</v>
      </c>
      <c r="C32" s="3852" t="s">
        <v>4742</v>
      </c>
      <c r="D32" s="3852" t="s">
        <v>4845</v>
      </c>
      <c r="E32" s="3852" t="s">
        <v>21</v>
      </c>
      <c r="F32" s="3853">
        <v>5403</v>
      </c>
      <c r="G32" s="3852" t="s">
        <v>4839</v>
      </c>
      <c r="H32" s="3852">
        <v>2022</v>
      </c>
      <c r="I32" s="3852" t="s">
        <v>3630</v>
      </c>
      <c r="J32" s="3852" t="s">
        <v>4846</v>
      </c>
      <c r="K32" s="3853">
        <v>176</v>
      </c>
      <c r="L32" s="3853">
        <v>32574</v>
      </c>
      <c r="M32" s="3852" t="s">
        <v>3492</v>
      </c>
    </row>
    <row r="33" spans="1:13" s="3854" customFormat="1" ht="15" hidden="1" customHeight="1">
      <c r="A33" s="3852">
        <v>31</v>
      </c>
      <c r="B33" s="3852" t="s">
        <v>4847</v>
      </c>
      <c r="C33" s="3852" t="s">
        <v>4742</v>
      </c>
      <c r="D33" s="3852" t="s">
        <v>4779</v>
      </c>
      <c r="E33" s="3852" t="s">
        <v>3814</v>
      </c>
      <c r="F33" s="3853">
        <v>41866</v>
      </c>
      <c r="G33" s="3852" t="s">
        <v>4839</v>
      </c>
      <c r="H33" s="3852">
        <v>2022</v>
      </c>
      <c r="I33" s="3852" t="s">
        <v>4848</v>
      </c>
      <c r="J33" s="3852" t="s">
        <v>4849</v>
      </c>
      <c r="K33" s="3853">
        <v>1350</v>
      </c>
      <c r="L33" s="3853">
        <v>32000</v>
      </c>
      <c r="M33" s="3852" t="s">
        <v>3492</v>
      </c>
    </row>
    <row r="34" spans="1:13" s="3854" customFormat="1" ht="15" hidden="1" customHeight="1">
      <c r="A34" s="3852">
        <v>32</v>
      </c>
      <c r="B34" s="3852" t="s">
        <v>4850</v>
      </c>
      <c r="C34" s="3852" t="s">
        <v>4742</v>
      </c>
      <c r="D34" s="3852" t="s">
        <v>4754</v>
      </c>
      <c r="E34" s="3852" t="s">
        <v>21</v>
      </c>
      <c r="F34" s="3853">
        <v>13986</v>
      </c>
      <c r="G34" s="3852" t="s">
        <v>4839</v>
      </c>
      <c r="H34" s="3852">
        <v>2022</v>
      </c>
      <c r="I34" s="3852" t="s">
        <v>4851</v>
      </c>
      <c r="J34" s="3852" t="s">
        <v>4852</v>
      </c>
      <c r="K34" s="3853">
        <v>1672</v>
      </c>
      <c r="L34" s="3853">
        <v>119548</v>
      </c>
      <c r="M34" s="3852" t="s">
        <v>3492</v>
      </c>
    </row>
    <row r="35" spans="1:13" s="3854" customFormat="1" ht="15" hidden="1" customHeight="1">
      <c r="A35" s="3852">
        <v>33</v>
      </c>
      <c r="B35" s="3852" t="s">
        <v>4853</v>
      </c>
      <c r="C35" s="3852" t="s">
        <v>4854</v>
      </c>
      <c r="D35" s="3852" t="s">
        <v>4855</v>
      </c>
      <c r="E35" s="3852" t="s">
        <v>4856</v>
      </c>
      <c r="F35" s="3853">
        <v>67715</v>
      </c>
      <c r="G35" s="3852" t="s">
        <v>4857</v>
      </c>
      <c r="H35" s="3852">
        <v>2022</v>
      </c>
      <c r="I35" s="3852" t="s">
        <v>4858</v>
      </c>
      <c r="J35" s="3852" t="s">
        <v>4859</v>
      </c>
      <c r="K35" s="3853">
        <v>2520</v>
      </c>
      <c r="L35" s="3853">
        <v>37215</v>
      </c>
      <c r="M35" s="3852" t="s">
        <v>4860</v>
      </c>
    </row>
    <row r="36" spans="1:13" s="3854" customFormat="1" ht="15" hidden="1" customHeight="1">
      <c r="A36" s="3852">
        <v>34</v>
      </c>
      <c r="B36" s="3852" t="s">
        <v>4861</v>
      </c>
      <c r="C36" s="3852" t="s">
        <v>4854</v>
      </c>
      <c r="D36" s="3852" t="s">
        <v>4855</v>
      </c>
      <c r="E36" s="3852" t="s">
        <v>4862</v>
      </c>
      <c r="F36" s="3853">
        <v>23226</v>
      </c>
      <c r="G36" s="3852" t="s">
        <v>4857</v>
      </c>
      <c r="H36" s="3852">
        <v>2022</v>
      </c>
      <c r="I36" s="3852" t="s">
        <v>4863</v>
      </c>
      <c r="J36" s="3852" t="s">
        <v>4864</v>
      </c>
      <c r="K36" s="3853">
        <v>397</v>
      </c>
      <c r="L36" s="3853">
        <v>17093</v>
      </c>
      <c r="M36" s="3852" t="s">
        <v>4860</v>
      </c>
    </row>
    <row r="37" spans="1:13" s="3854" customFormat="1" ht="15" hidden="1" customHeight="1">
      <c r="A37" s="3852">
        <v>35</v>
      </c>
      <c r="B37" s="3852" t="s">
        <v>4865</v>
      </c>
      <c r="C37" s="3852" t="s">
        <v>4854</v>
      </c>
      <c r="D37" s="3852" t="s">
        <v>4866</v>
      </c>
      <c r="E37" s="3852" t="s">
        <v>4856</v>
      </c>
      <c r="F37" s="3853">
        <v>15101</v>
      </c>
      <c r="G37" s="3852" t="s">
        <v>4857</v>
      </c>
      <c r="H37" s="3852">
        <v>2022</v>
      </c>
      <c r="I37" s="3852" t="s">
        <v>4867</v>
      </c>
      <c r="J37" s="3852" t="s">
        <v>4868</v>
      </c>
      <c r="K37" s="3853">
        <v>680</v>
      </c>
      <c r="L37" s="3853">
        <v>45000</v>
      </c>
      <c r="M37" s="3852" t="s">
        <v>4860</v>
      </c>
    </row>
    <row r="38" spans="1:13" s="3854" customFormat="1" ht="15" hidden="1" customHeight="1">
      <c r="A38" s="3852">
        <v>36</v>
      </c>
      <c r="B38" s="3852" t="s">
        <v>4869</v>
      </c>
      <c r="C38" s="3852" t="s">
        <v>4854</v>
      </c>
      <c r="D38" s="3852" t="s">
        <v>4866</v>
      </c>
      <c r="E38" s="3852" t="s">
        <v>4856</v>
      </c>
      <c r="F38" s="3853">
        <v>15101</v>
      </c>
      <c r="G38" s="3852" t="s">
        <v>4857</v>
      </c>
      <c r="H38" s="3852">
        <v>2022</v>
      </c>
      <c r="I38" s="3852" t="s">
        <v>4867</v>
      </c>
      <c r="J38" s="3852" t="s">
        <v>4870</v>
      </c>
      <c r="K38" s="3853">
        <v>680</v>
      </c>
      <c r="L38" s="3853">
        <v>45000</v>
      </c>
      <c r="M38" s="3852" t="s">
        <v>4860</v>
      </c>
    </row>
    <row r="39" spans="1:13" s="3854" customFormat="1" ht="15" hidden="1" customHeight="1">
      <c r="A39" s="3852">
        <v>37</v>
      </c>
      <c r="B39" s="3852" t="s">
        <v>4871</v>
      </c>
      <c r="C39" s="3852" t="s">
        <v>4854</v>
      </c>
      <c r="D39" s="3852" t="s">
        <v>4872</v>
      </c>
      <c r="E39" s="3852" t="s">
        <v>4862</v>
      </c>
      <c r="F39" s="3853">
        <v>14095</v>
      </c>
      <c r="G39" s="3852" t="s">
        <v>4857</v>
      </c>
      <c r="H39" s="3852">
        <v>2022</v>
      </c>
      <c r="I39" s="3852" t="s">
        <v>4873</v>
      </c>
      <c r="J39" s="3852" t="s">
        <v>4874</v>
      </c>
      <c r="K39" s="3853">
        <v>333</v>
      </c>
      <c r="L39" s="3853">
        <v>23625</v>
      </c>
      <c r="M39" s="3852" t="s">
        <v>4860</v>
      </c>
    </row>
    <row r="40" spans="1:13" s="3854" customFormat="1" ht="15" hidden="1" customHeight="1">
      <c r="A40" s="3852">
        <v>38</v>
      </c>
      <c r="B40" s="3852" t="s">
        <v>4875</v>
      </c>
      <c r="C40" s="3852" t="s">
        <v>4854</v>
      </c>
      <c r="D40" s="3852" t="s">
        <v>4872</v>
      </c>
      <c r="E40" s="3852" t="s">
        <v>4862</v>
      </c>
      <c r="F40" s="3853">
        <v>19862</v>
      </c>
      <c r="G40" s="3852" t="s">
        <v>4857</v>
      </c>
      <c r="H40" s="3852">
        <v>2022</v>
      </c>
      <c r="I40" s="3852" t="s">
        <v>4873</v>
      </c>
      <c r="J40" s="3852" t="s">
        <v>4874</v>
      </c>
      <c r="K40" s="3853">
        <v>480</v>
      </c>
      <c r="L40" s="3853">
        <v>24200</v>
      </c>
      <c r="M40" s="3852" t="s">
        <v>4860</v>
      </c>
    </row>
    <row r="41" spans="1:13" s="3854" customFormat="1" ht="15" hidden="1" customHeight="1">
      <c r="A41" s="3852">
        <v>39</v>
      </c>
      <c r="B41" s="3852" t="s">
        <v>4876</v>
      </c>
      <c r="C41" s="3852" t="s">
        <v>4854</v>
      </c>
      <c r="D41" s="3852" t="s">
        <v>4877</v>
      </c>
      <c r="E41" s="3852" t="s">
        <v>4856</v>
      </c>
      <c r="F41" s="3853">
        <v>45395</v>
      </c>
      <c r="G41" s="3852" t="s">
        <v>4857</v>
      </c>
      <c r="H41" s="3852">
        <v>2022</v>
      </c>
      <c r="I41" s="3852" t="s">
        <v>4878</v>
      </c>
      <c r="J41" s="3852" t="s">
        <v>4879</v>
      </c>
      <c r="K41" s="3853">
        <v>2633</v>
      </c>
      <c r="L41" s="3853">
        <v>58000</v>
      </c>
      <c r="M41" s="3852" t="s">
        <v>4860</v>
      </c>
    </row>
    <row r="42" spans="1:13" s="3854" customFormat="1" ht="15" hidden="1" customHeight="1">
      <c r="A42" s="3852">
        <v>40</v>
      </c>
      <c r="B42" s="3852" t="s">
        <v>4880</v>
      </c>
      <c r="C42" s="3852" t="s">
        <v>4854</v>
      </c>
      <c r="D42" s="3852" t="s">
        <v>4877</v>
      </c>
      <c r="E42" s="3852" t="s">
        <v>4856</v>
      </c>
      <c r="F42" s="3853">
        <v>93780</v>
      </c>
      <c r="G42" s="3852" t="s">
        <v>4857</v>
      </c>
      <c r="H42" s="3852">
        <v>2022</v>
      </c>
      <c r="I42" s="3852" t="s">
        <v>4881</v>
      </c>
      <c r="J42" s="3852" t="s">
        <v>4882</v>
      </c>
      <c r="K42" s="3853">
        <v>5700</v>
      </c>
      <c r="L42" s="3853">
        <v>60781</v>
      </c>
      <c r="M42" s="3852" t="s">
        <v>4860</v>
      </c>
    </row>
    <row r="43" spans="1:13" s="3854" customFormat="1" ht="15" hidden="1" customHeight="1">
      <c r="A43" s="3852">
        <v>41</v>
      </c>
      <c r="B43" s="3852" t="s">
        <v>4883</v>
      </c>
      <c r="C43" s="3852" t="s">
        <v>4854</v>
      </c>
      <c r="D43" s="3852" t="s">
        <v>4877</v>
      </c>
      <c r="E43" s="3852" t="s">
        <v>4884</v>
      </c>
      <c r="F43" s="3853">
        <v>20507</v>
      </c>
      <c r="G43" s="3852" t="s">
        <v>4857</v>
      </c>
      <c r="H43" s="3852">
        <v>2022</v>
      </c>
      <c r="I43" s="3852" t="s">
        <v>4881</v>
      </c>
      <c r="J43" s="3852" t="s">
        <v>4885</v>
      </c>
      <c r="K43" s="3853">
        <v>1150</v>
      </c>
      <c r="L43" s="3853">
        <v>56078</v>
      </c>
      <c r="M43" s="3852" t="s">
        <v>4860</v>
      </c>
    </row>
    <row r="44" spans="1:13" s="3854" customFormat="1" ht="15" hidden="1" customHeight="1">
      <c r="A44" s="3852">
        <v>42</v>
      </c>
      <c r="B44" s="3852" t="s">
        <v>4886</v>
      </c>
      <c r="C44" s="3852" t="s">
        <v>4854</v>
      </c>
      <c r="D44" s="3852" t="s">
        <v>4887</v>
      </c>
      <c r="E44" s="3852" t="s">
        <v>4856</v>
      </c>
      <c r="F44" s="3853">
        <v>3739</v>
      </c>
      <c r="G44" s="3852" t="s">
        <v>4857</v>
      </c>
      <c r="H44" s="3852">
        <v>2022</v>
      </c>
      <c r="I44" s="3852" t="s">
        <v>4878</v>
      </c>
      <c r="J44" s="3852" t="s">
        <v>4888</v>
      </c>
      <c r="K44" s="3853">
        <v>180</v>
      </c>
      <c r="L44" s="3853">
        <v>48141</v>
      </c>
      <c r="M44" s="3852" t="s">
        <v>4860</v>
      </c>
    </row>
    <row r="45" spans="1:13" s="3854" customFormat="1" ht="15" hidden="1" customHeight="1">
      <c r="A45" s="3852">
        <v>43</v>
      </c>
      <c r="B45" s="3852" t="s">
        <v>4889</v>
      </c>
      <c r="C45" s="3852" t="s">
        <v>4854</v>
      </c>
      <c r="D45" s="3852" t="s">
        <v>4890</v>
      </c>
      <c r="E45" s="3852" t="s">
        <v>4856</v>
      </c>
      <c r="F45" s="3853">
        <v>10232</v>
      </c>
      <c r="G45" s="3852" t="s">
        <v>4857</v>
      </c>
      <c r="H45" s="3852">
        <v>2022</v>
      </c>
      <c r="I45" s="3852" t="s">
        <v>4891</v>
      </c>
      <c r="J45" s="3852" t="s">
        <v>4892</v>
      </c>
      <c r="K45" s="3853">
        <v>657</v>
      </c>
      <c r="L45" s="3853">
        <v>64210</v>
      </c>
      <c r="M45" s="3852" t="s">
        <v>4860</v>
      </c>
    </row>
    <row r="46" spans="1:13" s="3854" customFormat="1" ht="15" hidden="1" customHeight="1">
      <c r="A46" s="3852">
        <v>44</v>
      </c>
      <c r="B46" s="3852" t="s">
        <v>4893</v>
      </c>
      <c r="C46" s="3852" t="s">
        <v>4854</v>
      </c>
      <c r="D46" s="3852" t="s">
        <v>4855</v>
      </c>
      <c r="E46" s="3852" t="s">
        <v>4884</v>
      </c>
      <c r="F46" s="3853">
        <v>33456</v>
      </c>
      <c r="G46" s="3852" t="s">
        <v>4857</v>
      </c>
      <c r="H46" s="3852">
        <v>2022</v>
      </c>
      <c r="I46" s="3852" t="s">
        <v>4894</v>
      </c>
      <c r="J46" s="3852" t="s">
        <v>4895</v>
      </c>
      <c r="K46" s="3853">
        <v>892</v>
      </c>
      <c r="L46" s="3853">
        <v>26700</v>
      </c>
      <c r="M46" s="3852" t="s">
        <v>4860</v>
      </c>
    </row>
    <row r="47" spans="1:13" s="3854" customFormat="1" ht="15" hidden="1" customHeight="1">
      <c r="A47" s="3852">
        <v>45</v>
      </c>
      <c r="B47" s="3852" t="s">
        <v>4896</v>
      </c>
      <c r="C47" s="3852" t="s">
        <v>4854</v>
      </c>
      <c r="D47" s="3852" t="s">
        <v>4877</v>
      </c>
      <c r="E47" s="3852" t="s">
        <v>4856</v>
      </c>
      <c r="F47" s="3853">
        <v>27427</v>
      </c>
      <c r="G47" s="3852" t="s">
        <v>4857</v>
      </c>
      <c r="H47" s="3852">
        <v>2022</v>
      </c>
      <c r="I47" s="3852" t="s">
        <v>4897</v>
      </c>
      <c r="J47" s="3852" t="s">
        <v>4898</v>
      </c>
      <c r="K47" s="3853">
        <v>1100</v>
      </c>
      <c r="L47" s="3853">
        <v>40106</v>
      </c>
      <c r="M47" s="3852" t="s">
        <v>4860</v>
      </c>
    </row>
    <row r="48" spans="1:13" s="3854" customFormat="1" ht="15" hidden="1" customHeight="1">
      <c r="A48" s="3852">
        <v>46</v>
      </c>
      <c r="B48" s="3852" t="s">
        <v>4899</v>
      </c>
      <c r="C48" s="3852" t="s">
        <v>4854</v>
      </c>
      <c r="D48" s="3852" t="s">
        <v>4855</v>
      </c>
      <c r="E48" s="3852" t="s">
        <v>4856</v>
      </c>
      <c r="F48" s="3853">
        <v>57318</v>
      </c>
      <c r="G48" s="3852" t="s">
        <v>4857</v>
      </c>
      <c r="H48" s="3852">
        <v>2022</v>
      </c>
      <c r="I48" s="3852" t="s">
        <v>4900</v>
      </c>
      <c r="J48" s="3852" t="s">
        <v>4901</v>
      </c>
      <c r="K48" s="3853">
        <v>2850</v>
      </c>
      <c r="L48" s="3853">
        <v>50595</v>
      </c>
      <c r="M48" s="3852" t="s">
        <v>4902</v>
      </c>
    </row>
    <row r="49" spans="1:13" s="3854" customFormat="1" ht="15" hidden="1" customHeight="1">
      <c r="A49" s="3852">
        <v>47</v>
      </c>
      <c r="B49" s="3852" t="s">
        <v>4903</v>
      </c>
      <c r="C49" s="3852" t="s">
        <v>4854</v>
      </c>
      <c r="D49" s="3852" t="s">
        <v>4904</v>
      </c>
      <c r="E49" s="3852" t="s">
        <v>4905</v>
      </c>
      <c r="F49" s="3853">
        <v>68433</v>
      </c>
      <c r="G49" s="3852" t="s">
        <v>4857</v>
      </c>
      <c r="H49" s="3852">
        <v>2022</v>
      </c>
      <c r="I49" s="3852" t="s">
        <v>4906</v>
      </c>
      <c r="J49" s="3852" t="s">
        <v>4907</v>
      </c>
      <c r="K49" s="3853">
        <v>411</v>
      </c>
      <c r="L49" s="3853">
        <v>6000</v>
      </c>
      <c r="M49" s="3852" t="s">
        <v>4902</v>
      </c>
    </row>
    <row r="50" spans="1:13" s="3854" customFormat="1" ht="15" hidden="1" customHeight="1">
      <c r="A50" s="3852">
        <v>48</v>
      </c>
      <c r="B50" s="3852" t="s">
        <v>4908</v>
      </c>
      <c r="C50" s="3852" t="s">
        <v>4854</v>
      </c>
      <c r="D50" s="3852" t="s">
        <v>4887</v>
      </c>
      <c r="E50" s="3852" t="s">
        <v>4856</v>
      </c>
      <c r="F50" s="3853">
        <v>34350</v>
      </c>
      <c r="G50" s="3852" t="s">
        <v>4857</v>
      </c>
      <c r="H50" s="3852">
        <v>2022</v>
      </c>
      <c r="I50" s="3852" t="s">
        <v>4909</v>
      </c>
      <c r="J50" s="3852" t="s">
        <v>4910</v>
      </c>
      <c r="K50" s="3853">
        <v>700</v>
      </c>
      <c r="L50" s="3853">
        <v>20378</v>
      </c>
      <c r="M50" s="3852" t="s">
        <v>4902</v>
      </c>
    </row>
    <row r="51" spans="1:13" s="3854" customFormat="1" ht="15" hidden="1" customHeight="1">
      <c r="A51" s="3852">
        <v>49</v>
      </c>
      <c r="B51" s="3852" t="s">
        <v>4911</v>
      </c>
      <c r="C51" s="3852" t="s">
        <v>4854</v>
      </c>
      <c r="D51" s="3852" t="s">
        <v>4877</v>
      </c>
      <c r="E51" s="3852" t="s">
        <v>4862</v>
      </c>
      <c r="F51" s="3853">
        <v>6002</v>
      </c>
      <c r="G51" s="3852" t="s">
        <v>4857</v>
      </c>
      <c r="H51" s="3852">
        <v>2022</v>
      </c>
      <c r="I51" s="3852" t="s">
        <v>4912</v>
      </c>
      <c r="J51" s="3852" t="s">
        <v>4913</v>
      </c>
      <c r="K51" s="3853">
        <v>120</v>
      </c>
      <c r="L51" s="3853">
        <v>19993</v>
      </c>
      <c r="M51" s="3852" t="s">
        <v>4860</v>
      </c>
    </row>
    <row r="52" spans="1:13" s="3854" customFormat="1" ht="15" hidden="1" customHeight="1">
      <c r="A52" s="3852">
        <v>50</v>
      </c>
      <c r="B52" s="3852" t="s">
        <v>4914</v>
      </c>
      <c r="C52" s="3852" t="s">
        <v>4854</v>
      </c>
      <c r="D52" s="3852" t="s">
        <v>4915</v>
      </c>
      <c r="E52" s="3852" t="s">
        <v>4916</v>
      </c>
      <c r="F52" s="3853">
        <v>13100</v>
      </c>
      <c r="G52" s="3852" t="s">
        <v>4857</v>
      </c>
      <c r="H52" s="3852">
        <v>2022</v>
      </c>
      <c r="I52" s="3852" t="s">
        <v>4917</v>
      </c>
      <c r="J52" s="3852" t="s">
        <v>4918</v>
      </c>
      <c r="K52" s="3853">
        <v>113</v>
      </c>
      <c r="L52" s="3853">
        <v>8626</v>
      </c>
      <c r="M52" s="3852" t="s">
        <v>4902</v>
      </c>
    </row>
    <row r="53" spans="1:13" s="3854" customFormat="1" ht="15" hidden="1" customHeight="1">
      <c r="A53" s="3852">
        <v>51</v>
      </c>
      <c r="B53" s="3852" t="s">
        <v>4919</v>
      </c>
      <c r="C53" s="3852" t="s">
        <v>4854</v>
      </c>
      <c r="D53" s="3852" t="s">
        <v>4855</v>
      </c>
      <c r="E53" s="3852" t="s">
        <v>4862</v>
      </c>
      <c r="F53" s="3853">
        <v>38149</v>
      </c>
      <c r="G53" s="3852" t="s">
        <v>4857</v>
      </c>
      <c r="H53" s="3852">
        <v>2022</v>
      </c>
      <c r="I53" s="3852" t="s">
        <v>4920</v>
      </c>
      <c r="J53" s="3852" t="s">
        <v>4921</v>
      </c>
      <c r="K53" s="3853">
        <v>420</v>
      </c>
      <c r="L53" s="3853">
        <v>11009</v>
      </c>
      <c r="M53" s="3852" t="s">
        <v>4902</v>
      </c>
    </row>
    <row r="54" spans="1:13" s="3854" customFormat="1" ht="15" hidden="1" customHeight="1">
      <c r="A54" s="3852">
        <v>52</v>
      </c>
      <c r="B54" s="3852" t="s">
        <v>4922</v>
      </c>
      <c r="C54" s="3852" t="s">
        <v>4854</v>
      </c>
      <c r="D54" s="3852" t="s">
        <v>4866</v>
      </c>
      <c r="E54" s="3852" t="s">
        <v>4856</v>
      </c>
      <c r="F54" s="3853">
        <v>5874</v>
      </c>
      <c r="G54" s="3852" t="s">
        <v>4923</v>
      </c>
      <c r="H54" s="3852">
        <v>2022</v>
      </c>
      <c r="I54" s="3852" t="s">
        <v>4924</v>
      </c>
      <c r="J54" s="3852" t="s">
        <v>4925</v>
      </c>
      <c r="K54" s="3853">
        <v>200</v>
      </c>
      <c r="L54" s="3853">
        <v>34048</v>
      </c>
      <c r="M54" s="3852" t="s">
        <v>4860</v>
      </c>
    </row>
    <row r="55" spans="1:13" s="3854" customFormat="1" ht="15" hidden="1" customHeight="1">
      <c r="A55" s="3852">
        <v>53</v>
      </c>
      <c r="B55" s="3852" t="s">
        <v>4926</v>
      </c>
      <c r="C55" s="3852" t="s">
        <v>4854</v>
      </c>
      <c r="D55" s="3852" t="s">
        <v>4872</v>
      </c>
      <c r="E55" s="3852" t="s">
        <v>4862</v>
      </c>
      <c r="F55" s="3853">
        <v>5135</v>
      </c>
      <c r="G55" s="3852" t="s">
        <v>4923</v>
      </c>
      <c r="H55" s="3852">
        <v>2022</v>
      </c>
      <c r="I55" s="3852" t="s">
        <v>4927</v>
      </c>
      <c r="J55" s="3852" t="s">
        <v>4928</v>
      </c>
      <c r="K55" s="3853">
        <v>200</v>
      </c>
      <c r="L55" s="3853">
        <v>39000</v>
      </c>
      <c r="M55" s="3852" t="s">
        <v>4860</v>
      </c>
    </row>
    <row r="56" spans="1:13" s="3854" customFormat="1" ht="15" hidden="1" customHeight="1">
      <c r="A56" s="3852">
        <v>54</v>
      </c>
      <c r="B56" s="3852" t="s">
        <v>4929</v>
      </c>
      <c r="C56" s="3852" t="s">
        <v>4854</v>
      </c>
      <c r="D56" s="3852" t="s">
        <v>4930</v>
      </c>
      <c r="E56" s="3852" t="s">
        <v>4862</v>
      </c>
      <c r="F56" s="3853">
        <v>79260</v>
      </c>
      <c r="G56" s="3852" t="s">
        <v>4923</v>
      </c>
      <c r="H56" s="3852">
        <v>2022</v>
      </c>
      <c r="I56" s="3852" t="s">
        <v>4931</v>
      </c>
      <c r="J56" s="3852" t="s">
        <v>4932</v>
      </c>
      <c r="K56" s="3853">
        <v>2753</v>
      </c>
      <c r="L56" s="3853">
        <v>34734</v>
      </c>
      <c r="M56" s="3852" t="s">
        <v>4933</v>
      </c>
    </row>
    <row r="57" spans="1:13" s="3854" customFormat="1" ht="15" hidden="1" customHeight="1">
      <c r="A57" s="3852">
        <v>55</v>
      </c>
      <c r="B57" s="3852" t="s">
        <v>4934</v>
      </c>
      <c r="C57" s="3852" t="s">
        <v>4854</v>
      </c>
      <c r="D57" s="3852" t="s">
        <v>4855</v>
      </c>
      <c r="E57" s="3852" t="s">
        <v>4905</v>
      </c>
      <c r="F57" s="3853">
        <v>29380</v>
      </c>
      <c r="G57" s="3852" t="s">
        <v>4923</v>
      </c>
      <c r="H57" s="3852">
        <v>2022</v>
      </c>
      <c r="I57" s="3852" t="s">
        <v>4935</v>
      </c>
      <c r="J57" s="3852" t="s">
        <v>4936</v>
      </c>
      <c r="K57" s="3853">
        <v>283</v>
      </c>
      <c r="L57" s="3853">
        <v>9632</v>
      </c>
      <c r="M57" s="3852" t="s">
        <v>4902</v>
      </c>
    </row>
    <row r="58" spans="1:13" s="3854" customFormat="1" ht="15" hidden="1" customHeight="1">
      <c r="A58" s="3852">
        <v>56</v>
      </c>
      <c r="B58" s="3852" t="s">
        <v>4937</v>
      </c>
      <c r="C58" s="3852" t="s">
        <v>4854</v>
      </c>
      <c r="D58" s="3852" t="s">
        <v>4938</v>
      </c>
      <c r="E58" s="3852" t="s">
        <v>4939</v>
      </c>
      <c r="F58" s="3853">
        <v>11427</v>
      </c>
      <c r="G58" s="3852" t="s">
        <v>4923</v>
      </c>
      <c r="H58" s="3852">
        <v>2022</v>
      </c>
      <c r="I58" s="3852" t="s">
        <v>4940</v>
      </c>
      <c r="J58" s="3852" t="s">
        <v>4941</v>
      </c>
      <c r="K58" s="3853">
        <v>253</v>
      </c>
      <c r="L58" s="3853">
        <v>22141</v>
      </c>
      <c r="M58" s="3852" t="s">
        <v>4902</v>
      </c>
    </row>
    <row r="59" spans="1:13" s="3854" customFormat="1" ht="15" hidden="1" customHeight="1">
      <c r="A59" s="3852">
        <v>57</v>
      </c>
      <c r="B59" s="3852" t="s">
        <v>4942</v>
      </c>
      <c r="C59" s="3852" t="s">
        <v>4854</v>
      </c>
      <c r="D59" s="3852" t="s">
        <v>4877</v>
      </c>
      <c r="E59" s="3852" t="s">
        <v>4939</v>
      </c>
      <c r="F59" s="3853">
        <v>3209</v>
      </c>
      <c r="G59" s="3852" t="s">
        <v>4923</v>
      </c>
      <c r="H59" s="3852">
        <v>2022</v>
      </c>
      <c r="I59" s="3852" t="s">
        <v>4943</v>
      </c>
      <c r="J59" s="3852" t="s">
        <v>4944</v>
      </c>
      <c r="K59" s="3853">
        <v>92</v>
      </c>
      <c r="L59" s="3853">
        <v>28669</v>
      </c>
      <c r="M59" s="3852" t="s">
        <v>4902</v>
      </c>
    </row>
    <row r="60" spans="1:13" s="3854" customFormat="1" ht="15" hidden="1" customHeight="1">
      <c r="A60" s="3852">
        <v>58</v>
      </c>
      <c r="B60" s="3852" t="s">
        <v>4945</v>
      </c>
      <c r="C60" s="3852" t="s">
        <v>4854</v>
      </c>
      <c r="D60" s="3852" t="s">
        <v>4855</v>
      </c>
      <c r="E60" s="3852" t="s">
        <v>4862</v>
      </c>
      <c r="F60" s="3853">
        <v>22073</v>
      </c>
      <c r="G60" s="3852" t="s">
        <v>4923</v>
      </c>
      <c r="H60" s="3852">
        <v>2022</v>
      </c>
      <c r="I60" s="3852" t="s">
        <v>4946</v>
      </c>
      <c r="J60" s="3852" t="s">
        <v>4947</v>
      </c>
      <c r="K60" s="3853">
        <v>580</v>
      </c>
      <c r="L60" s="3853">
        <v>26276</v>
      </c>
      <c r="M60" s="3852" t="s">
        <v>4902</v>
      </c>
    </row>
    <row r="61" spans="1:13" s="3854" customFormat="1" ht="15" hidden="1" customHeight="1">
      <c r="A61" s="3852">
        <v>59</v>
      </c>
      <c r="B61" s="3852" t="s">
        <v>4948</v>
      </c>
      <c r="C61" s="3852" t="s">
        <v>4854</v>
      </c>
      <c r="D61" s="3852" t="s">
        <v>4877</v>
      </c>
      <c r="E61" s="3852" t="s">
        <v>4884</v>
      </c>
      <c r="F61" s="3853">
        <v>4636</v>
      </c>
      <c r="G61" s="3852" t="s">
        <v>4923</v>
      </c>
      <c r="H61" s="3852">
        <v>2022</v>
      </c>
      <c r="I61" s="3852" t="s">
        <v>4949</v>
      </c>
      <c r="J61" s="3852" t="s">
        <v>4913</v>
      </c>
      <c r="K61" s="3853">
        <v>140</v>
      </c>
      <c r="L61" s="3853">
        <v>30198</v>
      </c>
      <c r="M61" s="3852" t="s">
        <v>4860</v>
      </c>
    </row>
    <row r="62" spans="1:13" s="3854" customFormat="1" ht="15" hidden="1" customHeight="1">
      <c r="A62" s="3852">
        <v>60</v>
      </c>
      <c r="B62" s="3852" t="s">
        <v>4950</v>
      </c>
      <c r="C62" s="3852" t="s">
        <v>4854</v>
      </c>
      <c r="D62" s="3852" t="s">
        <v>4855</v>
      </c>
      <c r="E62" s="3852" t="s">
        <v>4862</v>
      </c>
      <c r="F62" s="3853">
        <v>26755</v>
      </c>
      <c r="G62" s="3852" t="s">
        <v>4923</v>
      </c>
      <c r="H62" s="3852">
        <v>2022</v>
      </c>
      <c r="I62" s="3852" t="s">
        <v>4951</v>
      </c>
      <c r="J62" s="3852" t="s">
        <v>4952</v>
      </c>
      <c r="K62" s="3853">
        <v>1070</v>
      </c>
      <c r="L62" s="3853">
        <v>40000</v>
      </c>
      <c r="M62" s="3852" t="s">
        <v>4902</v>
      </c>
    </row>
    <row r="63" spans="1:13" s="3854" customFormat="1" ht="15" hidden="1" customHeight="1">
      <c r="A63" s="3852">
        <v>61</v>
      </c>
      <c r="B63" s="3852" t="s">
        <v>4953</v>
      </c>
      <c r="C63" s="3852" t="s">
        <v>4854</v>
      </c>
      <c r="D63" s="3852" t="s">
        <v>4954</v>
      </c>
      <c r="E63" s="3852" t="s">
        <v>4856</v>
      </c>
      <c r="F63" s="3853">
        <v>145642</v>
      </c>
      <c r="G63" s="3852" t="s">
        <v>4923</v>
      </c>
      <c r="H63" s="3852">
        <v>2022</v>
      </c>
      <c r="I63" s="3852" t="s">
        <v>4955</v>
      </c>
      <c r="J63" s="3852" t="s">
        <v>4956</v>
      </c>
      <c r="K63" s="3853">
        <v>7300</v>
      </c>
      <c r="L63" s="3853">
        <v>50123</v>
      </c>
      <c r="M63" s="3852" t="s">
        <v>4902</v>
      </c>
    </row>
    <row r="64" spans="1:13" s="3854" customFormat="1" ht="15" hidden="1" customHeight="1">
      <c r="A64" s="3852">
        <v>62</v>
      </c>
      <c r="B64" s="3852" t="s">
        <v>4957</v>
      </c>
      <c r="C64" s="3852" t="s">
        <v>4854</v>
      </c>
      <c r="D64" s="3852" t="s">
        <v>4866</v>
      </c>
      <c r="E64" s="3852" t="s">
        <v>4856</v>
      </c>
      <c r="F64" s="3853">
        <v>33702</v>
      </c>
      <c r="G64" s="3852" t="s">
        <v>4923</v>
      </c>
      <c r="H64" s="3852">
        <v>2022</v>
      </c>
      <c r="I64" s="3852" t="s">
        <v>4897</v>
      </c>
      <c r="J64" s="3852" t="s">
        <v>4958</v>
      </c>
      <c r="K64" s="3853">
        <v>1139</v>
      </c>
      <c r="L64" s="3853">
        <v>33796</v>
      </c>
      <c r="M64" s="3852" t="s">
        <v>4860</v>
      </c>
    </row>
    <row r="65" spans="1:17" s="3854" customFormat="1" ht="15" hidden="1" customHeight="1">
      <c r="A65" s="3852">
        <v>63</v>
      </c>
      <c r="B65" s="3852" t="s">
        <v>4959</v>
      </c>
      <c r="C65" s="3852" t="s">
        <v>4854</v>
      </c>
      <c r="D65" s="3852" t="s">
        <v>4890</v>
      </c>
      <c r="E65" s="3852" t="s">
        <v>4856</v>
      </c>
      <c r="F65" s="3853">
        <v>52998</v>
      </c>
      <c r="G65" s="3852" t="s">
        <v>4923</v>
      </c>
      <c r="H65" s="3852">
        <v>2022</v>
      </c>
      <c r="I65" s="3852" t="s">
        <v>4960</v>
      </c>
      <c r="J65" s="3852" t="s">
        <v>4961</v>
      </c>
      <c r="K65" s="3853">
        <v>3328</v>
      </c>
      <c r="L65" s="3853">
        <v>62795</v>
      </c>
      <c r="M65" s="3852" t="s">
        <v>4860</v>
      </c>
    </row>
    <row r="66" spans="1:17" s="3854" customFormat="1" ht="15" hidden="1" customHeight="1">
      <c r="A66" s="3852">
        <v>64</v>
      </c>
      <c r="B66" s="3852" t="s">
        <v>4962</v>
      </c>
      <c r="C66" s="3852" t="s">
        <v>4854</v>
      </c>
      <c r="D66" s="3852" t="s">
        <v>4890</v>
      </c>
      <c r="E66" s="3852" t="s">
        <v>4856</v>
      </c>
      <c r="F66" s="3853">
        <v>23778</v>
      </c>
      <c r="G66" s="3852" t="s">
        <v>4923</v>
      </c>
      <c r="H66" s="3852">
        <v>2022</v>
      </c>
      <c r="I66" s="3852" t="s">
        <v>4960</v>
      </c>
      <c r="J66" s="3852" t="s">
        <v>4963</v>
      </c>
      <c r="K66" s="3853">
        <v>1493</v>
      </c>
      <c r="L66" s="3853">
        <v>62800</v>
      </c>
      <c r="M66" s="3852" t="s">
        <v>4860</v>
      </c>
    </row>
    <row r="67" spans="1:17" s="3854" customFormat="1" ht="15" hidden="1" customHeight="1">
      <c r="A67" s="3852">
        <v>65</v>
      </c>
      <c r="B67" s="3852" t="s">
        <v>4964</v>
      </c>
      <c r="C67" s="3852" t="s">
        <v>4854</v>
      </c>
      <c r="D67" s="3852" t="s">
        <v>4855</v>
      </c>
      <c r="E67" s="3852" t="s">
        <v>4862</v>
      </c>
      <c r="F67" s="3853">
        <v>30406</v>
      </c>
      <c r="G67" s="3852" t="s">
        <v>4923</v>
      </c>
      <c r="H67" s="3852">
        <v>2022</v>
      </c>
      <c r="I67" s="3852" t="s">
        <v>4965</v>
      </c>
      <c r="J67" s="3852" t="s">
        <v>4966</v>
      </c>
      <c r="K67" s="3853">
        <v>979</v>
      </c>
      <c r="L67" s="3853">
        <v>32198</v>
      </c>
      <c r="M67" s="3852" t="s">
        <v>4860</v>
      </c>
    </row>
    <row r="68" spans="1:17" s="3854" customFormat="1" ht="15" hidden="1" customHeight="1">
      <c r="A68" s="3852">
        <v>66</v>
      </c>
      <c r="B68" s="3852" t="s">
        <v>4967</v>
      </c>
      <c r="C68" s="3852" t="s">
        <v>4854</v>
      </c>
      <c r="D68" s="3852" t="s">
        <v>4930</v>
      </c>
      <c r="E68" s="3852" t="s">
        <v>4856</v>
      </c>
      <c r="F68" s="3853">
        <v>4227</v>
      </c>
      <c r="G68" s="3852" t="s">
        <v>4923</v>
      </c>
      <c r="H68" s="3852">
        <v>2022</v>
      </c>
      <c r="I68" s="3852" t="s">
        <v>4968</v>
      </c>
      <c r="J68" s="3852" t="s">
        <v>4969</v>
      </c>
      <c r="K68" s="3853">
        <v>267</v>
      </c>
      <c r="L68" s="3853">
        <v>63165</v>
      </c>
      <c r="M68" s="3852" t="s">
        <v>4860</v>
      </c>
    </row>
    <row r="69" spans="1:17" s="3854" customFormat="1" ht="15" hidden="1" customHeight="1">
      <c r="A69" s="3852">
        <v>67</v>
      </c>
      <c r="B69" s="3852" t="s">
        <v>4970</v>
      </c>
      <c r="C69" s="3852" t="s">
        <v>4854</v>
      </c>
      <c r="D69" s="3852" t="s">
        <v>4887</v>
      </c>
      <c r="E69" s="3852" t="s">
        <v>4939</v>
      </c>
      <c r="F69" s="3853">
        <v>49112</v>
      </c>
      <c r="G69" s="3852" t="s">
        <v>4923</v>
      </c>
      <c r="H69" s="3852">
        <v>2022</v>
      </c>
      <c r="I69" s="3852" t="s">
        <v>4943</v>
      </c>
      <c r="J69" s="3852" t="s">
        <v>4941</v>
      </c>
      <c r="K69" s="3853">
        <v>263</v>
      </c>
      <c r="L69" s="3853">
        <v>21420</v>
      </c>
      <c r="M69" s="3852" t="s">
        <v>4902</v>
      </c>
    </row>
    <row r="70" spans="1:17" s="3854" customFormat="1" ht="15" hidden="1" customHeight="1">
      <c r="A70" s="3852">
        <v>68</v>
      </c>
      <c r="B70" s="3852" t="s">
        <v>4971</v>
      </c>
      <c r="C70" s="3852" t="s">
        <v>4854</v>
      </c>
      <c r="D70" s="3852" t="s">
        <v>4954</v>
      </c>
      <c r="E70" s="3852" t="s">
        <v>4856</v>
      </c>
      <c r="F70" s="3853">
        <v>23013</v>
      </c>
      <c r="G70" s="3852" t="s">
        <v>4923</v>
      </c>
      <c r="H70" s="3852">
        <v>2022</v>
      </c>
      <c r="I70" s="3852" t="s">
        <v>4972</v>
      </c>
      <c r="J70" s="3852" t="s">
        <v>4973</v>
      </c>
      <c r="K70" s="3853">
        <v>2640</v>
      </c>
      <c r="L70" s="3853">
        <v>115000</v>
      </c>
      <c r="M70" s="3852" t="s">
        <v>4860</v>
      </c>
    </row>
    <row r="71" spans="1:17" s="3854" customFormat="1" ht="15" hidden="1" customHeight="1">
      <c r="A71" s="3852">
        <v>69</v>
      </c>
      <c r="B71" s="3852" t="s">
        <v>4974</v>
      </c>
      <c r="C71" s="3852" t="s">
        <v>4854</v>
      </c>
      <c r="D71" s="3852" t="s">
        <v>4872</v>
      </c>
      <c r="E71" s="3852" t="s">
        <v>4905</v>
      </c>
      <c r="F71" s="3853">
        <v>29495</v>
      </c>
      <c r="G71" s="3852" t="s">
        <v>4923</v>
      </c>
      <c r="H71" s="3852">
        <v>2022</v>
      </c>
      <c r="I71" s="3852" t="s">
        <v>4975</v>
      </c>
      <c r="J71" s="3852" t="s">
        <v>4976</v>
      </c>
      <c r="K71" s="3853">
        <v>132</v>
      </c>
      <c r="L71" s="3853">
        <v>4478</v>
      </c>
      <c r="M71" s="3852" t="s">
        <v>4860</v>
      </c>
    </row>
    <row r="72" spans="1:17" s="3854" customFormat="1" ht="15" hidden="1" customHeight="1">
      <c r="A72" s="3852">
        <v>70</v>
      </c>
      <c r="B72" s="3852" t="s">
        <v>4977</v>
      </c>
      <c r="C72" s="3852" t="s">
        <v>4854</v>
      </c>
      <c r="D72" s="3852" t="s">
        <v>4954</v>
      </c>
      <c r="E72" s="3852" t="s">
        <v>4856</v>
      </c>
      <c r="F72" s="3853">
        <v>15600</v>
      </c>
      <c r="G72" s="3852" t="s">
        <v>4923</v>
      </c>
      <c r="H72" s="3852">
        <v>2022</v>
      </c>
      <c r="I72" s="3852" t="s">
        <v>4978</v>
      </c>
      <c r="J72" s="3852" t="s">
        <v>4979</v>
      </c>
      <c r="K72" s="3853">
        <v>505</v>
      </c>
      <c r="L72" s="3853">
        <v>32372</v>
      </c>
      <c r="M72" s="3852" t="s">
        <v>4860</v>
      </c>
    </row>
    <row r="73" spans="1:17" s="3854" customFormat="1" ht="15" customHeight="1">
      <c r="A73" s="3852">
        <v>71</v>
      </c>
      <c r="B73" s="3852" t="s">
        <v>4980</v>
      </c>
      <c r="C73" s="3852" t="s">
        <v>4981</v>
      </c>
      <c r="D73" s="3852" t="s">
        <v>4982</v>
      </c>
      <c r="E73" s="3852" t="s">
        <v>4856</v>
      </c>
      <c r="F73" s="3853">
        <v>6343</v>
      </c>
      <c r="G73" s="3852" t="s">
        <v>4983</v>
      </c>
      <c r="H73" s="3852">
        <v>2022</v>
      </c>
      <c r="I73" s="3852" t="s">
        <v>4984</v>
      </c>
      <c r="J73" s="3852" t="s">
        <v>4985</v>
      </c>
      <c r="K73" s="3853">
        <v>152</v>
      </c>
      <c r="L73" s="3853">
        <v>23963</v>
      </c>
      <c r="M73" s="3852" t="s">
        <v>4860</v>
      </c>
    </row>
    <row r="74" spans="1:17" s="3854" customFormat="1" ht="15" hidden="1" customHeight="1">
      <c r="A74" s="3852">
        <v>72</v>
      </c>
      <c r="B74" s="3852" t="s">
        <v>4986</v>
      </c>
      <c r="C74" s="3852" t="s">
        <v>4981</v>
      </c>
      <c r="D74" s="3852" t="s">
        <v>4987</v>
      </c>
      <c r="E74" s="3852" t="s">
        <v>4884</v>
      </c>
      <c r="F74" s="3853">
        <v>17265</v>
      </c>
      <c r="G74" s="3852" t="s">
        <v>4983</v>
      </c>
      <c r="H74" s="3852">
        <v>2022</v>
      </c>
      <c r="I74" s="3852" t="s">
        <v>4988</v>
      </c>
      <c r="J74" s="3852" t="s">
        <v>4989</v>
      </c>
      <c r="K74" s="3853">
        <v>163</v>
      </c>
      <c r="L74" s="3853">
        <v>9441</v>
      </c>
      <c r="M74" s="3852" t="s">
        <v>4860</v>
      </c>
    </row>
    <row r="75" spans="1:17" s="3854" customFormat="1" ht="15" customHeight="1">
      <c r="A75" s="3852">
        <v>73</v>
      </c>
      <c r="B75" s="3852" t="s">
        <v>4990</v>
      </c>
      <c r="C75" s="3852" t="s">
        <v>4981</v>
      </c>
      <c r="D75" s="3852" t="s">
        <v>4991</v>
      </c>
      <c r="E75" s="3852" t="s">
        <v>4856</v>
      </c>
      <c r="F75" s="3853">
        <v>24165</v>
      </c>
      <c r="G75" s="3852" t="s">
        <v>4983</v>
      </c>
      <c r="H75" s="3852">
        <v>2022</v>
      </c>
      <c r="I75" s="3852" t="s">
        <v>4992</v>
      </c>
      <c r="J75" s="3852" t="s">
        <v>4993</v>
      </c>
      <c r="K75" s="3853">
        <v>750</v>
      </c>
      <c r="L75" s="3853">
        <v>31037</v>
      </c>
      <c r="M75" s="3852" t="s">
        <v>4994</v>
      </c>
    </row>
    <row r="76" spans="1:17" s="3854" customFormat="1" ht="15" hidden="1" customHeight="1">
      <c r="A76" s="3852">
        <v>74</v>
      </c>
      <c r="B76" s="3852" t="s">
        <v>4995</v>
      </c>
      <c r="C76" s="3852" t="s">
        <v>4981</v>
      </c>
      <c r="D76" s="3852" t="s">
        <v>4996</v>
      </c>
      <c r="E76" s="3852" t="s">
        <v>4939</v>
      </c>
      <c r="F76" s="3853">
        <v>96740</v>
      </c>
      <c r="G76" s="3852" t="s">
        <v>4983</v>
      </c>
      <c r="H76" s="3852">
        <v>2022</v>
      </c>
      <c r="I76" s="3852" t="s">
        <v>4997</v>
      </c>
      <c r="J76" s="3852" t="s">
        <v>4998</v>
      </c>
      <c r="K76" s="3853">
        <v>1870</v>
      </c>
      <c r="L76" s="3853">
        <v>19330</v>
      </c>
      <c r="M76" s="3852" t="s">
        <v>4860</v>
      </c>
    </row>
    <row r="77" spans="1:17" s="3858" customFormat="1" ht="15" customHeight="1">
      <c r="A77" s="3855">
        <v>75</v>
      </c>
      <c r="B77" s="3856" t="s">
        <v>4999</v>
      </c>
      <c r="C77" s="3855" t="s">
        <v>4981</v>
      </c>
      <c r="D77" s="3855" t="s">
        <v>5000</v>
      </c>
      <c r="E77" s="3855" t="s">
        <v>4856</v>
      </c>
      <c r="F77" s="3857">
        <v>119000</v>
      </c>
      <c r="G77" s="3855" t="s">
        <v>5001</v>
      </c>
      <c r="H77" s="3855">
        <v>2022</v>
      </c>
      <c r="I77" s="3855" t="s">
        <v>5002</v>
      </c>
      <c r="J77" s="3855" t="s">
        <v>5003</v>
      </c>
      <c r="K77" s="3857">
        <v>5015</v>
      </c>
      <c r="L77" s="3857">
        <v>42143</v>
      </c>
      <c r="M77" s="3855" t="s">
        <v>4994</v>
      </c>
    </row>
    <row r="78" spans="1:17" s="3854" customFormat="1" ht="15" customHeight="1">
      <c r="A78" s="3852">
        <v>76</v>
      </c>
      <c r="B78" s="3859" t="s">
        <v>5004</v>
      </c>
      <c r="C78" s="3852" t="s">
        <v>4981</v>
      </c>
      <c r="D78" s="3852" t="s">
        <v>5005</v>
      </c>
      <c r="E78" s="3852" t="s">
        <v>5006</v>
      </c>
      <c r="F78" s="3853">
        <v>30120</v>
      </c>
      <c r="G78" s="3852" t="s">
        <v>5001</v>
      </c>
      <c r="H78" s="3852">
        <v>2022</v>
      </c>
      <c r="I78" s="3852" t="s">
        <v>5007</v>
      </c>
      <c r="J78" s="3852" t="s">
        <v>5008</v>
      </c>
      <c r="K78" s="3853">
        <v>1080</v>
      </c>
      <c r="L78" s="3853">
        <v>35857</v>
      </c>
      <c r="M78" s="3852" t="s">
        <v>4994</v>
      </c>
      <c r="P78" s="3854">
        <f>ROUND(K78*1000000/F78,0)</f>
        <v>35857</v>
      </c>
      <c r="Q78" s="3854" t="s">
        <v>5009</v>
      </c>
    </row>
    <row r="79" spans="1:17" s="3854" customFormat="1" ht="15" customHeight="1">
      <c r="A79" s="3852">
        <v>77</v>
      </c>
      <c r="B79" s="3852" t="s">
        <v>5010</v>
      </c>
      <c r="C79" s="3852" t="s">
        <v>4981</v>
      </c>
      <c r="D79" s="3852" t="s">
        <v>4991</v>
      </c>
      <c r="E79" s="3852" t="s">
        <v>5011</v>
      </c>
      <c r="F79" s="3853">
        <v>175969</v>
      </c>
      <c r="G79" s="3852" t="s">
        <v>5001</v>
      </c>
      <c r="H79" s="3852">
        <v>2022</v>
      </c>
      <c r="I79" s="3852" t="s">
        <v>5002</v>
      </c>
      <c r="J79" s="3852" t="s">
        <v>5012</v>
      </c>
      <c r="K79" s="3853">
        <v>3000</v>
      </c>
      <c r="L79" s="3853">
        <v>34097</v>
      </c>
      <c r="M79" s="3852" t="s">
        <v>4994</v>
      </c>
    </row>
    <row r="80" spans="1:17" s="3854" customFormat="1" ht="15" hidden="1" customHeight="1">
      <c r="A80" s="3852">
        <v>78</v>
      </c>
      <c r="B80" s="3852" t="s">
        <v>5013</v>
      </c>
      <c r="C80" s="3852" t="s">
        <v>4981</v>
      </c>
      <c r="D80" s="3852" t="s">
        <v>5014</v>
      </c>
      <c r="E80" s="3852" t="s">
        <v>4939</v>
      </c>
      <c r="F80" s="3853">
        <v>13139</v>
      </c>
      <c r="G80" s="3852" t="s">
        <v>5001</v>
      </c>
      <c r="H80" s="3852">
        <v>2022</v>
      </c>
      <c r="I80" s="3852" t="s">
        <v>5015</v>
      </c>
      <c r="J80" s="3852" t="s">
        <v>5016</v>
      </c>
      <c r="K80" s="3853">
        <v>580</v>
      </c>
      <c r="L80" s="3853">
        <v>44143</v>
      </c>
      <c r="M80" s="3852" t="s">
        <v>4994</v>
      </c>
    </row>
    <row r="81" spans="1:17" s="3854" customFormat="1" ht="15" customHeight="1">
      <c r="A81" s="3852">
        <v>79</v>
      </c>
      <c r="B81" s="3852" t="s">
        <v>5017</v>
      </c>
      <c r="C81" s="3852" t="s">
        <v>4981</v>
      </c>
      <c r="D81" s="3852" t="s">
        <v>4982</v>
      </c>
      <c r="E81" s="3852" t="s">
        <v>4862</v>
      </c>
      <c r="F81" s="3853">
        <v>14585</v>
      </c>
      <c r="G81" s="3852" t="s">
        <v>4857</v>
      </c>
      <c r="H81" s="3852">
        <v>2022</v>
      </c>
      <c r="I81" s="3852" t="s">
        <v>5018</v>
      </c>
      <c r="J81" s="3852" t="s">
        <v>5019</v>
      </c>
      <c r="K81" s="3853">
        <v>294</v>
      </c>
      <c r="L81" s="3853">
        <v>20158</v>
      </c>
      <c r="M81" s="3852" t="s">
        <v>4860</v>
      </c>
    </row>
    <row r="82" spans="1:17" s="3854" customFormat="1" ht="15" customHeight="1">
      <c r="A82" s="3852">
        <v>80</v>
      </c>
      <c r="B82" s="3859" t="s">
        <v>5020</v>
      </c>
      <c r="C82" s="3852" t="s">
        <v>4981</v>
      </c>
      <c r="D82" s="3852" t="s">
        <v>4991</v>
      </c>
      <c r="E82" s="3852" t="s">
        <v>5006</v>
      </c>
      <c r="F82" s="3853">
        <v>12092</v>
      </c>
      <c r="G82" s="3852" t="s">
        <v>4857</v>
      </c>
      <c r="H82" s="3852">
        <v>2022</v>
      </c>
      <c r="I82" s="3852" t="s">
        <v>4993</v>
      </c>
      <c r="J82" s="3852" t="s">
        <v>5021</v>
      </c>
      <c r="K82" s="3853">
        <v>500</v>
      </c>
      <c r="L82" s="3853">
        <v>41350</v>
      </c>
      <c r="M82" s="3852" t="s">
        <v>4994</v>
      </c>
      <c r="P82" s="3854">
        <f>ROUND(K82*1000000/F82,0)</f>
        <v>41350</v>
      </c>
    </row>
    <row r="83" spans="1:17" s="3854" customFormat="1" ht="15" customHeight="1">
      <c r="A83" s="3852">
        <v>81</v>
      </c>
      <c r="B83" s="3852" t="s">
        <v>5022</v>
      </c>
      <c r="C83" s="3852" t="s">
        <v>4981</v>
      </c>
      <c r="D83" s="3852" t="s">
        <v>4996</v>
      </c>
      <c r="E83" s="3852" t="s">
        <v>4862</v>
      </c>
      <c r="F83" s="3853">
        <v>118997</v>
      </c>
      <c r="G83" s="3852" t="s">
        <v>4857</v>
      </c>
      <c r="H83" s="3852">
        <v>2022</v>
      </c>
      <c r="I83" s="3852" t="s">
        <v>5023</v>
      </c>
      <c r="J83" s="3852" t="s">
        <v>5024</v>
      </c>
      <c r="K83" s="3853">
        <v>1250</v>
      </c>
      <c r="L83" s="3853">
        <v>10500</v>
      </c>
      <c r="M83" s="3852" t="s">
        <v>4994</v>
      </c>
    </row>
    <row r="84" spans="1:17" s="3854" customFormat="1" ht="15" customHeight="1">
      <c r="A84" s="3852">
        <v>82</v>
      </c>
      <c r="B84" s="3852" t="s">
        <v>5025</v>
      </c>
      <c r="C84" s="3852" t="s">
        <v>4981</v>
      </c>
      <c r="D84" s="3852" t="s">
        <v>4991</v>
      </c>
      <c r="E84" s="3852" t="s">
        <v>4856</v>
      </c>
      <c r="F84" s="3853">
        <v>40824</v>
      </c>
      <c r="G84" s="3852" t="s">
        <v>4857</v>
      </c>
      <c r="H84" s="3852">
        <v>2022</v>
      </c>
      <c r="I84" s="3852" t="s">
        <v>5026</v>
      </c>
      <c r="J84" s="3852" t="s">
        <v>5027</v>
      </c>
      <c r="K84" s="3853">
        <v>1342</v>
      </c>
      <c r="L84" s="3853">
        <v>70831</v>
      </c>
      <c r="M84" s="3852" t="s">
        <v>4994</v>
      </c>
    </row>
    <row r="85" spans="1:17" s="3854" customFormat="1" ht="15" customHeight="1">
      <c r="A85" s="3852">
        <v>83</v>
      </c>
      <c r="B85" s="3852" t="s">
        <v>5028</v>
      </c>
      <c r="C85" s="3852" t="s">
        <v>4981</v>
      </c>
      <c r="D85" s="3852" t="s">
        <v>4982</v>
      </c>
      <c r="E85" s="3852" t="s">
        <v>4862</v>
      </c>
      <c r="F85" s="3853">
        <v>11235</v>
      </c>
      <c r="G85" s="3852" t="s">
        <v>4857</v>
      </c>
      <c r="H85" s="3852">
        <v>2022</v>
      </c>
      <c r="I85" s="3852" t="s">
        <v>5029</v>
      </c>
      <c r="J85" s="3852" t="s">
        <v>5030</v>
      </c>
      <c r="K85" s="3853">
        <v>427</v>
      </c>
      <c r="L85" s="3853">
        <v>38000</v>
      </c>
      <c r="M85" s="3852" t="s">
        <v>4860</v>
      </c>
    </row>
    <row r="86" spans="1:17" s="3858" customFormat="1" ht="15" customHeight="1">
      <c r="A86" s="3855">
        <v>84</v>
      </c>
      <c r="B86" s="3856" t="s">
        <v>5031</v>
      </c>
      <c r="C86" s="3855" t="s">
        <v>4981</v>
      </c>
      <c r="D86" s="3855" t="s">
        <v>5000</v>
      </c>
      <c r="E86" s="3855" t="s">
        <v>4856</v>
      </c>
      <c r="F86" s="3857">
        <v>12500</v>
      </c>
      <c r="G86" s="3855" t="s">
        <v>4857</v>
      </c>
      <c r="H86" s="3855">
        <v>2022</v>
      </c>
      <c r="I86" s="3855" t="s">
        <v>4881</v>
      </c>
      <c r="J86" s="3855" t="s">
        <v>5032</v>
      </c>
      <c r="K86" s="3857">
        <v>550</v>
      </c>
      <c r="L86" s="3857">
        <v>44000</v>
      </c>
      <c r="M86" s="3855" t="s">
        <v>4860</v>
      </c>
    </row>
    <row r="87" spans="1:17" s="3854" customFormat="1" ht="15" hidden="1" customHeight="1">
      <c r="A87" s="3852">
        <v>85</v>
      </c>
      <c r="B87" s="3852" t="s">
        <v>5033</v>
      </c>
      <c r="C87" s="3852" t="s">
        <v>4981</v>
      </c>
      <c r="D87" s="3852" t="s">
        <v>4991</v>
      </c>
      <c r="E87" s="3852" t="s">
        <v>4884</v>
      </c>
      <c r="F87" s="3853">
        <v>6297</v>
      </c>
      <c r="G87" s="3852" t="s">
        <v>4857</v>
      </c>
      <c r="H87" s="3852">
        <v>2022</v>
      </c>
      <c r="I87" s="3852" t="s">
        <v>4878</v>
      </c>
      <c r="J87" s="3852" t="s">
        <v>5034</v>
      </c>
      <c r="K87" s="3853">
        <v>187</v>
      </c>
      <c r="L87" s="3853">
        <v>29697</v>
      </c>
      <c r="M87" s="3852" t="s">
        <v>4860</v>
      </c>
    </row>
    <row r="88" spans="1:17" s="3854" customFormat="1" ht="15" customHeight="1">
      <c r="A88" s="3852">
        <v>86</v>
      </c>
      <c r="B88" s="3852" t="s">
        <v>5035</v>
      </c>
      <c r="C88" s="3852" t="s">
        <v>4981</v>
      </c>
      <c r="D88" s="3852" t="s">
        <v>5000</v>
      </c>
      <c r="E88" s="3852" t="s">
        <v>4856</v>
      </c>
      <c r="F88" s="3853">
        <v>7618</v>
      </c>
      <c r="G88" s="3852" t="s">
        <v>4857</v>
      </c>
      <c r="H88" s="3852">
        <v>2022</v>
      </c>
      <c r="I88" s="3852" t="s">
        <v>5036</v>
      </c>
      <c r="J88" s="3852" t="s">
        <v>5037</v>
      </c>
      <c r="K88" s="3853">
        <v>433</v>
      </c>
      <c r="L88" s="3853">
        <v>56867</v>
      </c>
      <c r="M88" s="3852" t="s">
        <v>4860</v>
      </c>
    </row>
    <row r="89" spans="1:17" s="3854" customFormat="1" ht="15" customHeight="1">
      <c r="A89" s="3852">
        <v>87</v>
      </c>
      <c r="B89" s="3852" t="s">
        <v>5038</v>
      </c>
      <c r="C89" s="3852" t="s">
        <v>4981</v>
      </c>
      <c r="D89" s="3852" t="s">
        <v>4991</v>
      </c>
      <c r="E89" s="3852" t="s">
        <v>4856</v>
      </c>
      <c r="F89" s="3853">
        <v>58239</v>
      </c>
      <c r="G89" s="3852" t="s">
        <v>4923</v>
      </c>
      <c r="H89" s="3852">
        <v>2022</v>
      </c>
      <c r="I89" s="3852" t="s">
        <v>5039</v>
      </c>
      <c r="J89" s="3852" t="s">
        <v>4910</v>
      </c>
      <c r="K89" s="3853">
        <v>2037</v>
      </c>
      <c r="L89" s="3853">
        <v>34977</v>
      </c>
      <c r="M89" s="3852" t="s">
        <v>4860</v>
      </c>
    </row>
    <row r="90" spans="1:17" s="3854" customFormat="1" ht="15" customHeight="1">
      <c r="A90" s="3852">
        <v>88</v>
      </c>
      <c r="B90" s="3859" t="s">
        <v>5040</v>
      </c>
      <c r="C90" s="3852" t="s">
        <v>4981</v>
      </c>
      <c r="D90" s="3852" t="s">
        <v>4991</v>
      </c>
      <c r="E90" s="3852" t="s">
        <v>5006</v>
      </c>
      <c r="F90" s="3853">
        <v>30530</v>
      </c>
      <c r="G90" s="3852" t="s">
        <v>4923</v>
      </c>
      <c r="H90" s="3852">
        <v>2022</v>
      </c>
      <c r="I90" s="3852" t="s">
        <v>5041</v>
      </c>
      <c r="J90" s="3852" t="s">
        <v>5042</v>
      </c>
      <c r="K90" s="3853">
        <v>849</v>
      </c>
      <c r="L90" s="3853">
        <v>27809</v>
      </c>
      <c r="M90" s="3852" t="s">
        <v>4860</v>
      </c>
      <c r="P90" s="3854">
        <f>ROUND(K90*1000000/F90,0)</f>
        <v>27809</v>
      </c>
      <c r="Q90" s="3854" t="s">
        <v>5043</v>
      </c>
    </row>
    <row r="91" spans="1:17" s="3862" customFormat="1" ht="15" customHeight="1">
      <c r="A91" s="3860">
        <v>89</v>
      </c>
      <c r="B91" s="3860" t="s">
        <v>5044</v>
      </c>
      <c r="C91" s="3860" t="s">
        <v>4981</v>
      </c>
      <c r="D91" s="3860" t="s">
        <v>5000</v>
      </c>
      <c r="E91" s="3860" t="s">
        <v>4856</v>
      </c>
      <c r="F91" s="3861">
        <v>6461</v>
      </c>
      <c r="G91" s="3860" t="s">
        <v>4923</v>
      </c>
      <c r="H91" s="3860">
        <v>2022</v>
      </c>
      <c r="I91" s="3860" t="s">
        <v>5045</v>
      </c>
      <c r="J91" s="3860" t="s">
        <v>5046</v>
      </c>
      <c r="K91" s="3861">
        <v>321</v>
      </c>
      <c r="L91" s="3861">
        <v>49683</v>
      </c>
      <c r="M91" s="3860" t="s">
        <v>4860</v>
      </c>
    </row>
    <row r="92" spans="1:17" s="3854" customFormat="1" ht="15" customHeight="1">
      <c r="A92" s="3852">
        <v>90</v>
      </c>
      <c r="B92" s="3852" t="s">
        <v>5047</v>
      </c>
      <c r="C92" s="3852" t="s">
        <v>4981</v>
      </c>
      <c r="D92" s="3852" t="s">
        <v>5000</v>
      </c>
      <c r="E92" s="3852" t="s">
        <v>4856</v>
      </c>
      <c r="F92" s="3853">
        <v>5000</v>
      </c>
      <c r="G92" s="3852" t="s">
        <v>4923</v>
      </c>
      <c r="H92" s="3852">
        <v>2022</v>
      </c>
      <c r="I92" s="3852" t="s">
        <v>5048</v>
      </c>
      <c r="J92" s="3852" t="s">
        <v>5049</v>
      </c>
      <c r="K92" s="3853">
        <v>425</v>
      </c>
      <c r="L92" s="3853">
        <v>85000</v>
      </c>
      <c r="M92" s="3852" t="s">
        <v>4860</v>
      </c>
    </row>
    <row r="93" spans="1:17" s="3854" customFormat="1" ht="15" customHeight="1">
      <c r="A93" s="3852">
        <v>91</v>
      </c>
      <c r="B93" s="3859" t="s">
        <v>5050</v>
      </c>
      <c r="C93" s="3852" t="s">
        <v>4981</v>
      </c>
      <c r="D93" s="3852" t="s">
        <v>5051</v>
      </c>
      <c r="E93" s="3852" t="s">
        <v>5006</v>
      </c>
      <c r="F93" s="3853">
        <v>43460</v>
      </c>
      <c r="G93" s="3852" t="s">
        <v>4923</v>
      </c>
      <c r="H93" s="3852">
        <v>2022</v>
      </c>
      <c r="I93" s="3852" t="s">
        <v>5052</v>
      </c>
      <c r="J93" s="3852" t="s">
        <v>5053</v>
      </c>
      <c r="K93" s="3853">
        <v>550</v>
      </c>
      <c r="L93" s="3853">
        <v>12655</v>
      </c>
      <c r="M93" s="3852" t="s">
        <v>4994</v>
      </c>
      <c r="P93" s="3854">
        <f>ROUND(K93*1000000/F93,0)</f>
        <v>12655</v>
      </c>
    </row>
    <row r="94" spans="1:17" s="3854" customFormat="1" ht="15" customHeight="1">
      <c r="A94" s="3852">
        <v>92</v>
      </c>
      <c r="B94" s="3852" t="s">
        <v>5054</v>
      </c>
      <c r="C94" s="3852" t="s">
        <v>4981</v>
      </c>
      <c r="D94" s="3852" t="s">
        <v>4982</v>
      </c>
      <c r="E94" s="3852" t="s">
        <v>4862</v>
      </c>
      <c r="F94" s="3853">
        <v>26584</v>
      </c>
      <c r="G94" s="3852" t="s">
        <v>4923</v>
      </c>
      <c r="H94" s="3852">
        <v>2022</v>
      </c>
      <c r="I94" s="3852" t="s">
        <v>5055</v>
      </c>
      <c r="J94" s="3852" t="s">
        <v>5056</v>
      </c>
      <c r="K94" s="3853">
        <v>906</v>
      </c>
      <c r="L94" s="3853">
        <v>34081</v>
      </c>
      <c r="M94" s="3852" t="s">
        <v>4860</v>
      </c>
    </row>
    <row r="95" spans="1:17" s="3862" customFormat="1" ht="15" customHeight="1">
      <c r="A95" s="3860">
        <v>93</v>
      </c>
      <c r="B95" s="3860" t="s">
        <v>5057</v>
      </c>
      <c r="C95" s="3860" t="s">
        <v>4981</v>
      </c>
      <c r="D95" s="3860" t="s">
        <v>4987</v>
      </c>
      <c r="E95" s="3860" t="s">
        <v>4856</v>
      </c>
      <c r="F95" s="3861">
        <v>53000</v>
      </c>
      <c r="G95" s="3860" t="s">
        <v>4923</v>
      </c>
      <c r="H95" s="3860">
        <v>2022</v>
      </c>
      <c r="I95" s="3860" t="s">
        <v>5052</v>
      </c>
      <c r="J95" s="3860" t="s">
        <v>5058</v>
      </c>
      <c r="K95" s="3861">
        <v>2650</v>
      </c>
      <c r="L95" s="3861">
        <v>50000</v>
      </c>
      <c r="M95" s="3860" t="s">
        <v>4860</v>
      </c>
    </row>
    <row r="96" spans="1:17" s="3854" customFormat="1" ht="15" hidden="1" customHeight="1">
      <c r="A96" s="3852">
        <v>94</v>
      </c>
      <c r="B96" s="3852" t="s">
        <v>5059</v>
      </c>
      <c r="C96" s="3852" t="s">
        <v>4981</v>
      </c>
      <c r="D96" s="3852" t="s">
        <v>4996</v>
      </c>
      <c r="E96" s="3852" t="s">
        <v>4939</v>
      </c>
      <c r="F96" s="3853">
        <v>31100</v>
      </c>
      <c r="G96" s="3852" t="s">
        <v>4923</v>
      </c>
      <c r="H96" s="3852">
        <v>2022</v>
      </c>
      <c r="I96" s="3852" t="s">
        <v>5060</v>
      </c>
      <c r="J96" s="3852" t="s">
        <v>5061</v>
      </c>
      <c r="K96" s="3853">
        <v>373</v>
      </c>
      <c r="L96" s="3853">
        <v>12000</v>
      </c>
      <c r="M96" s="3852" t="s">
        <v>4860</v>
      </c>
    </row>
    <row r="97" spans="1:13" s="3862" customFormat="1" ht="15" customHeight="1">
      <c r="A97" s="3860">
        <v>95</v>
      </c>
      <c r="B97" s="3860" t="s">
        <v>5062</v>
      </c>
      <c r="C97" s="3860" t="s">
        <v>4981</v>
      </c>
      <c r="D97" s="3860" t="s">
        <v>4996</v>
      </c>
      <c r="E97" s="3860" t="s">
        <v>4856</v>
      </c>
      <c r="F97" s="3861">
        <v>6747</v>
      </c>
      <c r="G97" s="3860" t="s">
        <v>4923</v>
      </c>
      <c r="H97" s="3860">
        <v>2022</v>
      </c>
      <c r="I97" s="3860" t="s">
        <v>5063</v>
      </c>
      <c r="J97" s="3860" t="s">
        <v>5064</v>
      </c>
      <c r="K97" s="3861">
        <v>324</v>
      </c>
      <c r="L97" s="3861">
        <v>48036</v>
      </c>
      <c r="M97" s="3860" t="s">
        <v>4860</v>
      </c>
    </row>
    <row r="98" spans="1:13" s="3854" customFormat="1" ht="15" customHeight="1">
      <c r="A98" s="3852">
        <v>96</v>
      </c>
      <c r="B98" s="3852" t="s">
        <v>5065</v>
      </c>
      <c r="C98" s="3852" t="s">
        <v>4981</v>
      </c>
      <c r="D98" s="3852" t="s">
        <v>4991</v>
      </c>
      <c r="E98" s="3852" t="s">
        <v>4862</v>
      </c>
      <c r="F98" s="3853">
        <v>25503</v>
      </c>
      <c r="G98" s="3852" t="s">
        <v>4923</v>
      </c>
      <c r="H98" s="3852">
        <v>2022</v>
      </c>
      <c r="I98" s="3852" t="s">
        <v>5066</v>
      </c>
      <c r="J98" s="3852" t="s">
        <v>5067</v>
      </c>
      <c r="K98" s="3853">
        <v>592</v>
      </c>
      <c r="L98" s="3853">
        <v>23204</v>
      </c>
      <c r="M98" s="3852" t="s">
        <v>4860</v>
      </c>
    </row>
    <row r="99" spans="1:13" s="3858" customFormat="1" ht="15" customHeight="1">
      <c r="A99" s="3855">
        <v>97</v>
      </c>
      <c r="B99" s="3856" t="s">
        <v>5068</v>
      </c>
      <c r="C99" s="3855" t="s">
        <v>4981</v>
      </c>
      <c r="D99" s="3855" t="s">
        <v>5000</v>
      </c>
      <c r="E99" s="3855" t="s">
        <v>4856</v>
      </c>
      <c r="F99" s="3857">
        <v>34999</v>
      </c>
      <c r="G99" s="3855" t="s">
        <v>4923</v>
      </c>
      <c r="H99" s="3855">
        <v>2022</v>
      </c>
      <c r="I99" s="3855" t="s">
        <v>4878</v>
      </c>
      <c r="J99" s="3855" t="s">
        <v>5069</v>
      </c>
      <c r="K99" s="3857">
        <v>1500</v>
      </c>
      <c r="L99" s="3857">
        <v>42858</v>
      </c>
      <c r="M99" s="3855" t="s">
        <v>4860</v>
      </c>
    </row>
    <row r="100" spans="1:13" s="3854" customFormat="1" ht="15" customHeight="1">
      <c r="A100" s="3852">
        <v>98</v>
      </c>
      <c r="B100" s="3852" t="s">
        <v>5070</v>
      </c>
      <c r="C100" s="3852" t="s">
        <v>4981</v>
      </c>
      <c r="D100" s="3852" t="s">
        <v>5000</v>
      </c>
      <c r="E100" s="3852" t="s">
        <v>4856</v>
      </c>
      <c r="F100" s="3853">
        <v>184914</v>
      </c>
      <c r="G100" s="3852" t="s">
        <v>4923</v>
      </c>
      <c r="H100" s="3852">
        <v>2022</v>
      </c>
      <c r="I100" s="3852" t="s">
        <v>5071</v>
      </c>
      <c r="J100" s="3852" t="s">
        <v>5012</v>
      </c>
      <c r="K100" s="3853">
        <v>6404</v>
      </c>
      <c r="L100" s="3853">
        <v>34611</v>
      </c>
      <c r="M100" s="3852" t="s">
        <v>4994</v>
      </c>
    </row>
    <row r="101" spans="1:13" s="3854" customFormat="1" ht="15" hidden="1" customHeight="1">
      <c r="A101" s="3852">
        <v>99</v>
      </c>
      <c r="B101" s="3852" t="s">
        <v>5072</v>
      </c>
      <c r="C101" s="3852" t="s">
        <v>4981</v>
      </c>
      <c r="D101" s="3852" t="s">
        <v>5051</v>
      </c>
      <c r="E101" s="3852" t="s">
        <v>4884</v>
      </c>
      <c r="F101" s="3853">
        <v>3300</v>
      </c>
      <c r="G101" s="3852" t="s">
        <v>4923</v>
      </c>
      <c r="H101" s="3852">
        <v>2022</v>
      </c>
      <c r="I101" s="3852" t="s">
        <v>5073</v>
      </c>
      <c r="J101" s="3852" t="s">
        <v>4913</v>
      </c>
      <c r="K101" s="3853">
        <v>149</v>
      </c>
      <c r="L101" s="3853">
        <v>45000</v>
      </c>
      <c r="M101" s="3852" t="s">
        <v>4860</v>
      </c>
    </row>
    <row r="102" spans="1:13" s="3854" customFormat="1" ht="15" customHeight="1">
      <c r="A102" s="3852">
        <v>100</v>
      </c>
      <c r="B102" s="3859" t="s">
        <v>5074</v>
      </c>
      <c r="C102" s="3852" t="s">
        <v>4981</v>
      </c>
      <c r="D102" s="3852" t="s">
        <v>5014</v>
      </c>
      <c r="E102" s="3852" t="s">
        <v>4856</v>
      </c>
      <c r="F102" s="3853">
        <v>6200</v>
      </c>
      <c r="G102" s="3852" t="s">
        <v>4923</v>
      </c>
      <c r="H102" s="3852">
        <v>2022</v>
      </c>
      <c r="I102" s="3852" t="s">
        <v>5075</v>
      </c>
      <c r="J102" s="3852" t="s">
        <v>5076</v>
      </c>
      <c r="K102" s="3853">
        <v>242</v>
      </c>
      <c r="L102" s="3853">
        <v>39000</v>
      </c>
      <c r="M102" s="3852" t="s">
        <v>4860</v>
      </c>
    </row>
    <row r="103" spans="1:13" s="3854" customFormat="1" ht="15" hidden="1" customHeight="1">
      <c r="A103" s="3852">
        <v>101</v>
      </c>
      <c r="B103" s="3852" t="s">
        <v>5077</v>
      </c>
      <c r="C103" s="3852" t="s">
        <v>4981</v>
      </c>
      <c r="D103" s="3852" t="s">
        <v>5000</v>
      </c>
      <c r="E103" s="3852" t="s">
        <v>4884</v>
      </c>
      <c r="F103" s="3853">
        <v>17000</v>
      </c>
      <c r="G103" s="3852" t="s">
        <v>4923</v>
      </c>
      <c r="H103" s="3852">
        <v>2022</v>
      </c>
      <c r="I103" s="3852" t="s">
        <v>5078</v>
      </c>
      <c r="J103" s="3852" t="s">
        <v>5079</v>
      </c>
      <c r="K103" s="3853">
        <v>230</v>
      </c>
      <c r="L103" s="3853">
        <v>13529</v>
      </c>
      <c r="M103" s="3852" t="s">
        <v>4994</v>
      </c>
    </row>
    <row r="104" spans="1:13" s="3854" customFormat="1" ht="15" hidden="1" customHeight="1">
      <c r="A104" s="3852">
        <v>102</v>
      </c>
      <c r="B104" s="3852" t="s">
        <v>5080</v>
      </c>
      <c r="C104" s="3852" t="s">
        <v>5081</v>
      </c>
      <c r="D104" s="3852" t="s">
        <v>5082</v>
      </c>
      <c r="E104" s="3852" t="s">
        <v>4856</v>
      </c>
      <c r="F104" s="3853">
        <v>2101</v>
      </c>
      <c r="G104" s="3852" t="s">
        <v>4983</v>
      </c>
      <c r="H104" s="3852">
        <v>2022</v>
      </c>
      <c r="I104" s="3852" t="s">
        <v>5083</v>
      </c>
      <c r="J104" s="3852" t="s">
        <v>5084</v>
      </c>
      <c r="K104" s="3853">
        <v>285</v>
      </c>
      <c r="L104" s="3853">
        <v>135600</v>
      </c>
      <c r="M104" s="3852" t="s">
        <v>4994</v>
      </c>
    </row>
    <row r="105" spans="1:13" s="3854" customFormat="1" ht="15" hidden="1" customHeight="1">
      <c r="A105" s="3852">
        <v>103</v>
      </c>
      <c r="B105" s="3852" t="s">
        <v>5085</v>
      </c>
      <c r="C105" s="3852" t="s">
        <v>5081</v>
      </c>
      <c r="D105" s="3852" t="s">
        <v>5086</v>
      </c>
      <c r="E105" s="3852" t="s">
        <v>4856</v>
      </c>
      <c r="F105" s="3853">
        <v>23322</v>
      </c>
      <c r="G105" s="3852" t="s">
        <v>4983</v>
      </c>
      <c r="H105" s="3852">
        <v>2022</v>
      </c>
      <c r="I105" s="3852" t="s">
        <v>5087</v>
      </c>
      <c r="J105" s="3852" t="s">
        <v>5088</v>
      </c>
      <c r="K105" s="3853">
        <v>500</v>
      </c>
      <c r="L105" s="3853">
        <v>21439</v>
      </c>
      <c r="M105" s="3852" t="s">
        <v>4994</v>
      </c>
    </row>
    <row r="106" spans="1:13" s="3854" customFormat="1" ht="15" hidden="1" customHeight="1">
      <c r="A106" s="3852">
        <v>104</v>
      </c>
      <c r="B106" s="3852" t="s">
        <v>5089</v>
      </c>
      <c r="C106" s="3852" t="s">
        <v>5081</v>
      </c>
      <c r="D106" s="3852" t="s">
        <v>5090</v>
      </c>
      <c r="E106" s="3852" t="s">
        <v>5011</v>
      </c>
      <c r="F106" s="3853">
        <v>36876</v>
      </c>
      <c r="G106" s="3852" t="s">
        <v>5001</v>
      </c>
      <c r="H106" s="3852">
        <v>2022</v>
      </c>
      <c r="I106" s="3852" t="s">
        <v>5091</v>
      </c>
      <c r="J106" s="3852" t="s">
        <v>5092</v>
      </c>
      <c r="K106" s="3853">
        <v>727</v>
      </c>
      <c r="L106" s="3853">
        <v>19715</v>
      </c>
      <c r="M106" s="3852" t="s">
        <v>5093</v>
      </c>
    </row>
    <row r="107" spans="1:13" s="3854" customFormat="1" ht="15" hidden="1" customHeight="1">
      <c r="A107" s="3852">
        <v>105</v>
      </c>
      <c r="B107" s="3852" t="s">
        <v>5094</v>
      </c>
      <c r="C107" s="3852" t="s">
        <v>5081</v>
      </c>
      <c r="D107" s="3852" t="s">
        <v>5095</v>
      </c>
      <c r="E107" s="3852" t="s">
        <v>4856</v>
      </c>
      <c r="F107" s="3853">
        <v>6000</v>
      </c>
      <c r="G107" s="3852" t="s">
        <v>5001</v>
      </c>
      <c r="H107" s="3852">
        <v>2022</v>
      </c>
      <c r="I107" s="3852" t="s">
        <v>5096</v>
      </c>
      <c r="J107" s="3852" t="s">
        <v>5097</v>
      </c>
      <c r="K107" s="3853">
        <v>450</v>
      </c>
      <c r="L107" s="3853">
        <v>75000</v>
      </c>
      <c r="M107" s="3852" t="s">
        <v>4860</v>
      </c>
    </row>
    <row r="108" spans="1:13" s="3854" customFormat="1" ht="15" hidden="1" customHeight="1">
      <c r="A108" s="3852">
        <v>106</v>
      </c>
      <c r="B108" s="3852" t="s">
        <v>5098</v>
      </c>
      <c r="C108" s="3852" t="s">
        <v>5081</v>
      </c>
      <c r="D108" s="3852" t="s">
        <v>5082</v>
      </c>
      <c r="E108" s="3852" t="s">
        <v>4862</v>
      </c>
      <c r="F108" s="3853">
        <v>10288</v>
      </c>
      <c r="G108" s="3852" t="s">
        <v>5001</v>
      </c>
      <c r="H108" s="3852">
        <v>2022</v>
      </c>
      <c r="I108" s="3852" t="s">
        <v>5099</v>
      </c>
      <c r="J108" s="3852" t="s">
        <v>5100</v>
      </c>
      <c r="K108" s="3853">
        <v>420</v>
      </c>
      <c r="L108" s="3853">
        <v>40824</v>
      </c>
      <c r="M108" s="3852" t="s">
        <v>4860</v>
      </c>
    </row>
    <row r="109" spans="1:13" s="3854" customFormat="1" ht="15" hidden="1" customHeight="1">
      <c r="A109" s="3852">
        <v>107</v>
      </c>
      <c r="B109" s="3852" t="s">
        <v>5101</v>
      </c>
      <c r="C109" s="3852" t="s">
        <v>5081</v>
      </c>
      <c r="D109" s="3852" t="s">
        <v>5095</v>
      </c>
      <c r="E109" s="3852" t="s">
        <v>4862</v>
      </c>
      <c r="F109" s="3853">
        <v>42750</v>
      </c>
      <c r="G109" s="3852" t="s">
        <v>5001</v>
      </c>
      <c r="H109" s="3852">
        <v>2022</v>
      </c>
      <c r="I109" s="3852" t="s">
        <v>5102</v>
      </c>
      <c r="J109" s="3852" t="s">
        <v>5103</v>
      </c>
      <c r="K109" s="3853">
        <v>1727</v>
      </c>
      <c r="L109" s="3853">
        <v>40398</v>
      </c>
      <c r="M109" s="3852" t="s">
        <v>4994</v>
      </c>
    </row>
    <row r="110" spans="1:13" s="3854" customFormat="1" ht="15" hidden="1" customHeight="1">
      <c r="A110" s="3852">
        <v>108</v>
      </c>
      <c r="B110" s="3852" t="s">
        <v>5104</v>
      </c>
      <c r="C110" s="3852" t="s">
        <v>5081</v>
      </c>
      <c r="D110" s="3852" t="s">
        <v>5086</v>
      </c>
      <c r="E110" s="3852" t="s">
        <v>4862</v>
      </c>
      <c r="F110" s="3853">
        <v>17000</v>
      </c>
      <c r="G110" s="3852" t="s">
        <v>4857</v>
      </c>
      <c r="H110" s="3852">
        <v>2022</v>
      </c>
      <c r="I110" s="3852" t="s">
        <v>5063</v>
      </c>
      <c r="J110" s="3852" t="s">
        <v>5105</v>
      </c>
      <c r="K110" s="3853">
        <v>465</v>
      </c>
      <c r="L110" s="3853">
        <v>27353</v>
      </c>
      <c r="M110" s="3852" t="s">
        <v>4860</v>
      </c>
    </row>
    <row r="111" spans="1:13" s="3854" customFormat="1" ht="15" hidden="1" customHeight="1">
      <c r="A111" s="3852">
        <v>109</v>
      </c>
      <c r="B111" s="3852" t="s">
        <v>5106</v>
      </c>
      <c r="C111" s="3852" t="s">
        <v>5081</v>
      </c>
      <c r="D111" s="3852" t="s">
        <v>5090</v>
      </c>
      <c r="E111" s="3852" t="s">
        <v>5107</v>
      </c>
      <c r="F111" s="3853">
        <v>14988</v>
      </c>
      <c r="G111" s="3852" t="s">
        <v>4857</v>
      </c>
      <c r="H111" s="3852">
        <v>2022</v>
      </c>
      <c r="I111" s="3852" t="s">
        <v>5108</v>
      </c>
      <c r="J111" s="3852" t="s">
        <v>5109</v>
      </c>
      <c r="K111" s="3853">
        <v>180</v>
      </c>
      <c r="L111" s="3853">
        <v>12010</v>
      </c>
      <c r="M111" s="3852" t="s">
        <v>4860</v>
      </c>
    </row>
    <row r="112" spans="1:13" s="3854" customFormat="1" ht="15" hidden="1" customHeight="1">
      <c r="A112" s="3852">
        <v>110</v>
      </c>
      <c r="B112" s="3852" t="s">
        <v>5110</v>
      </c>
      <c r="C112" s="3852" t="s">
        <v>5081</v>
      </c>
      <c r="D112" s="3852" t="s">
        <v>5111</v>
      </c>
      <c r="E112" s="3852" t="s">
        <v>4856</v>
      </c>
      <c r="F112" s="3853">
        <v>40306</v>
      </c>
      <c r="G112" s="3852" t="s">
        <v>4857</v>
      </c>
      <c r="H112" s="3852">
        <v>2022</v>
      </c>
      <c r="I112" s="3852" t="s">
        <v>5112</v>
      </c>
      <c r="J112" s="3852" t="s">
        <v>5113</v>
      </c>
      <c r="K112" s="3853">
        <v>1505</v>
      </c>
      <c r="L112" s="3853" t="s">
        <v>5114</v>
      </c>
      <c r="M112" s="3852" t="s">
        <v>4860</v>
      </c>
    </row>
    <row r="113" spans="1:13" s="3854" customFormat="1" ht="15" hidden="1" customHeight="1">
      <c r="A113" s="3852">
        <v>111</v>
      </c>
      <c r="B113" s="3852" t="s">
        <v>5115</v>
      </c>
      <c r="C113" s="3852" t="s">
        <v>5081</v>
      </c>
      <c r="D113" s="3852" t="s">
        <v>5116</v>
      </c>
      <c r="E113" s="3852" t="s">
        <v>4856</v>
      </c>
      <c r="F113" s="3853">
        <v>22444</v>
      </c>
      <c r="G113" s="3852" t="s">
        <v>4857</v>
      </c>
      <c r="H113" s="3852">
        <v>2022</v>
      </c>
      <c r="I113" s="3852" t="s">
        <v>5117</v>
      </c>
      <c r="J113" s="3852" t="s">
        <v>5118</v>
      </c>
      <c r="K113" s="3853">
        <v>637</v>
      </c>
      <c r="L113" s="3853" t="s">
        <v>5114</v>
      </c>
      <c r="M113" s="3852" t="s">
        <v>4860</v>
      </c>
    </row>
    <row r="114" spans="1:13" s="3854" customFormat="1" ht="15" hidden="1" customHeight="1">
      <c r="A114" s="3852">
        <v>112</v>
      </c>
      <c r="B114" s="3852" t="s">
        <v>5119</v>
      </c>
      <c r="C114" s="3852" t="s">
        <v>5081</v>
      </c>
      <c r="D114" s="3852" t="s">
        <v>5082</v>
      </c>
      <c r="E114" s="3852" t="s">
        <v>4862</v>
      </c>
      <c r="F114" s="3853">
        <v>43861</v>
      </c>
      <c r="G114" s="3852" t="s">
        <v>4923</v>
      </c>
      <c r="H114" s="3852">
        <v>2022</v>
      </c>
      <c r="I114" s="3852" t="s">
        <v>5120</v>
      </c>
      <c r="J114" s="3852" t="s">
        <v>5121</v>
      </c>
      <c r="K114" s="3853">
        <v>1886</v>
      </c>
      <c r="L114" s="3853">
        <v>42999</v>
      </c>
      <c r="M114" s="3852" t="s">
        <v>4860</v>
      </c>
    </row>
    <row r="115" spans="1:13" s="3854" customFormat="1" ht="15" hidden="1" customHeight="1">
      <c r="A115" s="3852">
        <v>113</v>
      </c>
      <c r="B115" s="3852" t="s">
        <v>5122</v>
      </c>
      <c r="C115" s="3852" t="s">
        <v>5081</v>
      </c>
      <c r="D115" s="3852" t="s">
        <v>5111</v>
      </c>
      <c r="E115" s="3852" t="s">
        <v>4856</v>
      </c>
      <c r="F115" s="3853">
        <v>6486</v>
      </c>
      <c r="G115" s="3852" t="s">
        <v>4923</v>
      </c>
      <c r="H115" s="3852">
        <v>2022</v>
      </c>
      <c r="I115" s="3852" t="s">
        <v>5123</v>
      </c>
      <c r="J115" s="3852" t="s">
        <v>5124</v>
      </c>
      <c r="K115" s="3853">
        <v>462</v>
      </c>
      <c r="L115" s="3853">
        <v>71230</v>
      </c>
      <c r="M115" s="3852" t="s">
        <v>4860</v>
      </c>
    </row>
    <row r="116" spans="1:13" s="3854" customFormat="1" ht="15" hidden="1" customHeight="1">
      <c r="A116" s="3852">
        <v>114</v>
      </c>
      <c r="B116" s="3852" t="s">
        <v>5125</v>
      </c>
      <c r="C116" s="3852" t="s">
        <v>5081</v>
      </c>
      <c r="D116" s="3852" t="s">
        <v>5086</v>
      </c>
      <c r="E116" s="3852" t="s">
        <v>5081</v>
      </c>
      <c r="F116" s="3853">
        <v>45507</v>
      </c>
      <c r="G116" s="3852" t="s">
        <v>4923</v>
      </c>
      <c r="H116" s="3852">
        <v>2022</v>
      </c>
      <c r="I116" s="3852" t="s">
        <v>5126</v>
      </c>
      <c r="J116" s="3852" t="s">
        <v>5127</v>
      </c>
      <c r="K116" s="3853">
        <v>2600</v>
      </c>
      <c r="L116" s="3853">
        <v>57134</v>
      </c>
      <c r="M116" s="3852" t="s">
        <v>4860</v>
      </c>
    </row>
    <row r="117" spans="1:13" s="3854" customFormat="1" ht="15" hidden="1" customHeight="1">
      <c r="A117" s="3852">
        <v>115</v>
      </c>
      <c r="B117" s="3852" t="s">
        <v>5128</v>
      </c>
      <c r="C117" s="3852" t="s">
        <v>5129</v>
      </c>
      <c r="D117" s="3852" t="s">
        <v>5130</v>
      </c>
      <c r="E117" s="3852" t="s">
        <v>5131</v>
      </c>
      <c r="F117" s="3853">
        <v>23000</v>
      </c>
      <c r="G117" s="3852" t="s">
        <v>4983</v>
      </c>
      <c r="H117" s="3852">
        <v>2022</v>
      </c>
      <c r="I117" s="3852" t="s">
        <v>5132</v>
      </c>
      <c r="J117" s="3852" t="s">
        <v>5133</v>
      </c>
      <c r="K117" s="3853">
        <v>250</v>
      </c>
      <c r="L117" s="3853">
        <v>10870</v>
      </c>
      <c r="M117" s="3852" t="s">
        <v>5134</v>
      </c>
    </row>
    <row r="118" spans="1:13" s="3854" customFormat="1" ht="15" hidden="1" customHeight="1">
      <c r="A118" s="3852">
        <v>116</v>
      </c>
      <c r="B118" s="3852" t="s">
        <v>5135</v>
      </c>
      <c r="C118" s="3852" t="s">
        <v>5129</v>
      </c>
      <c r="D118" s="3852" t="s">
        <v>5130</v>
      </c>
      <c r="E118" s="3852" t="s">
        <v>4856</v>
      </c>
      <c r="F118" s="3853">
        <v>12000</v>
      </c>
      <c r="G118" s="3852" t="s">
        <v>4983</v>
      </c>
      <c r="H118" s="3852">
        <v>2022</v>
      </c>
      <c r="I118" s="3852" t="s">
        <v>5136</v>
      </c>
      <c r="J118" s="3852" t="s">
        <v>5137</v>
      </c>
      <c r="K118" s="3853">
        <v>300</v>
      </c>
      <c r="L118" s="3853">
        <v>25000</v>
      </c>
      <c r="M118" s="3852" t="s">
        <v>4994</v>
      </c>
    </row>
    <row r="119" spans="1:13" s="3854" customFormat="1" ht="15" hidden="1" customHeight="1">
      <c r="A119" s="3852">
        <v>117</v>
      </c>
      <c r="B119" s="3852" t="s">
        <v>5138</v>
      </c>
      <c r="C119" s="3852" t="s">
        <v>5129</v>
      </c>
      <c r="D119" s="3852" t="s">
        <v>5139</v>
      </c>
      <c r="E119" s="3852" t="s">
        <v>4856</v>
      </c>
      <c r="F119" s="3853">
        <v>23793</v>
      </c>
      <c r="G119" s="3852" t="s">
        <v>5001</v>
      </c>
      <c r="H119" s="3852">
        <v>2022</v>
      </c>
      <c r="I119" s="3852" t="s">
        <v>5140</v>
      </c>
      <c r="J119" s="3852" t="s">
        <v>5141</v>
      </c>
      <c r="K119" s="3853">
        <v>1146</v>
      </c>
      <c r="L119" s="3853">
        <v>48165</v>
      </c>
      <c r="M119" s="3852" t="s">
        <v>4860</v>
      </c>
    </row>
    <row r="120" spans="1:13" s="3854" customFormat="1" ht="15" hidden="1" customHeight="1">
      <c r="A120" s="3852">
        <v>118</v>
      </c>
      <c r="B120" s="3852" t="s">
        <v>5142</v>
      </c>
      <c r="C120" s="3852" t="s">
        <v>5129</v>
      </c>
      <c r="D120" s="3852" t="s">
        <v>5143</v>
      </c>
      <c r="E120" s="3852" t="s">
        <v>4856</v>
      </c>
      <c r="F120" s="3853">
        <v>68966</v>
      </c>
      <c r="G120" s="3852" t="s">
        <v>5001</v>
      </c>
      <c r="H120" s="3852">
        <v>2022</v>
      </c>
      <c r="I120" s="3852" t="s">
        <v>5144</v>
      </c>
      <c r="J120" s="3852" t="s">
        <v>5145</v>
      </c>
      <c r="K120" s="3853">
        <v>3491</v>
      </c>
      <c r="L120" s="3853">
        <v>50619</v>
      </c>
      <c r="M120" s="3852" t="s">
        <v>4860</v>
      </c>
    </row>
    <row r="121" spans="1:13" s="3854" customFormat="1" ht="15" hidden="1" customHeight="1">
      <c r="A121" s="3852">
        <v>119</v>
      </c>
      <c r="B121" s="3852" t="s">
        <v>5146</v>
      </c>
      <c r="C121" s="3852" t="s">
        <v>5129</v>
      </c>
      <c r="D121" s="3852" t="s">
        <v>5130</v>
      </c>
      <c r="E121" s="3852" t="s">
        <v>4884</v>
      </c>
      <c r="F121" s="3853">
        <v>33530</v>
      </c>
      <c r="G121" s="3852" t="s">
        <v>5001</v>
      </c>
      <c r="H121" s="3852">
        <v>2022</v>
      </c>
      <c r="I121" s="3852" t="s">
        <v>5147</v>
      </c>
      <c r="J121" s="3852" t="s">
        <v>5148</v>
      </c>
      <c r="K121" s="3853">
        <v>714</v>
      </c>
      <c r="L121" s="3853">
        <v>21300</v>
      </c>
      <c r="M121" s="3852" t="s">
        <v>4860</v>
      </c>
    </row>
    <row r="122" spans="1:13" s="3854" customFormat="1" ht="15" hidden="1" customHeight="1">
      <c r="A122" s="3852">
        <v>120</v>
      </c>
      <c r="B122" s="3852" t="s">
        <v>5149</v>
      </c>
      <c r="C122" s="3852" t="s">
        <v>5129</v>
      </c>
      <c r="D122" s="3852" t="s">
        <v>5130</v>
      </c>
      <c r="E122" s="3852" t="s">
        <v>5011</v>
      </c>
      <c r="F122" s="3853">
        <v>799700</v>
      </c>
      <c r="G122" s="3852" t="s">
        <v>5001</v>
      </c>
      <c r="H122" s="3852">
        <v>2022</v>
      </c>
      <c r="I122" s="3852" t="s">
        <v>5150</v>
      </c>
      <c r="J122" s="3852" t="s">
        <v>5151</v>
      </c>
      <c r="K122" s="3853">
        <v>4617</v>
      </c>
      <c r="L122" s="3853">
        <v>10832</v>
      </c>
      <c r="M122" s="3852" t="s">
        <v>4994</v>
      </c>
    </row>
    <row r="123" spans="1:13" s="3854" customFormat="1" ht="15" hidden="1" customHeight="1">
      <c r="A123" s="3852">
        <v>121</v>
      </c>
      <c r="B123" s="3852" t="s">
        <v>5152</v>
      </c>
      <c r="C123" s="3852" t="s">
        <v>5129</v>
      </c>
      <c r="D123" s="3852" t="s">
        <v>5143</v>
      </c>
      <c r="E123" s="3852" t="s">
        <v>4862</v>
      </c>
      <c r="F123" s="3853">
        <v>30886</v>
      </c>
      <c r="G123" s="3852" t="s">
        <v>5001</v>
      </c>
      <c r="H123" s="3852">
        <v>2022</v>
      </c>
      <c r="I123" s="3852" t="s">
        <v>5153</v>
      </c>
      <c r="J123" s="3852" t="s">
        <v>5154</v>
      </c>
      <c r="K123" s="3853">
        <v>530</v>
      </c>
      <c r="L123" s="3853">
        <v>17160</v>
      </c>
      <c r="M123" s="3852" t="s">
        <v>4994</v>
      </c>
    </row>
    <row r="124" spans="1:13" s="3854" customFormat="1" ht="15" hidden="1" customHeight="1">
      <c r="A124" s="3852">
        <v>122</v>
      </c>
      <c r="B124" s="3852" t="s">
        <v>5155</v>
      </c>
      <c r="C124" s="3852" t="s">
        <v>5129</v>
      </c>
      <c r="D124" s="3852" t="s">
        <v>5143</v>
      </c>
      <c r="E124" s="3852" t="s">
        <v>4856</v>
      </c>
      <c r="F124" s="3853">
        <v>19585</v>
      </c>
      <c r="G124" s="3852" t="s">
        <v>4857</v>
      </c>
      <c r="H124" s="3852">
        <v>2022</v>
      </c>
      <c r="I124" s="3852" t="s">
        <v>5156</v>
      </c>
      <c r="J124" s="3852" t="s">
        <v>5157</v>
      </c>
      <c r="K124" s="3853">
        <v>881</v>
      </c>
      <c r="L124" s="3853">
        <v>45000</v>
      </c>
      <c r="M124" s="3852" t="s">
        <v>4860</v>
      </c>
    </row>
    <row r="125" spans="1:13" s="3854" customFormat="1" ht="15" hidden="1" customHeight="1">
      <c r="A125" s="3852">
        <v>123</v>
      </c>
      <c r="B125" s="3852" t="s">
        <v>5158</v>
      </c>
      <c r="C125" s="3852" t="s">
        <v>5129</v>
      </c>
      <c r="D125" s="3852" t="s">
        <v>5159</v>
      </c>
      <c r="E125" s="3852" t="s">
        <v>4862</v>
      </c>
      <c r="F125" s="3853">
        <v>22000</v>
      </c>
      <c r="G125" s="3852" t="s">
        <v>4923</v>
      </c>
      <c r="H125" s="3852">
        <v>2022</v>
      </c>
      <c r="I125" s="3852" t="s">
        <v>5063</v>
      </c>
      <c r="J125" s="3852" t="s">
        <v>5160</v>
      </c>
      <c r="K125" s="3853">
        <v>400</v>
      </c>
      <c r="L125" s="3853">
        <v>18000</v>
      </c>
      <c r="M125" s="3852" t="s">
        <v>4902</v>
      </c>
    </row>
    <row r="126" spans="1:13" s="3854" customFormat="1" ht="15" hidden="1" customHeight="1">
      <c r="A126" s="3852">
        <v>124</v>
      </c>
      <c r="B126" s="3852" t="s">
        <v>5161</v>
      </c>
      <c r="C126" s="3852" t="s">
        <v>5129</v>
      </c>
      <c r="D126" s="3852" t="s">
        <v>5159</v>
      </c>
      <c r="E126" s="3852" t="s">
        <v>4862</v>
      </c>
      <c r="F126" s="3853">
        <v>95126</v>
      </c>
      <c r="G126" s="3852" t="s">
        <v>4923</v>
      </c>
      <c r="H126" s="3852">
        <v>2022</v>
      </c>
      <c r="I126" s="3852" t="s">
        <v>5162</v>
      </c>
      <c r="J126" s="3852" t="s">
        <v>5163</v>
      </c>
      <c r="K126" s="3853">
        <v>1428</v>
      </c>
      <c r="L126" s="3853">
        <v>15012</v>
      </c>
      <c r="M126" s="3852" t="s">
        <v>4860</v>
      </c>
    </row>
    <row r="127" spans="1:13" s="3854" customFormat="1" ht="15" hidden="1" customHeight="1">
      <c r="A127" s="3852">
        <v>125</v>
      </c>
      <c r="B127" s="3852" t="s">
        <v>5164</v>
      </c>
      <c r="C127" s="3852" t="s">
        <v>5165</v>
      </c>
      <c r="D127" s="3852" t="s">
        <v>5166</v>
      </c>
      <c r="E127" s="3852" t="s">
        <v>4856</v>
      </c>
      <c r="F127" s="3853">
        <v>52970</v>
      </c>
      <c r="G127" s="3852" t="s">
        <v>4983</v>
      </c>
      <c r="H127" s="3852">
        <v>2022</v>
      </c>
      <c r="I127" s="3852" t="s">
        <v>5167</v>
      </c>
      <c r="J127" s="3852" t="s">
        <v>5168</v>
      </c>
      <c r="K127" s="3853">
        <v>870</v>
      </c>
      <c r="L127" s="3853">
        <v>16424</v>
      </c>
      <c r="M127" s="3852" t="s">
        <v>4994</v>
      </c>
    </row>
    <row r="128" spans="1:13" s="3854" customFormat="1" ht="15" hidden="1" customHeight="1">
      <c r="A128" s="3852">
        <v>126</v>
      </c>
      <c r="B128" s="3852" t="s">
        <v>5169</v>
      </c>
      <c r="C128" s="3852" t="s">
        <v>5165</v>
      </c>
      <c r="D128" s="3852" t="s">
        <v>5170</v>
      </c>
      <c r="E128" s="3852" t="s">
        <v>4856</v>
      </c>
      <c r="F128" s="3853">
        <v>16000</v>
      </c>
      <c r="G128" s="3852" t="s">
        <v>4983</v>
      </c>
      <c r="H128" s="3852">
        <v>2022</v>
      </c>
      <c r="I128" s="3852" t="s">
        <v>5171</v>
      </c>
      <c r="J128" s="3852" t="s">
        <v>5172</v>
      </c>
      <c r="K128" s="3853">
        <v>288</v>
      </c>
      <c r="L128" s="3853">
        <v>18000</v>
      </c>
      <c r="M128" s="3852" t="s">
        <v>4860</v>
      </c>
    </row>
    <row r="129" spans="1:13" s="3854" customFormat="1" ht="15" hidden="1" customHeight="1">
      <c r="A129" s="3852">
        <v>127</v>
      </c>
      <c r="B129" s="3852" t="s">
        <v>5173</v>
      </c>
      <c r="C129" s="3852" t="s">
        <v>5165</v>
      </c>
      <c r="D129" s="3852" t="s">
        <v>5174</v>
      </c>
      <c r="E129" s="3852" t="s">
        <v>4856</v>
      </c>
      <c r="F129" s="3853">
        <v>20583</v>
      </c>
      <c r="G129" s="3852" t="s">
        <v>4983</v>
      </c>
      <c r="H129" s="3852">
        <v>2022</v>
      </c>
      <c r="I129" s="3852" t="s">
        <v>5175</v>
      </c>
      <c r="J129" s="3852" t="s">
        <v>5176</v>
      </c>
      <c r="K129" s="3853">
        <v>322</v>
      </c>
      <c r="L129" s="3853">
        <v>15644</v>
      </c>
      <c r="M129" s="3852" t="s">
        <v>4860</v>
      </c>
    </row>
    <row r="130" spans="1:13" s="3854" customFormat="1" ht="15" hidden="1" customHeight="1">
      <c r="A130" s="3852">
        <v>128</v>
      </c>
      <c r="B130" s="3852" t="s">
        <v>5177</v>
      </c>
      <c r="C130" s="3852" t="s">
        <v>5178</v>
      </c>
      <c r="D130" s="3852" t="s">
        <v>5179</v>
      </c>
      <c r="E130" s="3852" t="s">
        <v>4856</v>
      </c>
      <c r="F130" s="3853">
        <v>51892</v>
      </c>
      <c r="G130" s="3852" t="s">
        <v>4857</v>
      </c>
      <c r="H130" s="3852">
        <v>2022</v>
      </c>
      <c r="I130" s="3852" t="s">
        <v>5177</v>
      </c>
      <c r="J130" s="3852" t="s">
        <v>5180</v>
      </c>
      <c r="K130" s="3853">
        <v>488</v>
      </c>
      <c r="L130" s="3853">
        <v>9400</v>
      </c>
      <c r="M130" s="3852" t="s">
        <v>4994</v>
      </c>
    </row>
    <row r="131" spans="1:13" s="3854" customFormat="1" ht="15" hidden="1" customHeight="1">
      <c r="A131" s="3852">
        <v>129</v>
      </c>
      <c r="B131" s="3852" t="s">
        <v>5181</v>
      </c>
      <c r="C131" s="3852" t="s">
        <v>5165</v>
      </c>
      <c r="D131" s="3852" t="s">
        <v>5182</v>
      </c>
      <c r="E131" s="3852" t="s">
        <v>4884</v>
      </c>
      <c r="F131" s="3853">
        <v>6271</v>
      </c>
      <c r="G131" s="3852" t="s">
        <v>4857</v>
      </c>
      <c r="H131" s="3852">
        <v>2022</v>
      </c>
      <c r="I131" s="3852" t="s">
        <v>5183</v>
      </c>
      <c r="J131" s="3852" t="s">
        <v>5023</v>
      </c>
      <c r="K131" s="3853">
        <v>145</v>
      </c>
      <c r="L131" s="3853">
        <v>23122</v>
      </c>
      <c r="M131" s="3852" t="s">
        <v>4860</v>
      </c>
    </row>
    <row r="132" spans="1:13" s="3854" customFormat="1" ht="15" hidden="1" customHeight="1">
      <c r="A132" s="3852">
        <v>130</v>
      </c>
      <c r="B132" s="3852" t="s">
        <v>5184</v>
      </c>
      <c r="C132" s="3852" t="s">
        <v>5165</v>
      </c>
      <c r="D132" s="3852" t="s">
        <v>5174</v>
      </c>
      <c r="E132" s="3852" t="s">
        <v>5011</v>
      </c>
      <c r="F132" s="3853">
        <v>213000</v>
      </c>
      <c r="G132" s="3852" t="s">
        <v>4923</v>
      </c>
      <c r="H132" s="3852">
        <v>2022</v>
      </c>
      <c r="I132" s="3852" t="s">
        <v>5185</v>
      </c>
      <c r="J132" s="3852" t="s">
        <v>5186</v>
      </c>
      <c r="K132" s="3853">
        <v>371</v>
      </c>
      <c r="L132" s="3853">
        <v>3484</v>
      </c>
      <c r="M132" s="3852" t="s">
        <v>4994</v>
      </c>
    </row>
    <row r="133" spans="1:13" s="3854" customFormat="1" ht="15" hidden="1" customHeight="1">
      <c r="A133" s="3852">
        <v>131</v>
      </c>
      <c r="B133" s="3852" t="s">
        <v>5187</v>
      </c>
      <c r="C133" s="3852" t="s">
        <v>5178</v>
      </c>
      <c r="D133" s="3852" t="s">
        <v>5188</v>
      </c>
      <c r="E133" s="3852" t="s">
        <v>4856</v>
      </c>
      <c r="F133" s="3853">
        <v>16000</v>
      </c>
      <c r="G133" s="3852" t="s">
        <v>4857</v>
      </c>
      <c r="H133" s="3852">
        <v>2022</v>
      </c>
      <c r="I133" s="3852" t="s">
        <v>5189</v>
      </c>
      <c r="J133" s="3852" t="s">
        <v>5190</v>
      </c>
      <c r="K133" s="3853">
        <v>180</v>
      </c>
      <c r="L133" s="3853">
        <v>11250</v>
      </c>
      <c r="M133" s="3852" t="s">
        <v>4860</v>
      </c>
    </row>
    <row r="134" spans="1:13" s="3854" customFormat="1" ht="15" hidden="1" customHeight="1">
      <c r="A134" s="3852">
        <v>132</v>
      </c>
      <c r="B134" s="3852" t="s">
        <v>5191</v>
      </c>
      <c r="C134" s="3852" t="s">
        <v>5178</v>
      </c>
      <c r="D134" s="3852" t="s">
        <v>5192</v>
      </c>
      <c r="E134" s="3852" t="s">
        <v>4939</v>
      </c>
      <c r="F134" s="3853">
        <v>54435</v>
      </c>
      <c r="G134" s="3852" t="s">
        <v>4857</v>
      </c>
      <c r="H134" s="3852">
        <v>2022</v>
      </c>
      <c r="I134" s="3852" t="s">
        <v>5193</v>
      </c>
      <c r="J134" s="3852" t="s">
        <v>5194</v>
      </c>
      <c r="K134" s="3853">
        <v>403</v>
      </c>
      <c r="L134" s="3853">
        <v>7400</v>
      </c>
      <c r="M134" s="3852" t="s">
        <v>4860</v>
      </c>
    </row>
    <row r="135" spans="1:13" s="3854" customFormat="1" ht="15" hidden="1" customHeight="1">
      <c r="A135" s="3852">
        <v>133</v>
      </c>
      <c r="B135" s="3852" t="s">
        <v>5195</v>
      </c>
      <c r="C135" s="3852" t="s">
        <v>5178</v>
      </c>
      <c r="D135" s="3852" t="s">
        <v>5196</v>
      </c>
      <c r="E135" s="3852" t="s">
        <v>4939</v>
      </c>
      <c r="F135" s="3853">
        <v>11836</v>
      </c>
      <c r="G135" s="3852" t="s">
        <v>4857</v>
      </c>
      <c r="H135" s="3852">
        <v>2022</v>
      </c>
      <c r="I135" s="3852" t="s">
        <v>5197</v>
      </c>
      <c r="J135" s="3852" t="s">
        <v>5194</v>
      </c>
      <c r="K135" s="3853">
        <v>128</v>
      </c>
      <c r="L135" s="3853">
        <v>10800</v>
      </c>
      <c r="M135" s="3852" t="s">
        <v>4860</v>
      </c>
    </row>
    <row r="136" spans="1:13" s="3854" customFormat="1" ht="15" hidden="1" customHeight="1">
      <c r="A136" s="3852">
        <v>134</v>
      </c>
      <c r="B136" s="3852" t="s">
        <v>5198</v>
      </c>
      <c r="C136" s="3852" t="s">
        <v>5178</v>
      </c>
      <c r="D136" s="3852" t="s">
        <v>5192</v>
      </c>
      <c r="E136" s="3852" t="s">
        <v>4939</v>
      </c>
      <c r="F136" s="3853">
        <v>76000</v>
      </c>
      <c r="G136" s="3852" t="s">
        <v>4857</v>
      </c>
      <c r="H136" s="3852">
        <v>2022</v>
      </c>
      <c r="I136" s="3852" t="s">
        <v>5199</v>
      </c>
      <c r="J136" s="3852" t="s">
        <v>5194</v>
      </c>
      <c r="K136" s="3853">
        <v>566</v>
      </c>
      <c r="L136" s="3853">
        <v>7448</v>
      </c>
      <c r="M136" s="3852" t="s">
        <v>4860</v>
      </c>
    </row>
    <row r="137" spans="1:13" s="3854" customFormat="1" ht="15" hidden="1" customHeight="1">
      <c r="A137" s="3852">
        <v>135</v>
      </c>
      <c r="B137" s="3852" t="s">
        <v>5200</v>
      </c>
      <c r="C137" s="3852" t="s">
        <v>5178</v>
      </c>
      <c r="D137" s="3852" t="s">
        <v>5188</v>
      </c>
      <c r="E137" s="3852" t="s">
        <v>4939</v>
      </c>
      <c r="F137" s="3853">
        <v>47219</v>
      </c>
      <c r="G137" s="3852" t="s">
        <v>4857</v>
      </c>
      <c r="H137" s="3852">
        <v>2022</v>
      </c>
      <c r="I137" s="3852" t="s">
        <v>5201</v>
      </c>
      <c r="J137" s="3852" t="s">
        <v>5194</v>
      </c>
      <c r="K137" s="3853">
        <v>552</v>
      </c>
      <c r="L137" s="3853">
        <v>11700</v>
      </c>
      <c r="M137" s="3852" t="s">
        <v>4860</v>
      </c>
    </row>
    <row r="138" spans="1:13" s="3854" customFormat="1" ht="15" hidden="1" customHeight="1">
      <c r="A138" s="3852">
        <v>136</v>
      </c>
      <c r="B138" s="3852" t="s">
        <v>5202</v>
      </c>
      <c r="C138" s="3852" t="s">
        <v>5178</v>
      </c>
      <c r="D138" s="3852" t="s">
        <v>5179</v>
      </c>
      <c r="E138" s="3852" t="s">
        <v>4939</v>
      </c>
      <c r="F138" s="3853">
        <v>81000</v>
      </c>
      <c r="G138" s="3852" t="s">
        <v>4857</v>
      </c>
      <c r="H138" s="3852">
        <v>2022</v>
      </c>
      <c r="I138" s="3852" t="s">
        <v>5203</v>
      </c>
      <c r="J138" s="3852" t="s">
        <v>5194</v>
      </c>
      <c r="K138" s="3853">
        <v>810</v>
      </c>
      <c r="L138" s="3853">
        <v>10000</v>
      </c>
      <c r="M138" s="3852" t="s">
        <v>4860</v>
      </c>
    </row>
    <row r="139" spans="1:13" s="3854" customFormat="1" ht="15" hidden="1" customHeight="1">
      <c r="A139" s="3852">
        <v>137</v>
      </c>
      <c r="B139" s="3852" t="s">
        <v>5204</v>
      </c>
      <c r="C139" s="3852" t="s">
        <v>5178</v>
      </c>
      <c r="D139" s="3852" t="s">
        <v>5179</v>
      </c>
      <c r="E139" s="3852" t="s">
        <v>4939</v>
      </c>
      <c r="F139" s="3853">
        <v>6134</v>
      </c>
      <c r="G139" s="3852" t="s">
        <v>4857</v>
      </c>
      <c r="H139" s="3852">
        <v>2022</v>
      </c>
      <c r="I139" s="3852" t="s">
        <v>5205</v>
      </c>
      <c r="J139" s="3852" t="s">
        <v>5194</v>
      </c>
      <c r="K139" s="3853">
        <v>66</v>
      </c>
      <c r="L139" s="3853">
        <v>10760</v>
      </c>
      <c r="M139" s="3852" t="s">
        <v>4860</v>
      </c>
    </row>
    <row r="140" spans="1:13" s="3854" customFormat="1" ht="15" hidden="1" customHeight="1">
      <c r="A140" s="3852">
        <v>138</v>
      </c>
      <c r="B140" s="3852" t="s">
        <v>5206</v>
      </c>
      <c r="C140" s="3852" t="s">
        <v>5178</v>
      </c>
      <c r="D140" s="3852" t="s">
        <v>5179</v>
      </c>
      <c r="E140" s="3852" t="s">
        <v>4939</v>
      </c>
      <c r="F140" s="3853">
        <v>28398</v>
      </c>
      <c r="G140" s="3852" t="s">
        <v>4857</v>
      </c>
      <c r="H140" s="3852">
        <v>2022</v>
      </c>
      <c r="I140" s="3852" t="s">
        <v>4878</v>
      </c>
      <c r="J140" s="3852" t="s">
        <v>5194</v>
      </c>
      <c r="K140" s="3853">
        <v>284</v>
      </c>
      <c r="L140" s="3853">
        <v>10000</v>
      </c>
      <c r="M140" s="3852" t="s">
        <v>4860</v>
      </c>
    </row>
    <row r="141" spans="1:13" s="3854" customFormat="1" ht="15" hidden="1" customHeight="1">
      <c r="A141" s="3852">
        <v>139</v>
      </c>
      <c r="B141" s="3852" t="s">
        <v>5207</v>
      </c>
      <c r="C141" s="3852" t="s">
        <v>5178</v>
      </c>
      <c r="D141" s="3852" t="s">
        <v>5208</v>
      </c>
      <c r="E141" s="3852" t="s">
        <v>4939</v>
      </c>
      <c r="F141" s="3853">
        <v>7097</v>
      </c>
      <c r="G141" s="3852" t="s">
        <v>4857</v>
      </c>
      <c r="H141" s="3852">
        <v>2022</v>
      </c>
      <c r="I141" s="3852" t="s">
        <v>5209</v>
      </c>
      <c r="J141" s="3852" t="s">
        <v>5194</v>
      </c>
      <c r="K141" s="3853">
        <v>59</v>
      </c>
      <c r="L141" s="3853">
        <v>8280</v>
      </c>
      <c r="M141" s="3852" t="s">
        <v>4860</v>
      </c>
    </row>
    <row r="142" spans="1:13" s="3854" customFormat="1" ht="15" hidden="1" customHeight="1">
      <c r="A142" s="3852">
        <v>140</v>
      </c>
      <c r="B142" s="3852" t="s">
        <v>5210</v>
      </c>
      <c r="C142" s="3852" t="s">
        <v>5178</v>
      </c>
      <c r="D142" s="3852" t="s">
        <v>5208</v>
      </c>
      <c r="E142" s="3852" t="s">
        <v>4939</v>
      </c>
      <c r="F142" s="3853">
        <v>30000</v>
      </c>
      <c r="G142" s="3852" t="s">
        <v>4857</v>
      </c>
      <c r="H142" s="3852">
        <v>2022</v>
      </c>
      <c r="I142" s="3852" t="s">
        <v>4949</v>
      </c>
      <c r="J142" s="3852" t="s">
        <v>5194</v>
      </c>
      <c r="K142" s="3853">
        <v>238</v>
      </c>
      <c r="L142" s="3853">
        <v>7933</v>
      </c>
      <c r="M142" s="3852" t="s">
        <v>4860</v>
      </c>
    </row>
    <row r="143" spans="1:13" s="3854" customFormat="1" ht="15" hidden="1" customHeight="1">
      <c r="A143" s="3852">
        <v>141</v>
      </c>
      <c r="B143" s="3852" t="s">
        <v>5211</v>
      </c>
      <c r="C143" s="3852" t="s">
        <v>5178</v>
      </c>
      <c r="D143" s="3852" t="s">
        <v>5179</v>
      </c>
      <c r="E143" s="3852" t="s">
        <v>4939</v>
      </c>
      <c r="F143" s="3853">
        <v>85000</v>
      </c>
      <c r="G143" s="3852" t="s">
        <v>4857</v>
      </c>
      <c r="H143" s="3852">
        <v>2022</v>
      </c>
      <c r="I143" s="3852" t="s">
        <v>5212</v>
      </c>
      <c r="J143" s="3852" t="s">
        <v>5194</v>
      </c>
      <c r="K143" s="3853">
        <v>765</v>
      </c>
      <c r="L143" s="3853">
        <v>9000</v>
      </c>
      <c r="M143" s="3852" t="s">
        <v>4860</v>
      </c>
    </row>
    <row r="155" spans="2:2">
      <c r="B155" s="3863">
        <f>F77/47*5</f>
        <v>12659.574468085106</v>
      </c>
    </row>
    <row r="156" spans="2:2">
      <c r="B156" s="3851">
        <f>B155/F77</f>
        <v>0.10638297872340426</v>
      </c>
    </row>
    <row r="176" spans="11:11">
      <c r="K176" s="3864" t="s">
        <v>5213</v>
      </c>
    </row>
    <row r="177" spans="11:11">
      <c r="K177" s="3864">
        <v>12026</v>
      </c>
    </row>
    <row r="178" spans="11:11">
      <c r="K178" s="3864" t="s">
        <v>5214</v>
      </c>
    </row>
    <row r="179" spans="11:11">
      <c r="K179" s="3864">
        <v>51840.28</v>
      </c>
    </row>
    <row r="180" spans="11:11">
      <c r="K180" s="3864" t="s">
        <v>5215</v>
      </c>
    </row>
    <row r="181" spans="11:11">
      <c r="K181" s="3864">
        <v>43107</v>
      </c>
    </row>
    <row r="246" spans="13:13">
      <c r="M246" s="3864" t="s">
        <v>5213</v>
      </c>
    </row>
    <row r="247" spans="13:13">
      <c r="M247" s="3864">
        <v>32299</v>
      </c>
    </row>
    <row r="248" spans="13:13">
      <c r="M248" s="3864" t="s">
        <v>5214</v>
      </c>
    </row>
    <row r="249" spans="13:13">
      <c r="M249" s="3864">
        <v>158263.97</v>
      </c>
    </row>
    <row r="250" spans="13:13">
      <c r="M250" s="3864" t="s">
        <v>5215</v>
      </c>
    </row>
    <row r="251" spans="13:13">
      <c r="M251" s="3864">
        <v>49000</v>
      </c>
    </row>
    <row r="322" spans="12:12">
      <c r="L322" s="3864" t="s">
        <v>5213</v>
      </c>
    </row>
    <row r="323" spans="12:12">
      <c r="L323" s="3864">
        <v>6461</v>
      </c>
    </row>
    <row r="324" spans="12:12">
      <c r="L324" s="3864" t="s">
        <v>5214</v>
      </c>
    </row>
    <row r="325" spans="12:12">
      <c r="L325" s="3864">
        <v>32048.59</v>
      </c>
    </row>
    <row r="326" spans="12:12">
      <c r="L326" s="3864" t="s">
        <v>5215</v>
      </c>
    </row>
    <row r="327" spans="12:12">
      <c r="L327" s="3864">
        <v>49600</v>
      </c>
    </row>
  </sheetData>
  <autoFilter ref="A2:N143">
    <filterColumn colId="2">
      <filters>
        <filter val="北京"/>
      </filters>
    </filterColumn>
    <filterColumn colId="4">
      <filters>
        <filter val="办公"/>
        <filter val="酒店"/>
        <filter val="商务园区"/>
        <filter val="综合体"/>
      </filters>
    </filterColumn>
  </autoFilter>
  <phoneticPr fontId="137" type="noConversion"/>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4685</v>
      </c>
      <c r="D1" s="1362" t="s">
        <v>43</v>
      </c>
      <c r="E1" s="1363" t="s">
        <v>678</v>
      </c>
      <c r="F1" s="1062">
        <f ca="1">J53</f>
        <v>28.14</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190127</v>
      </c>
      <c r="C2" s="1387" t="s">
        <v>805</v>
      </c>
      <c r="D2" s="1387"/>
      <c r="E2" s="1388"/>
      <c r="F2" s="1389"/>
      <c r="G2" s="2701"/>
      <c r="H2" s="2690"/>
      <c r="I2" s="2690"/>
      <c r="J2" s="2690"/>
      <c r="K2" s="2691"/>
      <c r="L2" s="2690"/>
      <c r="M2" s="2690"/>
    </row>
    <row r="3" spans="1:37" ht="18" customHeight="1" thickBot="1">
      <c r="A3" s="1390" t="s">
        <v>806</v>
      </c>
      <c r="B3" s="1391">
        <f ca="1">IF(ISERROR(B2*10000/F43),0,ROUND(B2*10000/F43,0))</f>
        <v>42070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17322</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17300</v>
      </c>
      <c r="D6" s="155" t="s">
        <v>2109</v>
      </c>
      <c r="E6" s="302" t="s">
        <v>696</v>
      </c>
      <c r="F6" s="303">
        <f ca="1">INDIRECT("'数据-取费表'!u"&amp;$G$1)</f>
        <v>11.4</v>
      </c>
      <c r="G6" s="1384"/>
      <c r="H6" s="1069" t="s">
        <v>398</v>
      </c>
      <c r="I6" s="3695" t="s">
        <v>694</v>
      </c>
      <c r="J6" s="301">
        <f ca="1">ROUND(M6*M8*M7*(1-M9)/10000,0)</f>
        <v>0</v>
      </c>
      <c r="K6" s="155" t="s">
        <v>2108</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45192.95</v>
      </c>
      <c r="G7" s="1384"/>
      <c r="H7" s="304"/>
      <c r="I7" s="3696"/>
      <c r="J7" s="306"/>
      <c r="K7" s="307"/>
      <c r="L7" s="302" t="s">
        <v>697</v>
      </c>
      <c r="M7" s="303">
        <f ca="1">F7</f>
        <v>45192.95</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0.08</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2117</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34994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27116</v>
      </c>
      <c r="D14" s="1345" t="s">
        <v>708</v>
      </c>
      <c r="E14" s="1342"/>
      <c r="F14" s="319"/>
      <c r="G14" s="1384"/>
      <c r="H14" s="982" t="s">
        <v>398</v>
      </c>
      <c r="I14" s="302" t="s">
        <v>709</v>
      </c>
      <c r="J14" s="21">
        <f ca="1">C29</f>
        <v>42162</v>
      </c>
      <c r="K14" s="12"/>
      <c r="L14" s="807"/>
      <c r="M14" s="808"/>
    </row>
    <row r="15" spans="1:37" s="1397" customFormat="1" ht="18" customHeight="1" thickBot="1">
      <c r="A15" s="982" t="s">
        <v>399</v>
      </c>
      <c r="B15" s="302" t="s">
        <v>710</v>
      </c>
      <c r="C15" s="21">
        <f ca="1">ROUND(C14*F15,0)</f>
        <v>1627</v>
      </c>
      <c r="D15" s="320" t="s">
        <v>711</v>
      </c>
      <c r="E15" s="320" t="s">
        <v>712</v>
      </c>
      <c r="F15" s="321">
        <f>'数据-取费表'!B33</f>
        <v>0.06</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224</v>
      </c>
      <c r="K16" s="1087" t="s">
        <v>715</v>
      </c>
      <c r="L16" s="1088"/>
      <c r="M16" s="1072"/>
    </row>
    <row r="17" spans="1:37" s="1397" customFormat="1" ht="18" customHeight="1">
      <c r="A17" s="982" t="s">
        <v>681</v>
      </c>
      <c r="B17" s="302" t="s">
        <v>716</v>
      </c>
      <c r="C17" s="21">
        <f ca="1">ROUND(F17*(F43+INDIRECT("'数据-取费表'!S"&amp;$G$1))/10000,0)</f>
        <v>904</v>
      </c>
      <c r="D17" s="302" t="s">
        <v>717</v>
      </c>
      <c r="E17" s="302" t="s">
        <v>718</v>
      </c>
      <c r="F17" s="23">
        <f>'数据-取费表'!B35</f>
        <v>200</v>
      </c>
      <c r="G17" s="1396"/>
      <c r="H17" s="982" t="s">
        <v>398</v>
      </c>
      <c r="I17" s="302" t="s">
        <v>719</v>
      </c>
      <c r="J17" s="2316">
        <f ca="1">ROUND(IF(AND(项目基本情况!B11="自然人",项目基本情况!B10="北京市"),J6*M17/(1+'数据-取费表'!C42),J18+J19+J20),2)</f>
        <v>13.26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30189</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906</v>
      </c>
      <c r="D20" s="323" t="s">
        <v>729</v>
      </c>
      <c r="E20" s="302" t="s">
        <v>712</v>
      </c>
      <c r="F20" s="322">
        <f>'数据-取费表'!B37</f>
        <v>0.03</v>
      </c>
      <c r="G20" s="1396"/>
      <c r="H20" s="982" t="s">
        <v>680</v>
      </c>
      <c r="I20" s="155" t="s">
        <v>730</v>
      </c>
      <c r="J20" s="22">
        <f ca="1">ROUND(M20*M21/10000,2)</f>
        <v>13.26</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4420.58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210.81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-224</v>
      </c>
      <c r="K25" s="1095" t="s">
        <v>753</v>
      </c>
      <c r="L25" s="1096"/>
      <c r="M25" s="1097"/>
    </row>
    <row r="26" spans="1:37">
      <c r="A26" s="982" t="s">
        <v>397</v>
      </c>
      <c r="B26" s="302" t="s">
        <v>754</v>
      </c>
      <c r="C26" s="21">
        <f ca="1">ROUND((C19+C20)*F26,0)</f>
        <v>6219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42162</v>
      </c>
      <c r="D29" s="1092"/>
      <c r="E29" s="1090"/>
      <c r="F29" s="1093"/>
      <c r="G29" s="1396"/>
      <c r="H29" s="334" t="s">
        <v>396</v>
      </c>
      <c r="I29" s="335" t="s">
        <v>768</v>
      </c>
      <c r="J29" s="336">
        <f ca="1">ROUND(J26/(1+F40)^F41,0)</f>
        <v>0</v>
      </c>
      <c r="K29" s="337" t="s">
        <v>769</v>
      </c>
      <c r="L29" s="338"/>
      <c r="M29" s="339">
        <f ca="1">INDIRECT("'数据-取费表'!k"&amp;$G$1)</f>
        <v>45192.95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3332</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2913.07</v>
      </c>
      <c r="D31" s="1345" t="s">
        <v>720</v>
      </c>
      <c r="E31" s="1344"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f ca="1">IF(项目基本情况!B11="自然人","——",ROUND(C6*F32/(1+'数据-取费表'!C42),2))</f>
        <v>922.67</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1977.14</v>
      </c>
      <c r="D33" s="1370" t="s">
        <v>3333</v>
      </c>
      <c r="E33" s="302" t="s">
        <v>712</v>
      </c>
      <c r="F33" s="322">
        <f>IF(D33="按票据","——",IF(D33="按租金收入计税",'数据-取费表'!B51,'数据-取费表'!B50))</f>
        <v>0.12</v>
      </c>
      <c r="G33" s="1384"/>
      <c r="H33" s="2695">
        <f>ROUND(11.4*45192.95*365/10000,2)</f>
        <v>18804.79</v>
      </c>
      <c r="I33" s="1398"/>
      <c r="J33" s="1399"/>
      <c r="K33" s="2696"/>
      <c r="L33" s="2695"/>
      <c r="M33" s="2695"/>
    </row>
    <row r="34" spans="1:18" ht="18" customHeight="1">
      <c r="A34" s="1069" t="s">
        <v>680</v>
      </c>
      <c r="B34" s="155" t="s">
        <v>730</v>
      </c>
      <c r="C34" s="22">
        <f ca="1">IF(项目基本情况!B11="自然人","——",ROUND(F34*F35/10000,2))</f>
        <v>13.26</v>
      </c>
      <c r="D34" s="324" t="s">
        <v>731</v>
      </c>
      <c r="E34" s="302" t="s">
        <v>732</v>
      </c>
      <c r="F34" s="325">
        <f>'数据-取费表'!B52</f>
        <v>30</v>
      </c>
      <c r="G34" s="1384"/>
      <c r="H34" s="3868">
        <f ca="1">ROUND(H33*F9,2)</f>
        <v>1504.38</v>
      </c>
      <c r="I34" s="1398"/>
      <c r="J34" s="1399"/>
      <c r="K34" s="2697"/>
      <c r="L34" s="2698"/>
      <c r="M34" s="2698"/>
    </row>
    <row r="35" spans="1:18" ht="18" customHeight="1">
      <c r="A35" s="1103"/>
      <c r="B35" s="1101"/>
      <c r="C35" s="26"/>
      <c r="D35" s="327"/>
      <c r="E35" s="302" t="s">
        <v>736</v>
      </c>
      <c r="F35" s="303">
        <f ca="1">INDIRECT("'数据-取费表'!r"&amp;$G$1)</f>
        <v>4420.58</v>
      </c>
      <c r="G35" s="1384"/>
      <c r="H35" s="3868">
        <f ca="1">ROUND((H33-H34)/12*F11,2)</f>
        <v>21.63</v>
      </c>
      <c r="I35" s="1398"/>
      <c r="J35" s="1399"/>
      <c r="K35" s="2696"/>
      <c r="L35" s="2695"/>
      <c r="M35" s="2695"/>
    </row>
    <row r="36" spans="1:18" ht="18" customHeight="1">
      <c r="A36" s="1102" t="s">
        <v>402</v>
      </c>
      <c r="B36" s="302" t="s">
        <v>738</v>
      </c>
      <c r="C36" s="21">
        <f ca="1">ROUND(C29*F36,2)</f>
        <v>210.81</v>
      </c>
      <c r="D36" s="1344" t="s">
        <v>771</v>
      </c>
      <c r="E36" s="302" t="s">
        <v>712</v>
      </c>
      <c r="F36" s="328">
        <f ca="1">INDIRECT("'数据-取费表'!Ak"&amp;$G$1)</f>
        <v>5.0000000000000001E-3</v>
      </c>
      <c r="G36" s="1384"/>
      <c r="H36" s="2695">
        <f ca="1">H33-H34+H35</f>
        <v>17322.04</v>
      </c>
      <c r="I36" s="1398"/>
      <c r="J36" s="1399"/>
      <c r="K36" s="2539"/>
      <c r="L36" s="2695"/>
      <c r="M36" s="2695"/>
    </row>
    <row r="37" spans="1:18" ht="18" customHeight="1">
      <c r="A37" s="982" t="s">
        <v>437</v>
      </c>
      <c r="B37" s="302" t="s">
        <v>742</v>
      </c>
      <c r="C37" s="21">
        <f ca="1">ROUND(C13*F37,2)</f>
        <v>34.99</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173.22</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13990</v>
      </c>
      <c r="D39" s="1095" t="s">
        <v>773</v>
      </c>
      <c r="E39" s="1096"/>
      <c r="F39" s="1097"/>
      <c r="G39" s="1384"/>
      <c r="H39" s="2695">
        <f ca="1">C39/C5</f>
        <v>0.80764345918485159</v>
      </c>
      <c r="I39" s="1398"/>
      <c r="J39" s="1399"/>
      <c r="K39" s="2699"/>
      <c r="L39" s="2695"/>
      <c r="M39" s="2695"/>
    </row>
    <row r="40" spans="1:18" ht="18" customHeight="1">
      <c r="A40" s="299" t="s">
        <v>395</v>
      </c>
      <c r="B40" s="300" t="s">
        <v>774</v>
      </c>
      <c r="C40" s="301">
        <f ca="1">ROUND(C39*(1-((1+F42)/(1+F40))^F41)/(F40-F42),0)</f>
        <v>187923</v>
      </c>
      <c r="D40" s="324" t="s">
        <v>758</v>
      </c>
      <c r="E40" s="302" t="s">
        <v>759</v>
      </c>
      <c r="F40" s="312">
        <f ca="1">INDIRECT("'数据-取费表'!I"&amp;$G$1)</f>
        <v>0.06</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28.14</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41582</v>
      </c>
      <c r="D43" s="337" t="s">
        <v>777</v>
      </c>
      <c r="E43" s="338" t="s">
        <v>778</v>
      </c>
      <c r="F43" s="339">
        <f ca="1">INDIRECT("'数据-取费表'!k"&amp;$G$1)</f>
        <v>45192.95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-191402</v>
      </c>
      <c r="D46" s="1406" t="str">
        <f>C2</f>
        <v>万元</v>
      </c>
      <c r="E46" s="1400"/>
      <c r="F46" s="1400"/>
      <c r="I46" s="1407" t="s">
        <v>810</v>
      </c>
      <c r="J46" s="1408"/>
      <c r="K46" s="1409"/>
      <c r="L46" s="1410">
        <f ca="1">IF(M47="住宅",0,IF(L48&gt;J51,L60,J60))</f>
        <v>2204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f ca="1">INDIRECT("'数据-取费表'!d"&amp;$G$1)</f>
        <v>50</v>
      </c>
      <c r="M47" s="1380" t="str">
        <f>IF(ISNUMBER(FIND("住宅",C1)),"住宅","非住宅")</f>
        <v>非住宅</v>
      </c>
      <c r="O47" s="1418" t="s">
        <v>403</v>
      </c>
      <c r="P47" s="1419" t="s">
        <v>817</v>
      </c>
      <c r="Q47" s="1420">
        <f ca="1">C40+J29</f>
        <v>187923</v>
      </c>
      <c r="R47" s="1420" t="s">
        <v>818</v>
      </c>
    </row>
    <row r="48" spans="1:18" s="1384" customFormat="1" ht="28.5" thickBot="1">
      <c r="A48" s="1110" t="s">
        <v>438</v>
      </c>
      <c r="B48" s="300" t="s">
        <v>692</v>
      </c>
      <c r="C48" s="1359">
        <f ca="1">C49+C53+C55</f>
        <v>0</v>
      </c>
      <c r="D48" s="1112"/>
      <c r="E48" s="1113"/>
      <c r="F48" s="962"/>
      <c r="G48" s="722"/>
      <c r="H48" s="723"/>
      <c r="I48" s="1421" t="s">
        <v>819</v>
      </c>
      <c r="J48" s="1422" t="s">
        <v>3455</v>
      </c>
      <c r="K48" s="1423" t="s">
        <v>820</v>
      </c>
      <c r="L48" s="1424">
        <f ca="1">INDIRECT("'数据-取费表'!f"&amp;$G$1)</f>
        <v>28.14</v>
      </c>
      <c r="O48" s="1418" t="s">
        <v>404</v>
      </c>
      <c r="P48" s="1419" t="s">
        <v>821</v>
      </c>
      <c r="Q48" s="1420">
        <f ca="1">J60</f>
        <v>2204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42162</v>
      </c>
      <c r="R49" s="1420" t="s">
        <v>818</v>
      </c>
    </row>
    <row r="50" spans="1:18" s="1384" customFormat="1" ht="13.5" thickBot="1">
      <c r="A50" s="976"/>
      <c r="B50" s="979"/>
      <c r="C50" s="1118"/>
      <c r="D50" s="953"/>
      <c r="E50" s="1056" t="s">
        <v>697</v>
      </c>
      <c r="F50" s="1057">
        <f ca="1">F7</f>
        <v>45192.95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198023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28.14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28.14</v>
      </c>
      <c r="K53" s="3698" t="s">
        <v>837</v>
      </c>
      <c r="L53" s="3699"/>
      <c r="O53" s="1418" t="s">
        <v>409</v>
      </c>
      <c r="P53" s="1419" t="s">
        <v>838</v>
      </c>
      <c r="Q53" s="1420">
        <f ca="1">Q47+Q48</f>
        <v>190127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34994</v>
      </c>
      <c r="D56" s="1447"/>
      <c r="E56" s="1448"/>
      <c r="F56" s="1440"/>
      <c r="I56" s="1449" t="s">
        <v>842</v>
      </c>
      <c r="J56" s="1450" t="s">
        <v>3420</v>
      </c>
      <c r="K56" s="1421" t="s">
        <v>843</v>
      </c>
      <c r="L56" s="1424" t="str">
        <f ca="1">IF(L48&lt;J51,"——",L48-J53)</f>
        <v>——</v>
      </c>
      <c r="O56" s="1418" t="s">
        <v>403</v>
      </c>
      <c r="P56" s="1419" t="s">
        <v>817</v>
      </c>
      <c r="Q56" s="1420">
        <f ca="1">C40+J29</f>
        <v>187923</v>
      </c>
      <c r="R56" s="1420" t="s">
        <v>818</v>
      </c>
    </row>
    <row r="57" spans="1:18" s="1384" customFormat="1" ht="24.75" thickBot="1">
      <c r="A57" s="1451"/>
      <c r="B57" s="950" t="s">
        <v>767</v>
      </c>
      <c r="C57" s="238">
        <f ca="1">C29</f>
        <v>42162</v>
      </c>
      <c r="D57" s="1452"/>
      <c r="E57" s="1453"/>
      <c r="F57" s="1454"/>
      <c r="I57" s="1455" t="s">
        <v>844</v>
      </c>
      <c r="J57" s="1456">
        <f ca="1">IF(OR(M47="住宅",J51&lt;L48,J56="是"),"——",J51-L48)</f>
        <v>11.86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16865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13.26</v>
      </c>
      <c r="D62" s="965" t="s">
        <v>786</v>
      </c>
      <c r="E62" s="950" t="s">
        <v>787</v>
      </c>
      <c r="F62" s="325">
        <f t="shared" si="0"/>
        <v>30</v>
      </c>
      <c r="I62" s="1462" t="s">
        <v>858</v>
      </c>
      <c r="J62" s="1463" t="s">
        <v>859</v>
      </c>
      <c r="K62" s="1463" t="s">
        <v>860</v>
      </c>
      <c r="L62" s="1463" t="s">
        <v>861</v>
      </c>
      <c r="M62" s="1464" t="s">
        <v>862</v>
      </c>
      <c r="O62" s="1418" t="s">
        <v>409</v>
      </c>
      <c r="P62" s="1419" t="s">
        <v>863</v>
      </c>
      <c r="Q62" s="1420">
        <f ca="1">Q56+Q57</f>
        <v>187923</v>
      </c>
      <c r="R62" s="1420" t="s">
        <v>410</v>
      </c>
    </row>
    <row r="63" spans="1:18" s="1384" customFormat="1" ht="13.5" thickBot="1">
      <c r="A63" s="326"/>
      <c r="B63" s="956"/>
      <c r="C63" s="26"/>
      <c r="D63" s="966"/>
      <c r="E63" s="950" t="s">
        <v>788</v>
      </c>
      <c r="F63" s="303">
        <f t="shared" ca="1" si="0"/>
        <v>4420.58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210.81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34.99</v>
      </c>
      <c r="D65" s="964" t="s">
        <v>743</v>
      </c>
      <c r="E65" s="950" t="s">
        <v>744</v>
      </c>
      <c r="F65" s="330">
        <f t="shared" ca="1" si="0"/>
        <v>1E-3</v>
      </c>
      <c r="I65" s="1462" t="s">
        <v>867</v>
      </c>
      <c r="J65" s="1463">
        <v>40</v>
      </c>
      <c r="K65" s="1463">
        <v>30</v>
      </c>
      <c r="L65" s="1463">
        <v>50</v>
      </c>
      <c r="M65" s="1465">
        <v>0.02</v>
      </c>
      <c r="O65" s="1418" t="s">
        <v>403</v>
      </c>
      <c r="P65" s="1419" t="s">
        <v>868</v>
      </c>
      <c r="Q65" s="1420">
        <f ca="1">C40+J29</f>
        <v>187923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-259</v>
      </c>
      <c r="D67" s="963" t="s">
        <v>753</v>
      </c>
      <c r="E67" s="968"/>
      <c r="F67" s="969"/>
      <c r="O67" s="1428" t="s">
        <v>405</v>
      </c>
      <c r="P67" s="1419" t="s">
        <v>850</v>
      </c>
      <c r="Q67" s="1466">
        <f ca="1">L51</f>
        <v>198023</v>
      </c>
      <c r="R67" s="1420" t="s">
        <v>870</v>
      </c>
    </row>
    <row r="68" spans="1:18" s="1384" customFormat="1" ht="16.5" thickBot="1">
      <c r="A68" s="947" t="s">
        <v>395</v>
      </c>
      <c r="B68" s="948" t="s">
        <v>774</v>
      </c>
      <c r="C68" s="301">
        <f ca="1">ROUND(C67*(1-((1+F70)/(1+F68))^F69)/(F68-F70),0)</f>
        <v>-3479</v>
      </c>
      <c r="D68" s="965" t="s">
        <v>758</v>
      </c>
      <c r="E68" s="950" t="s">
        <v>759</v>
      </c>
      <c r="F68" s="312">
        <f ca="1">F40</f>
        <v>0.06</v>
      </c>
      <c r="O68" s="1428" t="s">
        <v>406</v>
      </c>
      <c r="P68" s="1467" t="s">
        <v>871</v>
      </c>
      <c r="Q68" s="1420">
        <f ca="1">ROUND(Q69-Q70*Q71,0)</f>
        <v>11540</v>
      </c>
      <c r="R68" s="1420" t="s">
        <v>414</v>
      </c>
    </row>
    <row r="69" spans="1:18" s="1384" customFormat="1" ht="13.5" thickBot="1">
      <c r="A69" s="951"/>
      <c r="B69" s="952"/>
      <c r="C69" s="306"/>
      <c r="D69" s="970" t="s">
        <v>762</v>
      </c>
      <c r="E69" s="950" t="s">
        <v>763</v>
      </c>
      <c r="F69" s="333">
        <f ca="1">F41</f>
        <v>28.14</v>
      </c>
      <c r="O69" s="1428" t="s">
        <v>411</v>
      </c>
      <c r="P69" s="1467" t="s">
        <v>872</v>
      </c>
      <c r="Q69" s="1420">
        <f ca="1">C39</f>
        <v>13990</v>
      </c>
      <c r="R69" s="1420" t="s">
        <v>818</v>
      </c>
    </row>
    <row r="70" spans="1:18" s="1384" customFormat="1" ht="13.5" thickBot="1">
      <c r="A70" s="954"/>
      <c r="B70" s="955"/>
      <c r="C70" s="310"/>
      <c r="D70" s="966"/>
      <c r="E70" s="950" t="s">
        <v>766</v>
      </c>
      <c r="F70" s="1054"/>
      <c r="O70" s="1428" t="s">
        <v>412</v>
      </c>
      <c r="P70" s="1467" t="s">
        <v>873</v>
      </c>
      <c r="Q70" s="1420">
        <f ca="1">C13</f>
        <v>34994</v>
      </c>
      <c r="R70" s="1420" t="s">
        <v>818</v>
      </c>
    </row>
    <row r="71" spans="1:18" s="1384" customFormat="1" ht="13.5" thickBot="1">
      <c r="A71" s="971" t="s">
        <v>396</v>
      </c>
      <c r="B71" s="972" t="s">
        <v>776</v>
      </c>
      <c r="C71" s="336">
        <f ca="1">ROUND(C68*10000/F71,0)</f>
        <v>-770</v>
      </c>
      <c r="D71" s="973" t="s">
        <v>777</v>
      </c>
      <c r="E71" s="974" t="s">
        <v>778</v>
      </c>
      <c r="F71" s="339">
        <f ca="1">F43</f>
        <v>45192.95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2450</v>
      </c>
      <c r="D75" s="1384"/>
      <c r="E75" s="1384"/>
      <c r="F75" s="1384"/>
      <c r="K75" s="1402"/>
      <c r="L75" s="1384"/>
      <c r="O75" s="1418" t="s">
        <v>409</v>
      </c>
      <c r="P75" s="1419" t="s">
        <v>838</v>
      </c>
      <c r="Q75" s="1420">
        <f ca="1">Q65+Q66</f>
        <v>187923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0.82499999999999996</v>
      </c>
    </row>
    <row r="80" spans="1:18">
      <c r="B80" s="340" t="s">
        <v>800</v>
      </c>
      <c r="C80" s="274">
        <f ca="1">ROUND(C75/C39,3)</f>
        <v>0.17499999999999999</v>
      </c>
    </row>
    <row r="81" spans="2:3">
      <c r="B81" s="270" t="s">
        <v>801</v>
      </c>
      <c r="C81" s="238"/>
    </row>
    <row r="82" spans="2:3">
      <c r="B82" s="273" t="s">
        <v>802</v>
      </c>
      <c r="C82" s="275">
        <f ca="1">1-C83</f>
        <v>0.81400000000000006</v>
      </c>
    </row>
    <row r="83" spans="2:3">
      <c r="B83" s="273" t="s">
        <v>803</v>
      </c>
      <c r="C83" s="274">
        <f ca="1">ROUND(C13/C40,3)</f>
        <v>0.186</v>
      </c>
    </row>
  </sheetData>
  <sheetProtection password="CEE9" sheet="1" objects="1" scenarios="1" formatCells="0" formatColumns="0" formatRows="0"/>
  <mergeCells count="3">
    <mergeCell ref="K53:L53"/>
    <mergeCell ref="B6:B9"/>
    <mergeCell ref="I6:I9"/>
  </mergeCells>
  <phoneticPr fontId="6"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中国建设银行股份有限公司北京西单支行：</v>
      </c>
    </row>
    <row r="4" spans="1:1" ht="36">
      <c r="A4" s="1480" t="str">
        <f>"受贵公司委托，我公司对"&amp;项目基本情况!S1&amp;"进行了预评估。"</f>
        <v>受贵公司委托，我公司对北京市西城区堂子胡同9号-4层9-1等[20]套全部商业、配套、车库房地产抵押价值进行了预评估。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堂子胡同9号-4层9-1等[20]套全部商业、配套、车库房地产，为中鸿新一代（北京）企业管理有限公司所有。根据《国有土地使用证》[]，估价对象（分摊）出让国有建设用地使用权面积为4420.58平方米，建筑面积为45192.95平方米。</v>
      </c>
    </row>
    <row r="8" spans="1:1" ht="57.75">
      <c r="A8" s="1483" t="s">
        <v>901</v>
      </c>
    </row>
    <row r="9" spans="1:1" ht="18.75">
      <c r="A9" s="1482" t="s">
        <v>902</v>
      </c>
    </row>
    <row r="10" spans="1:1" ht="90">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4420.58平方米，规划建筑面积为45192.95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7" sqref="L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197733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43753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113433</v>
      </c>
      <c r="D5" s="211" t="s">
        <v>1469</v>
      </c>
      <c r="E5" s="212" t="s">
        <v>1470</v>
      </c>
      <c r="F5" s="212" t="s">
        <v>1471</v>
      </c>
      <c r="G5" s="213"/>
    </row>
    <row r="6" spans="1:9" s="214" customFormat="1" ht="13.5" customHeight="1">
      <c r="A6" s="778" t="s">
        <v>1472</v>
      </c>
      <c r="B6" s="215" t="s">
        <v>1473</v>
      </c>
      <c r="C6" s="216">
        <f>基准地价修正!B2</f>
        <v>109198</v>
      </c>
      <c r="D6" s="217"/>
      <c r="E6" s="218"/>
      <c r="F6" s="218"/>
      <c r="G6" s="219"/>
    </row>
    <row r="7" spans="1:9" s="214" customFormat="1" ht="13.5" customHeight="1">
      <c r="A7" s="778" t="s">
        <v>1474</v>
      </c>
      <c r="B7" s="215" t="s">
        <v>1475</v>
      </c>
      <c r="C7" s="220">
        <f>ROUND(C6*F7,0)</f>
        <v>3331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904</v>
      </c>
      <c r="D8" s="222"/>
      <c r="E8" s="220"/>
      <c r="F8" s="221"/>
      <c r="G8" s="1856" t="s">
        <v>3467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904</v>
      </c>
      <c r="D10" s="845">
        <f ca="1">IF(B1="",'数据-汇总表'!E6,IF(INDIRECT("'数据-取费表'!c"&amp;$G$1)="住宅",INDIRECT("'数据-取费表'!s"&amp;$G$1),INDIRECT("'数据-取费表'!k"&amp;$G$1)+INDIRECT("'数据-取费表'!s"&amp;$G$1)))</f>
        <v>45192.95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45192.95</v>
      </c>
      <c r="E19" s="211">
        <f>'数据-取费表'!B31</f>
        <v>200</v>
      </c>
      <c r="F19" s="231"/>
      <c r="G19" s="1856" t="s">
        <v>3468</v>
      </c>
    </row>
    <row r="20" spans="1:7" s="214" customFormat="1" ht="13.5" customHeight="1">
      <c r="A20" s="255" t="s">
        <v>1493</v>
      </c>
      <c r="B20" s="210" t="s">
        <v>1494</v>
      </c>
      <c r="C20" s="232">
        <f ca="1">ROUND((C5+C19)*F20,0)</f>
        <v>3403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7841</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7727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114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23367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23367</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162739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30189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27116</v>
      </c>
      <c r="D34" s="217"/>
      <c r="E34" s="220"/>
      <c r="F34" s="257">
        <f ca="1">IF('数据-取费表'!B24=0,1,IF(B1="",'数据-取费表'!N16,INDIRECT("'数据-取费表'!n"&amp;$G$1)))</f>
        <v>1</v>
      </c>
      <c r="G34" s="219" t="s">
        <v>1526</v>
      </c>
    </row>
    <row r="35" spans="1:7" ht="13.5" customHeight="1">
      <c r="A35" s="780" t="s">
        <v>351</v>
      </c>
      <c r="B35" s="215" t="s">
        <v>1527</v>
      </c>
      <c r="C35" s="220">
        <f ca="1">ROUND(C34*F35,0)</f>
        <v>1627</v>
      </c>
      <c r="D35" s="220"/>
      <c r="E35" s="220"/>
      <c r="F35" s="259">
        <f>'数据-取费表'!B33</f>
        <v>0.06</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904</v>
      </c>
      <c r="D37" s="217">
        <f ca="1">D19</f>
        <v>45192.95</v>
      </c>
      <c r="E37" s="249">
        <f>'数据-取费表'!B35</f>
        <v>200</v>
      </c>
      <c r="F37" s="259"/>
      <c r="G37" s="261" t="s">
        <v>1532</v>
      </c>
    </row>
    <row r="38" spans="1:7" ht="13.5" customHeight="1">
      <c r="A38" s="780" t="s">
        <v>354</v>
      </c>
      <c r="B38" s="215" t="s">
        <v>1533</v>
      </c>
      <c r="C38" s="220">
        <f ca="1">ROUND(C34*F38,0)</f>
        <v>542</v>
      </c>
      <c r="D38" s="220"/>
      <c r="E38" s="220"/>
      <c r="F38" s="259">
        <f>'数据-取费表'!B36</f>
        <v>0.02</v>
      </c>
      <c r="G38" s="219" t="s">
        <v>1528</v>
      </c>
    </row>
    <row r="39" spans="1:7" s="214" customFormat="1" ht="13.5" customHeight="1">
      <c r="A39" s="255" t="s">
        <v>1534</v>
      </c>
      <c r="B39" s="210" t="s">
        <v>1535</v>
      </c>
      <c r="C39" s="232">
        <f ca="1">ROUND(C33*F20,0)</f>
        <v>906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1041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1011</v>
      </c>
      <c r="D42" s="238"/>
      <c r="E42" s="238"/>
      <c r="F42" s="239"/>
      <c r="G42" s="3692" t="s">
        <v>1544</v>
      </c>
    </row>
    <row r="43" spans="1:7" ht="13.5" customHeight="1">
      <c r="A43" s="780" t="s">
        <v>347</v>
      </c>
      <c r="B43" s="215" t="s">
        <v>1545</v>
      </c>
      <c r="C43" s="238">
        <f ca="1">ROUND(IF('数据-取费表'!B22&lt;=1,C39*F22*'数据-取费表'!B21/2,C39*(POWER((1+F22),'数据-取费表'!B21/2)-1)),0)</f>
        <v>30</v>
      </c>
      <c r="D43" s="238"/>
      <c r="E43" s="238"/>
      <c r="F43" s="239"/>
      <c r="G43" s="3693"/>
    </row>
    <row r="44" spans="1:7" ht="13.5" customHeight="1">
      <c r="A44" s="780" t="s">
        <v>348</v>
      </c>
      <c r="B44" s="215" t="s">
        <v>1546</v>
      </c>
      <c r="C44" s="238">
        <f ca="1">ROUND(IF('数据-取费表'!B22&lt;=1,C40*F22*'数据-取费表'!B21/2,C40*(POWER((1+F22),'数据-取费表'!B21/2)-1)),4)</f>
        <v>1E-3</v>
      </c>
      <c r="D44" s="238"/>
      <c r="E44" s="238"/>
      <c r="F44" s="239"/>
      <c r="G44" s="3694"/>
    </row>
    <row r="45" spans="1:7" s="214" customFormat="1" ht="13.5" customHeight="1">
      <c r="A45" s="255" t="s">
        <v>1547</v>
      </c>
      <c r="B45" s="244" t="s">
        <v>1513</v>
      </c>
      <c r="C45" s="245">
        <f ca="1">C46</f>
        <v>6219</v>
      </c>
      <c r="D45" s="235">
        <f ca="1">C47</f>
        <v>6.0000000000000001E-3</v>
      </c>
      <c r="E45" s="236" t="s">
        <v>1539</v>
      </c>
      <c r="F45" s="246">
        <f ca="1">F27</f>
        <v>0.2</v>
      </c>
      <c r="G45" s="247" t="s">
        <v>1548</v>
      </c>
    </row>
    <row r="46" spans="1:7" s="214" customFormat="1" ht="13.5" customHeight="1">
      <c r="A46" s="780" t="s">
        <v>346</v>
      </c>
      <c r="B46" s="248" t="s">
        <v>1549</v>
      </c>
      <c r="C46" s="249">
        <f ca="1">ROUND((C33+C39)*F27,0)</f>
        <v>6219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42162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34994</v>
      </c>
      <c r="D51" s="232"/>
      <c r="E51" s="232"/>
      <c r="F51" s="264"/>
      <c r="G51" s="234" t="s">
        <v>1560</v>
      </c>
    </row>
    <row r="52" spans="1:7" s="208" customFormat="1" ht="16.5" thickBot="1">
      <c r="A52" s="265" t="s">
        <v>1561</v>
      </c>
      <c r="B52" s="266"/>
      <c r="C52" s="267">
        <f ca="1">C31+C51</f>
        <v>197733</v>
      </c>
      <c r="D52" s="266"/>
      <c r="E52" s="266"/>
      <c r="F52" s="266"/>
      <c r="G52" s="268"/>
    </row>
    <row r="55" spans="1:7" ht="15">
      <c r="B55" s="270" t="s">
        <v>1562</v>
      </c>
      <c r="C55" s="271"/>
    </row>
    <row r="56" spans="1:7">
      <c r="B56" s="273" t="s">
        <v>802</v>
      </c>
      <c r="C56" s="275">
        <f ca="1">1-C57</f>
        <v>0.82299999999999995</v>
      </c>
    </row>
    <row r="57" spans="1:7">
      <c r="B57" s="273" t="s">
        <v>803</v>
      </c>
      <c r="C57" s="274">
        <f ca="1">ROUND(C51/C52,3)</f>
        <v>0.17699999999999999</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29" sqref="G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45192.95</v>
      </c>
      <c r="E1" s="1995"/>
      <c r="F1" s="1995"/>
      <c r="G1" s="1995"/>
      <c r="H1" s="1995"/>
      <c r="I1" s="1995"/>
      <c r="J1" s="1995"/>
      <c r="K1" s="1119"/>
      <c r="L1" s="1996" t="s">
        <v>1928</v>
      </c>
      <c r="M1" s="863">
        <f>SUMPRODUCT((区片价!B5:B9=I2)*(区片价!C3:G3=E2)*(区片价!C5:G9))</f>
        <v>34470</v>
      </c>
      <c r="N1" s="866">
        <f>SUMPRODUCT((因素修正幅度!B5:B9=I2)*(因素修正幅度!C3:G3=E2)*(因素修正幅度!C5:G9))</f>
        <v>8.6999999999999994E-2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109198</v>
      </c>
      <c r="C2" s="1999" t="s">
        <v>1935</v>
      </c>
      <c r="D2" s="2000" t="s">
        <v>1936</v>
      </c>
      <c r="E2" s="3416"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1.5206</v>
      </c>
      <c r="T2" s="3355">
        <f t="shared" ref="T2:T16" si="0">ROUND($C$5*$C$22*$C$23*$C$24*S2*$C$28,0)</f>
        <v>49151</v>
      </c>
      <c r="U2" s="1213">
        <f>清单!D13</f>
        <v>3409.91</v>
      </c>
      <c r="V2" s="3355">
        <f>ROUND(T2*U2/10000,0)</f>
        <v>16760</v>
      </c>
      <c r="W2" s="1216"/>
      <c r="X2" s="1216"/>
      <c r="Y2" s="1216"/>
      <c r="Z2" s="1216"/>
      <c r="AA2" s="1216"/>
      <c r="AB2" s="1216"/>
      <c r="AC2" s="1217"/>
      <c r="AD2" s="1218"/>
      <c r="AE2" s="1218"/>
      <c r="AF2" s="1218"/>
      <c r="AG2" s="1218"/>
      <c r="AH2" s="1218"/>
      <c r="AI2" s="1218"/>
      <c r="AJ2" s="1219"/>
    </row>
    <row r="3" spans="1:36" ht="15.75">
      <c r="A3" s="203" t="s">
        <v>1940</v>
      </c>
      <c r="B3" s="204">
        <f>ROUND(B2*10000/D1,0)</f>
        <v>24163</v>
      </c>
      <c r="C3" s="1999" t="s">
        <v>1941</v>
      </c>
      <c r="D3" s="2000" t="s">
        <v>1942</v>
      </c>
      <c r="E3" s="3414" t="s">
        <v>4689</v>
      </c>
      <c r="F3" s="2004" t="s">
        <v>4690</v>
      </c>
      <c r="G3" s="752">
        <f>IF(F3="宗地容积率",'数据-汇总表'!I4,IF(F3="估价对象容积率",'数据-汇总表'!I6,'数据-汇总表'!I7))</f>
        <v>7.79</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1.2072000000000001</v>
      </c>
      <c r="T3" s="3355">
        <f t="shared" si="0"/>
        <v>39021</v>
      </c>
      <c r="U3" s="1213">
        <f>清单!D14</f>
        <v>3137.05</v>
      </c>
      <c r="V3" s="3355">
        <f t="shared" ref="V3:V16" si="1">ROUND(T3*U3/10000,0)</f>
        <v>12241</v>
      </c>
      <c r="W3" s="1216"/>
      <c r="X3" s="1216"/>
      <c r="Y3" s="1216"/>
      <c r="Z3" s="1216"/>
      <c r="AA3" s="1216"/>
      <c r="AB3" s="1216"/>
      <c r="AC3" s="1217"/>
      <c r="AD3" s="1218"/>
      <c r="AE3" s="1218"/>
      <c r="AF3" s="1218"/>
      <c r="AG3" s="1218"/>
      <c r="AH3" s="1218"/>
      <c r="AI3" s="1218"/>
      <c r="AJ3" s="1219"/>
    </row>
    <row r="4" spans="1:36" ht="15.75">
      <c r="A4" s="3790"/>
      <c r="B4" s="3791"/>
      <c r="C4" s="3791"/>
      <c r="D4" s="3792"/>
      <c r="E4" s="3792"/>
      <c r="F4" s="3792"/>
      <c r="G4" s="3792"/>
      <c r="H4" s="3792"/>
      <c r="I4" s="3792"/>
      <c r="J4" s="37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1.0430999999999999</v>
      </c>
      <c r="T4" s="3355">
        <f t="shared" si="0"/>
        <v>33717</v>
      </c>
      <c r="U4" s="1213">
        <f>清单!D15</f>
        <v>3476.52</v>
      </c>
      <c r="V4" s="3355">
        <f t="shared" si="1"/>
        <v>11722</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36177</v>
      </c>
      <c r="D5" s="1339">
        <f>ROUND(C6*C17+C20,0)</f>
        <v>34453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0.94389999999999996</v>
      </c>
      <c r="T5" s="3355">
        <f t="shared" si="0"/>
        <v>30510</v>
      </c>
      <c r="U5" s="1213">
        <f>清单!D16</f>
        <v>3409.92</v>
      </c>
      <c r="V5" s="3355">
        <f t="shared" si="1"/>
        <v>10404</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0.89959999999999996</v>
      </c>
      <c r="T6" s="3355">
        <f t="shared" si="0"/>
        <v>29078</v>
      </c>
      <c r="U6" s="1213">
        <f>清单!D17</f>
        <v>3499.73</v>
      </c>
      <c r="V6" s="3355">
        <f t="shared" si="1"/>
        <v>10177</v>
      </c>
      <c r="W6" s="1216"/>
      <c r="X6" s="1216"/>
      <c r="Y6" s="1216"/>
      <c r="Z6" s="1216"/>
      <c r="AA6" s="1216"/>
      <c r="AB6" s="1216"/>
      <c r="AC6" s="2011"/>
      <c r="AD6" s="2012"/>
      <c r="AE6" s="2012"/>
      <c r="AF6" s="2012"/>
      <c r="AG6" s="2012"/>
      <c r="AH6" s="2012"/>
      <c r="AI6" s="2012"/>
      <c r="AJ6" s="2013"/>
    </row>
    <row r="7" spans="1:36" ht="24.75" thickBot="1">
      <c r="A7" s="3298" t="s">
        <v>3235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f>Y10</f>
        <v>0.89219999999999999</v>
      </c>
      <c r="T7" s="3355">
        <f t="shared" si="0"/>
        <v>28839</v>
      </c>
      <c r="U7" s="1213">
        <f>清单!D18</f>
        <v>3509.76</v>
      </c>
      <c r="V7" s="3355">
        <f t="shared" si="1"/>
        <v>10122</v>
      </c>
      <c r="W7" s="1358" t="s">
        <v>1955</v>
      </c>
      <c r="X7" s="1214" t="str">
        <f>G2</f>
        <v>一级</v>
      </c>
      <c r="Y7" s="1214" t="s">
        <v>1956</v>
      </c>
      <c r="Z7" s="1215">
        <f>G3</f>
        <v>7.79</v>
      </c>
      <c r="AA7" s="1216"/>
      <c r="AB7" s="1216"/>
      <c r="AC7" s="1217"/>
      <c r="AD7" s="1218"/>
      <c r="AE7" s="1218"/>
      <c r="AF7" s="1218"/>
      <c r="AG7" s="1218"/>
      <c r="AH7" s="1218"/>
      <c r="AI7" s="1218"/>
      <c r="AJ7" s="1219"/>
    </row>
    <row r="8" spans="1:36" ht="15">
      <c r="A8" s="3293"/>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f>S7</f>
        <v>0.89219999999999999</v>
      </c>
      <c r="T8" s="3355">
        <f t="shared" si="0"/>
        <v>28839</v>
      </c>
      <c r="U8" s="1213">
        <f>清单!D19</f>
        <v>3558.12</v>
      </c>
      <c r="V8" s="3355">
        <f t="shared" si="1"/>
        <v>10261</v>
      </c>
      <c r="W8" s="3787" t="s">
        <v>1960</v>
      </c>
      <c r="X8" s="37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f t="shared" ref="S9:S11" si="2">S8</f>
        <v>0.89219999999999999</v>
      </c>
      <c r="T9" s="3355">
        <f t="shared" si="0"/>
        <v>28839</v>
      </c>
      <c r="U9" s="1213">
        <f>清单!D20</f>
        <v>3558.12</v>
      </c>
      <c r="V9" s="3355">
        <f t="shared" si="1"/>
        <v>10261</v>
      </c>
      <c r="W9" s="3789"/>
      <c r="X9" s="3356" t="s">
        <v>3266</v>
      </c>
      <c r="Y9" s="3357">
        <v>6</v>
      </c>
      <c r="Z9" s="3358">
        <f>$Y$9</f>
        <v>6</v>
      </c>
      <c r="AA9" s="3358">
        <f t="shared" ref="AA9:AJ9" si="3">$Y$9</f>
        <v>6</v>
      </c>
      <c r="AB9" s="3358">
        <f t="shared" si="3"/>
        <v>6</v>
      </c>
      <c r="AC9" s="3358">
        <f t="shared" si="3"/>
        <v>6</v>
      </c>
      <c r="AD9" s="3358">
        <f t="shared" si="3"/>
        <v>6</v>
      </c>
      <c r="AE9" s="3358">
        <f t="shared" si="3"/>
        <v>6</v>
      </c>
      <c r="AF9" s="3358">
        <f t="shared" si="3"/>
        <v>6</v>
      </c>
      <c r="AG9" s="3358">
        <f t="shared" si="3"/>
        <v>6</v>
      </c>
      <c r="AH9" s="3358">
        <f t="shared" si="3"/>
        <v>6</v>
      </c>
      <c r="AI9" s="3358">
        <f t="shared" si="3"/>
        <v>6</v>
      </c>
      <c r="AJ9" s="3358">
        <f t="shared" si="3"/>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f t="shared" si="2"/>
        <v>0.89219999999999999</v>
      </c>
      <c r="T10" s="3355">
        <f t="shared" si="0"/>
        <v>28839</v>
      </c>
      <c r="U10" s="1213">
        <f>清单!D21</f>
        <v>3308.5</v>
      </c>
      <c r="V10" s="3355">
        <f t="shared" si="1"/>
        <v>9541</v>
      </c>
      <c r="W10" s="378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f t="shared" si="2"/>
        <v>0.89219999999999999</v>
      </c>
      <c r="T11" s="3355">
        <f t="shared" si="0"/>
        <v>28839</v>
      </c>
      <c r="U11" s="1213">
        <f>清单!D22</f>
        <v>3558.12</v>
      </c>
      <c r="V11" s="3355">
        <f t="shared" si="1"/>
        <v>10261</v>
      </c>
      <c r="W11" s="1216"/>
      <c r="X11" s="1216"/>
      <c r="Y11" s="1216"/>
      <c r="Z11" s="1216"/>
      <c r="AA11" s="1216"/>
      <c r="AB11" s="1216"/>
      <c r="AC11" s="1217"/>
      <c r="AD11" s="2783"/>
      <c r="AE11" s="2783"/>
      <c r="AF11" s="2783"/>
      <c r="AG11" s="2783"/>
      <c r="AH11" s="2783"/>
      <c r="AI11" s="2783"/>
      <c r="AJ11" s="2784"/>
    </row>
    <row r="12" spans="1:36" ht="25.5" thickBot="1">
      <c r="A12" s="3298" t="s">
        <v>3236</v>
      </c>
      <c r="B12" s="3299" t="s">
        <v>3237</v>
      </c>
      <c r="C12" s="3300">
        <v>1.05</v>
      </c>
      <c r="D12" s="3301" t="s">
        <v>3238</v>
      </c>
      <c r="E12" s="3302" t="s">
        <v>3239</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3240</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3241</v>
      </c>
      <c r="G14" s="3306" t="s">
        <v>3241</v>
      </c>
      <c r="H14" s="3306" t="s">
        <v>3241</v>
      </c>
      <c r="I14" s="3306" t="s">
        <v>3241</v>
      </c>
      <c r="J14" s="3306" t="s">
        <v>3241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0.93120000000000003</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94" t="s">
        <v>3252</v>
      </c>
      <c r="B20" s="167" t="s">
        <v>1994</v>
      </c>
      <c r="C20" s="3319">
        <f>ROUND(IF(F21="与级别开发程度一致",0,(G21-E21)/C21),0)</f>
        <v>-17</v>
      </c>
      <c r="D20" s="3335" t="s">
        <v>1998</v>
      </c>
      <c r="E20" s="3336"/>
      <c r="F20" s="3800" t="s">
        <v>1995</v>
      </c>
      <c r="G20" s="3801"/>
      <c r="H20" s="3320" t="s">
        <v>3422</v>
      </c>
      <c r="I20" s="3320" t="s">
        <v>3423</v>
      </c>
      <c r="J20" s="3321" t="s">
        <v>3424</v>
      </c>
      <c r="K20" s="2047" t="s">
        <v>3425</v>
      </c>
      <c r="L20" s="2047" t="s">
        <v>3426</v>
      </c>
      <c r="M20" s="2047" t="s">
        <v>3427</v>
      </c>
      <c r="N20" s="2047" t="s">
        <v>3428</v>
      </c>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95"/>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3458</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1</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45531</v>
      </c>
      <c r="H23" s="3337" t="s">
        <v>3254</v>
      </c>
      <c r="I23" s="3338" t="str">
        <f>IF(H23="季度增幅（自定义）",SUMIF(N25:N28,E2,O25:O28),"")</f>
        <v/>
      </c>
      <c r="J23" s="3440" t="s">
        <v>3253</v>
      </c>
      <c r="K23" s="1125"/>
      <c r="L23" s="2055" t="s">
        <v>2004</v>
      </c>
      <c r="M23" s="1328">
        <f>ROUND(SUMIF(地价!B2:G2,E2,地价!B16:G16),0)</f>
        <v>350</v>
      </c>
      <c r="N23" s="2056" t="s">
        <v>2005</v>
      </c>
      <c r="O23" s="763">
        <f>ROUNDDOWN(DATEDIF(E23,G23,"M")/3,0)</f>
        <v>14</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0.83579999999999999</v>
      </c>
      <c r="D24" s="2060" t="s">
        <v>2007</v>
      </c>
      <c r="E24" s="1335">
        <f>存贷款利率!E26/100</f>
        <v>4.3499999999999997E-2</v>
      </c>
      <c r="F24" s="2060" t="s">
        <v>1999</v>
      </c>
      <c r="G24" s="768">
        <f>SUMIF(M30:Q30,E2,M33:Q33)</f>
        <v>5.5E-2</v>
      </c>
      <c r="H24" s="2060" t="s">
        <v>2008</v>
      </c>
      <c r="I24" s="769">
        <f>SUMIF('数据-取费表'!C6:C15,E2,'数据-取费表'!F6:F15)/COUNTIF('数据-取费表'!C6:C15,E2)</f>
        <v>28.14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4691</v>
      </c>
      <c r="C25" s="771">
        <f>IF(B25="容积率修正",IF(G3&lt;10,D26,J26),C27)</f>
        <v>0.91059999999999997</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3255</v>
      </c>
      <c r="D26" s="1352">
        <f>IF(E26=G26,F26,IF(G3&lt;10,ROUND(F26+(H26-F26)*(G3-E26)/(G26-E26),4),"——"))</f>
        <v>0.91059999999999997</v>
      </c>
      <c r="E26" s="752">
        <f>ROUNDDOWN(G3,1)</f>
        <v>7.7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0.91190000000000004</v>
      </c>
      <c r="G26" s="752">
        <f>ROUNDUP(G3,1)</f>
        <v>7.8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0.91039999999999999</v>
      </c>
      <c r="I26" s="3339" t="s">
        <v>3256</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1.0576000000000001</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109198</v>
      </c>
      <c r="D30" s="2083"/>
      <c r="E30" s="2046"/>
      <c r="F30" s="2084"/>
      <c r="G30" s="2046"/>
      <c r="H30" s="2046"/>
      <c r="I30" s="2046"/>
      <c r="J30" s="2085"/>
      <c r="K30" s="1119"/>
      <c r="L30" s="3345" t="s">
        <v>1936</v>
      </c>
      <c r="M30" s="3346" t="s">
        <v>1990</v>
      </c>
      <c r="N30" s="3346" t="s">
        <v>1991</v>
      </c>
      <c r="O30" s="3346" t="s">
        <v>1992</v>
      </c>
      <c r="P30" s="3346" t="s">
        <v>1993</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1966</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29434</v>
      </c>
      <c r="D33" s="2098">
        <f>'数据-汇总表'!F27</f>
        <v>34425.75</v>
      </c>
      <c r="E33" s="773">
        <f>ROUND(C33*D33/10000,0)</f>
        <v>101329</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7359</v>
      </c>
      <c r="D34" s="2103"/>
      <c r="E34" s="773">
        <f>ROUND(IF(B25="楼层修正",SUM(V2:V16)*M40,C34*D34/10000),0)</f>
        <v>0</v>
      </c>
      <c r="F34" s="2104" t="s">
        <v>2032</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3263</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8"/>
      <c r="B37" s="2113" t="s">
        <v>2036</v>
      </c>
      <c r="C37" s="175">
        <f>ROUND(D5*C22*C23*C24*C28*F37,0)</f>
        <v>21548</v>
      </c>
      <c r="D37" s="2098"/>
      <c r="E37" s="171">
        <f>ROUND(C37*D37/10000,0)</f>
        <v>0</v>
      </c>
      <c r="F37" s="171">
        <f>SUMIF(修正!A57:A68,G2,修正!B57:B68)</f>
        <v>0.7</v>
      </c>
      <c r="G37" s="171">
        <f>ROUND(IF(E2="工业",C37*$M$42,C37*$M$41),0)</f>
        <v>5387</v>
      </c>
      <c r="H37" s="171">
        <f>D37</f>
        <v>0</v>
      </c>
      <c r="I37" s="171">
        <f>ROUND(G37*H37/10000,0)</f>
        <v>0</v>
      </c>
      <c r="J37" s="3006"/>
      <c r="K37" s="3353" t="s">
        <v>3264</v>
      </c>
      <c r="L37" s="3351">
        <f ca="1">L36+K38</f>
        <v>3.85E-2</v>
      </c>
      <c r="M37" s="3352">
        <f ca="1">ROUND($L$37*(1+M31),3)</f>
        <v>4.8000000000000001E-2</v>
      </c>
      <c r="N37" s="3352">
        <f t="shared" ref="N37:Q37" ca="1" si="4">ROUND($L$37*(1+N31),3)</f>
        <v>4.5999999999999999E-2</v>
      </c>
      <c r="O37" s="3352">
        <f t="shared" ca="1" si="4"/>
        <v>4.3999999999999997E-2</v>
      </c>
      <c r="P37" s="3352">
        <f t="shared" ca="1" si="4"/>
        <v>4.2000000000000003E-2</v>
      </c>
      <c r="Q37" s="3352">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9"/>
      <c r="B38" s="2041" t="s">
        <v>2037</v>
      </c>
      <c r="C38" s="175">
        <f>ROUND(D5*C22*C23*C24*C28*F38,0)</f>
        <v>12313</v>
      </c>
      <c r="D38" s="2098"/>
      <c r="E38" s="171">
        <f t="shared" ref="E38:E42" si="5">ROUND(C38*D38/10000,0)</f>
        <v>0</v>
      </c>
      <c r="F38" s="171">
        <f>SUMIF(修正!A57:A68,G2,修正!C57:C68)</f>
        <v>0.4</v>
      </c>
      <c r="G38" s="171">
        <f>ROUND(IF(E2="工业",C38*$M$42,C38*$M$41),0)</f>
        <v>3078</v>
      </c>
      <c r="H38" s="171">
        <f t="shared" ref="H38:H42" si="6">D38</f>
        <v>0</v>
      </c>
      <c r="I38" s="171">
        <f t="shared" ref="I38:I42" si="7">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99"/>
      <c r="B39" s="2041" t="s">
        <v>3257</v>
      </c>
      <c r="C39" s="175">
        <f>ROUND(D5*C22*C23*C24*C28*F39,0)</f>
        <v>9235</v>
      </c>
      <c r="D39" s="2098"/>
      <c r="E39" s="171">
        <f t="shared" si="5"/>
        <v>0</v>
      </c>
      <c r="F39" s="171">
        <f>SUMIF(修正!A57:A68,G2,修正!D57:D68)</f>
        <v>0.3</v>
      </c>
      <c r="G39" s="171">
        <f>ROUND(IF(E2="工业",C39*$M$42,C39*$M$41),0)</f>
        <v>2309</v>
      </c>
      <c r="H39" s="171">
        <f t="shared" si="6"/>
        <v>0</v>
      </c>
      <c r="I39" s="171">
        <f t="shared" si="7"/>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9235</v>
      </c>
      <c r="D40" s="2098">
        <f>清单!D12</f>
        <v>3361.94</v>
      </c>
      <c r="E40" s="171">
        <f t="shared" si="5"/>
        <v>3105</v>
      </c>
      <c r="F40" s="175">
        <f>SUMIF(修正!A57:A68,G2,修正!E57:E68)</f>
        <v>0.3</v>
      </c>
      <c r="G40" s="171">
        <f>ROUND(IF(E2="工业",C40*$M$42,C40*$M$41),0)</f>
        <v>2309</v>
      </c>
      <c r="H40" s="171">
        <f t="shared" si="6"/>
        <v>3361.94</v>
      </c>
      <c r="I40" s="171">
        <f t="shared" si="7"/>
        <v>776</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9235</v>
      </c>
      <c r="D41" s="2098">
        <f>清单!D3+清单!D4+清单!D5+清单!D6+清单!D7+清单!D8+清单!D11</f>
        <v>664.09</v>
      </c>
      <c r="E41" s="171">
        <f t="shared" si="5"/>
        <v>613</v>
      </c>
      <c r="F41" s="175">
        <f>SUMIF(修正!A57:A68,G2,修正!F57:F68)</f>
        <v>0.3</v>
      </c>
      <c r="G41" s="171">
        <f>ROUND(IF(E2="工业",C41*$M$42,C41*$M$41),0)</f>
        <v>2309</v>
      </c>
      <c r="H41" s="171">
        <f t="shared" si="6"/>
        <v>664.09</v>
      </c>
      <c r="I41" s="171">
        <f t="shared" si="7"/>
        <v>153</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6157</v>
      </c>
      <c r="D42" s="2103">
        <f>清单!D10+清单!D9</f>
        <v>6741.17</v>
      </c>
      <c r="E42" s="187">
        <f t="shared" si="5"/>
        <v>4151</v>
      </c>
      <c r="F42" s="767">
        <f>SUMIF(修正!A57:A68,G2,修正!G57:G68)</f>
        <v>0.2</v>
      </c>
      <c r="G42" s="187">
        <f>ROUND(IF(E2="工业",C42*$M$42,C42*$M$41),0)</f>
        <v>1539</v>
      </c>
      <c r="H42" s="187">
        <f t="shared" si="6"/>
        <v>6741.17</v>
      </c>
      <c r="I42" s="187">
        <f t="shared" si="7"/>
        <v>1037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0.83579999999999999</v>
      </c>
      <c r="D44" s="171" t="s">
        <v>1999</v>
      </c>
      <c r="E44" s="2153">
        <f>G24</f>
        <v>5.5E-2</v>
      </c>
      <c r="F44" s="171" t="s">
        <v>2008</v>
      </c>
      <c r="G44" s="183">
        <f>'数据-取费表'!F6</f>
        <v>28.14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1.0764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好</v>
      </c>
      <c r="C50" s="2044" t="s">
        <v>3461</v>
      </c>
      <c r="D50" s="1065">
        <f t="shared" ref="D50:D58" si="8">SUMIF($J$49:$N$49,C50,J50:N50)</f>
        <v>2.9399999999999999E-2</v>
      </c>
      <c r="E50" s="744">
        <f>ROUND(SUM(D50:D58),4)</f>
        <v>7.6399999999999996E-2</v>
      </c>
      <c r="F50" s="1814" t="str">
        <f>IF(E2="商业",SUMIF(L1:L12,G2,N1:N12),"——")</f>
        <v>——</v>
      </c>
      <c r="G50" s="1063">
        <v>1.47E-2</v>
      </c>
      <c r="H50" s="1066" t="str">
        <f t="shared" ref="H50:H58" si="9">IFERROR(ROUNDDOWN($F$50*I50/2,4),"——")</f>
        <v>——</v>
      </c>
      <c r="I50" s="3361">
        <v>0.3</v>
      </c>
      <c r="J50" s="1064">
        <f t="shared" ref="J50:J58" si="10">K50+$G50</f>
        <v>2.9399999999999999E-2</v>
      </c>
      <c r="K50" s="1064">
        <f t="shared" ref="K50:K58" si="11">$L50+$G50</f>
        <v>1.47E-2</v>
      </c>
      <c r="L50" s="1064">
        <v>0</v>
      </c>
      <c r="M50" s="1064">
        <f t="shared" ref="M50:N58" si="12">L50-$G50</f>
        <v>-1.47E-2</v>
      </c>
      <c r="N50" s="1064">
        <f t="shared" si="12"/>
        <v>-2.9399999999999999E-2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好</v>
      </c>
      <c r="C51" s="2044" t="s">
        <v>3461</v>
      </c>
      <c r="D51" s="1065">
        <f t="shared" si="8"/>
        <v>2.1399999999999999E-2</v>
      </c>
      <c r="E51" s="745"/>
      <c r="F51" s="1814"/>
      <c r="G51" s="1063">
        <v>1.0699999999999999E-2</v>
      </c>
      <c r="H51" s="1066" t="str">
        <f t="shared" si="9"/>
        <v>——</v>
      </c>
      <c r="I51" s="3361">
        <v>0.22</v>
      </c>
      <c r="J51" s="1064">
        <f t="shared" si="10"/>
        <v>2.1399999999999999E-2</v>
      </c>
      <c r="K51" s="1064">
        <f t="shared" si="11"/>
        <v>1.0699999999999999E-2</v>
      </c>
      <c r="L51" s="1064">
        <v>0</v>
      </c>
      <c r="M51" s="1064">
        <f t="shared" si="12"/>
        <v>-1.0699999999999999E-2</v>
      </c>
      <c r="N51" s="1064">
        <f t="shared" si="12"/>
        <v>-2.1399999999999999E-2</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t="s">
        <v>3459</v>
      </c>
      <c r="D52" s="1065">
        <f t="shared" si="8"/>
        <v>5.7999999999999996E-3</v>
      </c>
      <c r="E52" s="745"/>
      <c r="F52" s="1814"/>
      <c r="G52" s="1063">
        <v>5.7999999999999996E-3</v>
      </c>
      <c r="H52" s="1066" t="str">
        <f t="shared" si="9"/>
        <v>——</v>
      </c>
      <c r="I52" s="3361">
        <v>0.12</v>
      </c>
      <c r="J52" s="1064">
        <f t="shared" si="10"/>
        <v>1.1599999999999999E-2</v>
      </c>
      <c r="K52" s="1064">
        <f t="shared" si="11"/>
        <v>5.7999999999999996E-3</v>
      </c>
      <c r="L52" s="1064">
        <v>0</v>
      </c>
      <c r="M52" s="1064">
        <f t="shared" si="12"/>
        <v>-5.7999999999999996E-3</v>
      </c>
      <c r="N52" s="1064">
        <f t="shared" si="12"/>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3466</v>
      </c>
      <c r="D53" s="1065">
        <f t="shared" si="8"/>
        <v>0</v>
      </c>
      <c r="E53" s="745"/>
      <c r="F53" s="1814"/>
      <c r="G53" s="1063">
        <v>2.3999999999999998E-3</v>
      </c>
      <c r="H53" s="1066" t="str">
        <f t="shared" si="9"/>
        <v>——</v>
      </c>
      <c r="I53" s="3361">
        <v>0.05</v>
      </c>
      <c r="J53" s="1064">
        <f t="shared" si="10"/>
        <v>4.7999999999999996E-3</v>
      </c>
      <c r="K53" s="1064">
        <f t="shared" si="11"/>
        <v>2.3999999999999998E-3</v>
      </c>
      <c r="L53" s="1064">
        <v>0</v>
      </c>
      <c r="M53" s="1064">
        <f t="shared" si="12"/>
        <v>-2.3999999999999998E-3</v>
      </c>
      <c r="N53" s="1064">
        <f t="shared" si="12"/>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3466</v>
      </c>
      <c r="D54" s="1065">
        <f t="shared" si="8"/>
        <v>0</v>
      </c>
      <c r="E54" s="745"/>
      <c r="F54" s="1814"/>
      <c r="G54" s="1063">
        <v>3.8999999999999998E-3</v>
      </c>
      <c r="H54" s="1066" t="str">
        <f t="shared" si="9"/>
        <v>——</v>
      </c>
      <c r="I54" s="3361">
        <v>0.08</v>
      </c>
      <c r="J54" s="1064">
        <f t="shared" si="10"/>
        <v>7.7999999999999996E-3</v>
      </c>
      <c r="K54" s="1064">
        <f t="shared" si="11"/>
        <v>3.8999999999999998E-3</v>
      </c>
      <c r="L54" s="1064">
        <v>0</v>
      </c>
      <c r="M54" s="1064">
        <f t="shared" si="12"/>
        <v>-3.8999999999999998E-3</v>
      </c>
      <c r="N54" s="1064">
        <f t="shared" si="12"/>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3459</v>
      </c>
      <c r="D55" s="1065">
        <f t="shared" si="8"/>
        <v>2.3999999999999998E-3</v>
      </c>
      <c r="E55" s="745"/>
      <c r="F55" s="1814"/>
      <c r="G55" s="1063">
        <v>2.3999999999999998E-3</v>
      </c>
      <c r="H55" s="1066" t="str">
        <f t="shared" si="9"/>
        <v>——</v>
      </c>
      <c r="I55" s="3361">
        <v>0.05</v>
      </c>
      <c r="J55" s="1064">
        <f t="shared" si="10"/>
        <v>4.7999999999999996E-3</v>
      </c>
      <c r="K55" s="1064">
        <f t="shared" si="11"/>
        <v>2.3999999999999998E-3</v>
      </c>
      <c r="L55" s="1064">
        <v>0</v>
      </c>
      <c r="M55" s="1064">
        <f t="shared" si="12"/>
        <v>-2.3999999999999998E-3</v>
      </c>
      <c r="N55" s="1064">
        <f t="shared" si="12"/>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好</v>
      </c>
      <c r="C56" s="2044" t="s">
        <v>3461</v>
      </c>
      <c r="D56" s="1065">
        <f t="shared" si="8"/>
        <v>4.7999999999999996E-3</v>
      </c>
      <c r="E56" s="745"/>
      <c r="F56" s="1814"/>
      <c r="G56" s="1063">
        <v>2.3999999999999998E-3</v>
      </c>
      <c r="H56" s="1066" t="str">
        <f t="shared" si="9"/>
        <v>——</v>
      </c>
      <c r="I56" s="3361">
        <v>0.05</v>
      </c>
      <c r="J56" s="1064">
        <f t="shared" si="10"/>
        <v>4.7999999999999996E-3</v>
      </c>
      <c r="K56" s="1064">
        <f t="shared" si="11"/>
        <v>2.3999999999999998E-3</v>
      </c>
      <c r="L56" s="1064">
        <v>0</v>
      </c>
      <c r="M56" s="1064">
        <f t="shared" si="12"/>
        <v>-2.3999999999999998E-3</v>
      </c>
      <c r="N56" s="1064">
        <f t="shared" si="12"/>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3461</v>
      </c>
      <c r="D57" s="1065">
        <f t="shared" si="8"/>
        <v>7.7999999999999996E-3</v>
      </c>
      <c r="E57" s="745"/>
      <c r="F57" s="1814"/>
      <c r="G57" s="1063">
        <v>3.8999999999999998E-3</v>
      </c>
      <c r="H57" s="1066" t="str">
        <f t="shared" si="9"/>
        <v>——</v>
      </c>
      <c r="I57" s="3361">
        <v>0.08</v>
      </c>
      <c r="J57" s="1064">
        <f t="shared" si="10"/>
        <v>7.7999999999999996E-3</v>
      </c>
      <c r="K57" s="1064">
        <f t="shared" si="11"/>
        <v>3.8999999999999998E-3</v>
      </c>
      <c r="L57" s="1064">
        <v>0</v>
      </c>
      <c r="M57" s="1064">
        <f t="shared" si="12"/>
        <v>-3.8999999999999998E-3</v>
      </c>
      <c r="N57" s="1064">
        <f t="shared" si="12"/>
        <v>-7.7999999999999996E-3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好</v>
      </c>
      <c r="C58" s="2044" t="s">
        <v>3461</v>
      </c>
      <c r="D58" s="1065">
        <f t="shared" si="8"/>
        <v>4.7999999999999996E-3</v>
      </c>
      <c r="E58" s="746"/>
      <c r="F58" s="1814"/>
      <c r="G58" s="1063">
        <v>2.3999999999999998E-3</v>
      </c>
      <c r="H58" s="1066" t="str">
        <f t="shared" si="9"/>
        <v>——</v>
      </c>
      <c r="I58" s="3362">
        <v>0.05</v>
      </c>
      <c r="J58" s="1064">
        <f t="shared" si="10"/>
        <v>4.7999999999999996E-3</v>
      </c>
      <c r="K58" s="1064">
        <f t="shared" si="11"/>
        <v>2.3999999999999998E-3</v>
      </c>
      <c r="L58" s="1064">
        <v>0</v>
      </c>
      <c r="M58" s="1064">
        <f t="shared" si="12"/>
        <v>-2.3999999999999998E-3</v>
      </c>
      <c r="N58" s="1064">
        <f t="shared" si="12"/>
        <v>-4.7999999999999996E-3</v>
      </c>
      <c r="AA58" s="1120"/>
      <c r="AB58" s="1120"/>
      <c r="AC58" s="1120"/>
      <c r="AD58" s="1120"/>
      <c r="AE58" s="1120"/>
      <c r="AF58" s="1120"/>
      <c r="AG58" s="1120"/>
      <c r="AH58" s="1120"/>
      <c r="AI58" s="1120"/>
      <c r="AJ58" s="1120"/>
      <c r="AK58" s="1120"/>
    </row>
    <row r="59" spans="1:37" s="1119" customFormat="1" ht="15">
      <c r="A59" s="2126" t="s">
        <v>2062</v>
      </c>
      <c r="B59" s="2127">
        <f>1+E61</f>
        <v>1.0576000000000001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t="s">
        <v>3459</v>
      </c>
      <c r="D61" s="1065">
        <f t="shared" ref="D61:D69" si="13">SUMIF($J$60:$N$60,C61,J61:N61)</f>
        <v>1.0800000000000001E-2</v>
      </c>
      <c r="E61" s="744">
        <f>ROUND(SUM(D61:D69),4)</f>
        <v>5.7599999999999998E-2</v>
      </c>
      <c r="F61" s="1814">
        <f>IF(E2="办公",SUMIF(L1:L12,G2,N1:N12),"——")</f>
        <v>8.6999999999999994E-2</v>
      </c>
      <c r="G61" s="1063">
        <v>1.0800000000000001E-2</v>
      </c>
      <c r="H61" s="1066">
        <f t="shared" ref="H61:H69" si="14">IFERROR(ROUNDDOWN($F$61*I61/2,4),"——")</f>
        <v>1.0800000000000001E-2</v>
      </c>
      <c r="I61" s="3361">
        <v>0.25</v>
      </c>
      <c r="J61" s="1064">
        <f t="shared" ref="J61:J69" si="15">K61+$G61</f>
        <v>2.1600000000000001E-2</v>
      </c>
      <c r="K61" s="1064">
        <f t="shared" ref="K61:K69" si="16">$L61+$G61</f>
        <v>1.0800000000000001E-2</v>
      </c>
      <c r="L61" s="1064">
        <v>0</v>
      </c>
      <c r="M61" s="1064">
        <f t="shared" ref="M61:N69" si="17">L61-$G61</f>
        <v>-1.0800000000000001E-2</v>
      </c>
      <c r="N61" s="1064">
        <f t="shared" si="17"/>
        <v>-2.1600000000000001E-2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好</v>
      </c>
      <c r="C62" s="2044" t="s">
        <v>3461</v>
      </c>
      <c r="D62" s="1065">
        <f t="shared" si="13"/>
        <v>2.2599999999999999E-2</v>
      </c>
      <c r="E62" s="745"/>
      <c r="F62" s="1814"/>
      <c r="G62" s="1063">
        <v>1.1299999999999999E-2</v>
      </c>
      <c r="H62" s="1066">
        <f t="shared" si="14"/>
        <v>1.1299999999999999E-2</v>
      </c>
      <c r="I62" s="3361">
        <v>0.26</v>
      </c>
      <c r="J62" s="1064">
        <f t="shared" si="15"/>
        <v>2.2599999999999999E-2</v>
      </c>
      <c r="K62" s="1064">
        <f t="shared" si="16"/>
        <v>1.1299999999999999E-2</v>
      </c>
      <c r="L62" s="1064">
        <v>0</v>
      </c>
      <c r="M62" s="1064">
        <f t="shared" si="17"/>
        <v>-1.1299999999999999E-2</v>
      </c>
      <c r="N62" s="1064">
        <f t="shared" si="17"/>
        <v>-2.2599999999999999E-2</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t="s">
        <v>3459</v>
      </c>
      <c r="D63" s="1065">
        <f t="shared" si="13"/>
        <v>4.7000000000000002E-3</v>
      </c>
      <c r="E63" s="745"/>
      <c r="F63" s="1814"/>
      <c r="G63" s="1063">
        <v>4.7000000000000002E-3</v>
      </c>
      <c r="H63" s="1066">
        <f t="shared" si="14"/>
        <v>4.7000000000000002E-3</v>
      </c>
      <c r="I63" s="3361">
        <v>0.11</v>
      </c>
      <c r="J63" s="1064">
        <f t="shared" si="15"/>
        <v>9.4000000000000004E-3</v>
      </c>
      <c r="K63" s="1064">
        <f t="shared" si="16"/>
        <v>4.7000000000000002E-3</v>
      </c>
      <c r="L63" s="1064">
        <v>0</v>
      </c>
      <c r="M63" s="1064">
        <f t="shared" si="17"/>
        <v>-4.7000000000000002E-3</v>
      </c>
      <c r="N63" s="1064">
        <f t="shared" si="17"/>
        <v>-9.4000000000000004E-3</v>
      </c>
      <c r="AA63" s="1120"/>
      <c r="AB63" s="1120"/>
      <c r="AC63" s="1120"/>
      <c r="AD63" s="1120"/>
      <c r="AE63" s="1120"/>
      <c r="AF63" s="1120"/>
      <c r="AG63" s="1120"/>
      <c r="AH63" s="1120"/>
      <c r="AI63" s="1120"/>
      <c r="AJ63" s="1120"/>
      <c r="AK63" s="1120"/>
    </row>
    <row r="64" spans="1:37" s="1119" customFormat="1" ht="36.75">
      <c r="A64" s="2130" t="s">
        <v>2054</v>
      </c>
      <c r="B64" s="2135" t="s">
        <v>2055</v>
      </c>
      <c r="C64" s="2044" t="s">
        <v>3466</v>
      </c>
      <c r="D64" s="1065">
        <f t="shared" si="13"/>
        <v>0</v>
      </c>
      <c r="E64" s="745"/>
      <c r="F64" s="1814"/>
      <c r="G64" s="1063">
        <v>2.0999999999999999E-3</v>
      </c>
      <c r="H64" s="1066">
        <f t="shared" si="14"/>
        <v>2.0999999999999999E-3</v>
      </c>
      <c r="I64" s="3361">
        <v>0.05</v>
      </c>
      <c r="J64" s="1064">
        <f t="shared" si="15"/>
        <v>4.1999999999999997E-3</v>
      </c>
      <c r="K64" s="1064">
        <f t="shared" si="16"/>
        <v>2.0999999999999999E-3</v>
      </c>
      <c r="L64" s="1064">
        <v>0</v>
      </c>
      <c r="M64" s="1064">
        <f t="shared" si="17"/>
        <v>-2.0999999999999999E-3</v>
      </c>
      <c r="N64" s="1064">
        <f t="shared" si="17"/>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4692</v>
      </c>
      <c r="D65" s="1065">
        <f t="shared" si="13"/>
        <v>-2.0999999999999999E-3</v>
      </c>
      <c r="E65" s="745"/>
      <c r="F65" s="1814"/>
      <c r="G65" s="1063">
        <v>2.0999999999999999E-3</v>
      </c>
      <c r="H65" s="1066">
        <f t="shared" si="14"/>
        <v>2.0999999999999999E-3</v>
      </c>
      <c r="I65" s="3361">
        <v>0.05</v>
      </c>
      <c r="J65" s="1064">
        <f t="shared" si="15"/>
        <v>4.1999999999999997E-3</v>
      </c>
      <c r="K65" s="1064">
        <f t="shared" si="16"/>
        <v>2.0999999999999999E-3</v>
      </c>
      <c r="L65" s="1064">
        <v>0</v>
      </c>
      <c r="M65" s="1064">
        <f t="shared" si="17"/>
        <v>-2.0999999999999999E-3</v>
      </c>
      <c r="N65" s="1064">
        <f t="shared" si="17"/>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3459</v>
      </c>
      <c r="D66" s="1065">
        <f t="shared" si="13"/>
        <v>2.5999999999999999E-3</v>
      </c>
      <c r="E66" s="745"/>
      <c r="F66" s="1814"/>
      <c r="G66" s="1063">
        <v>2.5999999999999999E-3</v>
      </c>
      <c r="H66" s="1066">
        <f t="shared" si="14"/>
        <v>2.5999999999999999E-3</v>
      </c>
      <c r="I66" s="3361">
        <v>0.06</v>
      </c>
      <c r="J66" s="1064">
        <f t="shared" si="15"/>
        <v>5.1999999999999998E-3</v>
      </c>
      <c r="K66" s="1064">
        <f t="shared" si="16"/>
        <v>2.5999999999999999E-3</v>
      </c>
      <c r="L66" s="1064">
        <v>0</v>
      </c>
      <c r="M66" s="1064">
        <f t="shared" si="17"/>
        <v>-2.5999999999999999E-3</v>
      </c>
      <c r="N66" s="1064">
        <f t="shared" si="17"/>
        <v>-5.1999999999999998E-3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好</v>
      </c>
      <c r="C67" s="2044" t="s">
        <v>3461</v>
      </c>
      <c r="D67" s="1065">
        <f t="shared" si="13"/>
        <v>5.1999999999999998E-3</v>
      </c>
      <c r="E67" s="745"/>
      <c r="F67" s="1814"/>
      <c r="G67" s="1063">
        <v>2.5999999999999999E-3</v>
      </c>
      <c r="H67" s="1066">
        <f t="shared" si="14"/>
        <v>2.5999999999999999E-3</v>
      </c>
      <c r="I67" s="3361">
        <v>0.06</v>
      </c>
      <c r="J67" s="1064">
        <f t="shared" si="15"/>
        <v>5.1999999999999998E-3</v>
      </c>
      <c r="K67" s="1064">
        <f t="shared" si="16"/>
        <v>2.5999999999999999E-3</v>
      </c>
      <c r="L67" s="1064">
        <v>0</v>
      </c>
      <c r="M67" s="1064">
        <f t="shared" si="17"/>
        <v>-2.5999999999999999E-3</v>
      </c>
      <c r="N67" s="1064">
        <f t="shared" si="17"/>
        <v>-5.1999999999999998E-3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3461</v>
      </c>
      <c r="D68" s="1065">
        <f t="shared" si="13"/>
        <v>7.7999999999999996E-3</v>
      </c>
      <c r="E68" s="745"/>
      <c r="F68" s="1814"/>
      <c r="G68" s="1063">
        <v>3.8999999999999998E-3</v>
      </c>
      <c r="H68" s="1066">
        <f t="shared" si="14"/>
        <v>3.8999999999999998E-3</v>
      </c>
      <c r="I68" s="3361">
        <v>0.09</v>
      </c>
      <c r="J68" s="1064">
        <f t="shared" si="15"/>
        <v>7.7999999999999996E-3</v>
      </c>
      <c r="K68" s="1064">
        <f t="shared" si="16"/>
        <v>3.8999999999999998E-3</v>
      </c>
      <c r="L68" s="1064">
        <v>0</v>
      </c>
      <c r="M68" s="1064">
        <f t="shared" si="17"/>
        <v>-3.8999999999999998E-3</v>
      </c>
      <c r="N68" s="1064">
        <f t="shared" si="17"/>
        <v>-7.7999999999999996E-3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好</v>
      </c>
      <c r="C69" s="2044" t="s">
        <v>3461</v>
      </c>
      <c r="D69" s="1065">
        <f t="shared" si="13"/>
        <v>6.0000000000000001E-3</v>
      </c>
      <c r="E69" s="746"/>
      <c r="F69" s="1814"/>
      <c r="G69" s="1063">
        <v>3.0000000000000001E-3</v>
      </c>
      <c r="H69" s="1066">
        <f t="shared" si="14"/>
        <v>3.0000000000000001E-3</v>
      </c>
      <c r="I69" s="3362">
        <v>7.0000000000000007E-2</v>
      </c>
      <c r="J69" s="1064">
        <f t="shared" si="15"/>
        <v>6.0000000000000001E-3</v>
      </c>
      <c r="K69" s="1064">
        <f t="shared" si="16"/>
        <v>3.0000000000000001E-3</v>
      </c>
      <c r="L69" s="1064">
        <v>0</v>
      </c>
      <c r="M69" s="1064">
        <f t="shared" si="17"/>
        <v>-3.0000000000000001E-3</v>
      </c>
      <c r="N69" s="1064">
        <f t="shared" si="17"/>
        <v>-6.0000000000000001E-3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2059</v>
      </c>
      <c r="B76" s="1326" t="str">
        <f>估价对象房地状况!C21</f>
        <v>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2060</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2061</v>
      </c>
      <c r="B79" s="2133" t="str">
        <f>估价对象房地状况!C20</f>
        <v>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2610</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3271</v>
      </c>
      <c r="B94" s="3364" t="str">
        <f>估价对象房地状况!C18</f>
        <v>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3277</v>
      </c>
      <c r="B101" s="3381" t="str">
        <f>估价对象房地状况!C20</f>
        <v>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96" t="s">
        <v>3292</v>
      </c>
      <c r="B103" s="3796"/>
      <c r="C103" s="3796"/>
      <c r="D103" s="3796"/>
      <c r="E103" s="3796"/>
      <c r="F103" s="3796"/>
      <c r="G103" s="3796"/>
      <c r="H103" s="3796"/>
      <c r="I103" s="3796"/>
      <c r="J103" s="3796"/>
      <c r="K103" s="3384"/>
      <c r="L103" s="3384"/>
      <c r="M103" s="3384"/>
      <c r="N103" s="3384"/>
    </row>
    <row r="104" spans="1:14">
      <c r="A104" s="3797" t="s">
        <v>3293</v>
      </c>
      <c r="B104" s="3797" t="s">
        <v>3294</v>
      </c>
      <c r="C104" s="3385" t="s">
        <v>3295</v>
      </c>
      <c r="D104" s="3386"/>
      <c r="E104" s="3386"/>
      <c r="F104" s="3386"/>
      <c r="G104" s="3386"/>
      <c r="H104" s="3386"/>
      <c r="I104" s="3386"/>
      <c r="J104" s="3387"/>
      <c r="K104" s="3388"/>
      <c r="L104" s="3388"/>
      <c r="M104" s="3388"/>
      <c r="N104" s="3388"/>
    </row>
    <row r="105" spans="1:14">
      <c r="A105" s="3797"/>
      <c r="B105" s="379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8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8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8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8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8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84"/>
      <c r="B111" s="3389" t="s">
        <v>3266</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85"/>
      <c r="B112" s="3389">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86" t="s">
        <v>3309</v>
      </c>
      <c r="B113" s="3786"/>
      <c r="C113" s="3786"/>
      <c r="D113" s="3786"/>
      <c r="E113" s="3786"/>
      <c r="F113" s="3786"/>
      <c r="G113" s="3786"/>
      <c r="H113" s="3786"/>
      <c r="I113" s="3786"/>
      <c r="J113" s="378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7.79</v>
      </c>
      <c r="C116" s="3394" t="s">
        <v>3311</v>
      </c>
      <c r="D116" s="3395">
        <f>SUMPRODUCT((A118:A122=F116)*(B117:M117=H116)*B118:M122)</f>
        <v>0.90580000000000005</v>
      </c>
      <c r="E116" s="2000" t="s">
        <v>3312</v>
      </c>
      <c r="F116" s="3396" t="str">
        <f>E2</f>
        <v>办公</v>
      </c>
      <c r="G116" s="2000" t="s">
        <v>3313</v>
      </c>
      <c r="H116" s="3396" t="str">
        <f>G2</f>
        <v>一级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0.91110000000000002</v>
      </c>
      <c r="C118" s="3382">
        <f>B118</f>
        <v>0.91110000000000002</v>
      </c>
      <c r="D118" s="3382">
        <f>ROUND(0.949-0.014*B116,4)</f>
        <v>0.83989999999999998</v>
      </c>
      <c r="E118" s="3382">
        <f>D118</f>
        <v>0.83989999999999998</v>
      </c>
      <c r="F118" s="3382">
        <f>E118</f>
        <v>0.83989999999999998</v>
      </c>
      <c r="G118" s="3382">
        <f>F118</f>
        <v>0.83989999999999998</v>
      </c>
      <c r="H118" s="3382">
        <f>G118</f>
        <v>0.83989999999999998</v>
      </c>
      <c r="I118" s="3382">
        <f>ROUND(0.8486-0.018*B116,4)</f>
        <v>0.70840000000000003</v>
      </c>
      <c r="J118" s="3382">
        <f t="shared" ref="J118:M122" si="36">I118</f>
        <v>0.70840000000000003</v>
      </c>
      <c r="K118" s="3382">
        <f t="shared" si="36"/>
        <v>0.70840000000000003</v>
      </c>
      <c r="L118" s="3382">
        <f t="shared" si="36"/>
        <v>0.70840000000000003</v>
      </c>
      <c r="M118" s="3405">
        <f t="shared" si="36"/>
        <v>0.70840000000000003</v>
      </c>
      <c r="N118" s="3392"/>
    </row>
    <row r="119" spans="1:14">
      <c r="A119" s="3404" t="s">
        <v>3327</v>
      </c>
      <c r="B119" s="3382">
        <f>ROUND(0.993-0.0112*B116,4)</f>
        <v>0.90580000000000005</v>
      </c>
      <c r="C119" s="3382">
        <f>B119</f>
        <v>0.90580000000000005</v>
      </c>
      <c r="D119" s="3382">
        <f>ROUND(0.9415-0.0142*B116,4)</f>
        <v>0.83089999999999997</v>
      </c>
      <c r="E119" s="3382">
        <f t="shared" ref="E119:H120" si="37">D119</f>
        <v>0.83089999999999997</v>
      </c>
      <c r="F119" s="3382">
        <f t="shared" si="37"/>
        <v>0.83089999999999997</v>
      </c>
      <c r="G119" s="3382">
        <f t="shared" si="37"/>
        <v>0.83089999999999997</v>
      </c>
      <c r="H119" s="3382">
        <f t="shared" si="37"/>
        <v>0.83089999999999997</v>
      </c>
      <c r="I119" s="3382">
        <f>ROUND(0.838-0.0182*B116,4)</f>
        <v>0.69620000000000004</v>
      </c>
      <c r="J119" s="3382">
        <f t="shared" si="36"/>
        <v>0.69620000000000004</v>
      </c>
      <c r="K119" s="3382">
        <f t="shared" si="36"/>
        <v>0.69620000000000004</v>
      </c>
      <c r="L119" s="3382">
        <f t="shared" si="36"/>
        <v>0.69620000000000004</v>
      </c>
      <c r="M119" s="3405">
        <f t="shared" si="36"/>
        <v>0.69620000000000004</v>
      </c>
      <c r="N119" s="3392"/>
    </row>
    <row r="120" spans="1:14">
      <c r="A120" s="3404" t="s">
        <v>3328</v>
      </c>
      <c r="B120" s="3382">
        <f>ROUND(0.9448-0.0115*B116,4)</f>
        <v>0.85519999999999996</v>
      </c>
      <c r="C120" s="3382">
        <f>B120</f>
        <v>0.85519999999999996</v>
      </c>
      <c r="D120" s="3382">
        <f>ROUND(0.937-0.0145*B116,4)</f>
        <v>0.82399999999999995</v>
      </c>
      <c r="E120" s="3382">
        <f t="shared" si="37"/>
        <v>0.82399999999999995</v>
      </c>
      <c r="F120" s="3382">
        <f t="shared" si="37"/>
        <v>0.82399999999999995</v>
      </c>
      <c r="G120" s="3382">
        <f t="shared" si="37"/>
        <v>0.82399999999999995</v>
      </c>
      <c r="H120" s="3382">
        <f t="shared" si="37"/>
        <v>0.82399999999999995</v>
      </c>
      <c r="I120" s="3382">
        <f>ROUND(0.7965-0.0185*B116,4)</f>
        <v>0.65239999999999998</v>
      </c>
      <c r="J120" s="3382">
        <f t="shared" si="36"/>
        <v>0.65239999999999998</v>
      </c>
      <c r="K120" s="3382">
        <f t="shared" si="36"/>
        <v>0.65239999999999998</v>
      </c>
      <c r="L120" s="3382">
        <f t="shared" si="36"/>
        <v>0.65239999999999998</v>
      </c>
      <c r="M120" s="3405">
        <f t="shared" si="36"/>
        <v>0.65239999999999998</v>
      </c>
      <c r="N120" s="3392"/>
    </row>
    <row r="121" spans="1:14" ht="13.5" thickBot="1">
      <c r="A121" s="3406" t="s">
        <v>3329</v>
      </c>
      <c r="B121" s="3407">
        <f>ROUND(0.7836-0.012*B116,4)</f>
        <v>0.69010000000000005</v>
      </c>
      <c r="C121" s="3407">
        <f>B121</f>
        <v>0.69010000000000005</v>
      </c>
      <c r="D121" s="3407">
        <f>ROUND(0.753-0.015*B116,4)</f>
        <v>0.63619999999999999</v>
      </c>
      <c r="E121" s="3407">
        <f>D121</f>
        <v>0.63619999999999999</v>
      </c>
      <c r="F121" s="3407">
        <f>E121</f>
        <v>0.63619999999999999</v>
      </c>
      <c r="G121" s="3407">
        <f>ROUND(0.6612-0.018*B116,4)</f>
        <v>0.52100000000000002</v>
      </c>
      <c r="H121" s="3407">
        <f>G121</f>
        <v>0.52100000000000002</v>
      </c>
      <c r="I121" s="3407">
        <f>ROUND(0.5905-0.019*B116,4)</f>
        <v>0.4425</v>
      </c>
      <c r="J121" s="3407">
        <f t="shared" si="36"/>
        <v>0.4425</v>
      </c>
      <c r="K121" s="3407">
        <f t="shared" si="36"/>
        <v>0.4425</v>
      </c>
      <c r="L121" s="3407">
        <f t="shared" si="36"/>
        <v>0.4425</v>
      </c>
      <c r="M121" s="3408">
        <f t="shared" si="36"/>
        <v>0.4425</v>
      </c>
      <c r="N121" s="3392"/>
    </row>
    <row r="122" spans="1:14">
      <c r="A122" s="3409" t="s">
        <v>2610</v>
      </c>
      <c r="B122" s="3382">
        <f>ROUND(0.9404-0.0106*B116,4)</f>
        <v>0.85780000000000001</v>
      </c>
      <c r="C122" s="3382">
        <f>B122</f>
        <v>0.85780000000000001</v>
      </c>
      <c r="D122" s="3382">
        <f>ROUND(0.8955-0.0135*B116,4)</f>
        <v>0.7903</v>
      </c>
      <c r="E122" s="3382">
        <f t="shared" ref="E122:H122" si="38">D122</f>
        <v>0.7903</v>
      </c>
      <c r="F122" s="3382">
        <f t="shared" si="38"/>
        <v>0.7903</v>
      </c>
      <c r="G122" s="3382">
        <f t="shared" si="38"/>
        <v>0.7903</v>
      </c>
      <c r="H122" s="3382">
        <f t="shared" si="38"/>
        <v>0.7903</v>
      </c>
      <c r="I122" s="3382">
        <f>ROUND(0.7632-0.0166*B116,4)</f>
        <v>0.63390000000000002</v>
      </c>
      <c r="J122" s="3382">
        <f t="shared" si="36"/>
        <v>0.63390000000000002</v>
      </c>
      <c r="K122" s="3382">
        <f t="shared" si="36"/>
        <v>0.63390000000000002</v>
      </c>
      <c r="L122" s="3382">
        <f t="shared" si="36"/>
        <v>0.63390000000000002</v>
      </c>
      <c r="M122" s="3405">
        <f t="shared" si="36"/>
        <v>0.63390000000000002</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9" type="noConversion"/>
  <conditionalFormatting sqref="F50">
    <cfRule type="cellIs" dxfId="123" priority="6" stopIfTrue="1" operator="notEqual">
      <formula>"——"</formula>
    </cfRule>
  </conditionalFormatting>
  <conditionalFormatting sqref="F61">
    <cfRule type="cellIs" dxfId="122" priority="5" stopIfTrue="1" operator="notEqual">
      <formula>"——"</formula>
    </cfRule>
  </conditionalFormatting>
  <conditionalFormatting sqref="F72">
    <cfRule type="cellIs" dxfId="121" priority="4" stopIfTrue="1" operator="notEqual">
      <formula>"——"</formula>
    </cfRule>
  </conditionalFormatting>
  <conditionalFormatting sqref="F83">
    <cfRule type="cellIs" dxfId="120" priority="3" stopIfTrue="1" operator="notEqual">
      <formula>"——"</formula>
    </cfRule>
  </conditionalFormatting>
  <conditionalFormatting sqref="H50:H58 H61:H69 H72:H80 H83:H91">
    <cfRule type="cellIs" dxfId="119" priority="2" operator="notEqual">
      <formula>"——"</formula>
    </cfRule>
  </conditionalFormatting>
  <conditionalFormatting sqref="H93:H101">
    <cfRule type="cellIs" dxfId="118"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L44" sqref="L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11.3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t="s">
        <v>4681</v>
      </c>
      <c r="F1" s="1879" t="s">
        <v>4682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211883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46884</v>
      </c>
      <c r="C3" s="354" t="s">
        <v>1768</v>
      </c>
      <c r="D3" s="353">
        <f>IF(D1="",'数据-汇总表'!E3,SUMIF('数据-汇总表'!$C19:$C33,D1,'数据-汇总表'!$E19:$E33))</f>
        <v>45192.95</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739" t="s">
        <v>1770</v>
      </c>
      <c r="D4" s="3740"/>
      <c r="E4" s="3741" t="s">
        <v>1771</v>
      </c>
      <c r="F4" s="3742"/>
      <c r="G4" s="3739" t="s">
        <v>1772</v>
      </c>
      <c r="H4" s="3740"/>
      <c r="I4" s="3739" t="s">
        <v>1773</v>
      </c>
      <c r="J4" s="3740"/>
      <c r="K4" s="559" t="s">
        <v>1774</v>
      </c>
      <c r="L4" s="2710"/>
      <c r="M4" s="2711"/>
      <c r="N4" s="2711"/>
      <c r="O4" s="2711"/>
      <c r="P4" s="3743" t="s">
        <v>1775</v>
      </c>
      <c r="Q4" s="3744"/>
      <c r="R4" s="3749" t="s">
        <v>1771</v>
      </c>
      <c r="S4" s="3750"/>
      <c r="T4" s="3749" t="s">
        <v>1772</v>
      </c>
      <c r="U4" s="3750"/>
      <c r="V4" s="3755" t="s">
        <v>1773</v>
      </c>
      <c r="W4" s="3755"/>
      <c r="X4" s="1355"/>
      <c r="Y4" s="3749" t="s">
        <v>1775</v>
      </c>
      <c r="Z4" s="3750"/>
      <c r="AA4" s="3736" t="s">
        <v>1771</v>
      </c>
      <c r="AB4" s="3755" t="s">
        <v>1772</v>
      </c>
      <c r="AC4" s="3736" t="s">
        <v>1773</v>
      </c>
    </row>
    <row r="5" spans="1:29" ht="15">
      <c r="A5" s="358"/>
      <c r="B5" s="359"/>
      <c r="C5" s="3781" t="s">
        <v>4658</v>
      </c>
      <c r="D5" s="3759"/>
      <c r="E5" s="3765" t="str">
        <f>大宗案例!B188</f>
        <v>博瑞大厦</v>
      </c>
      <c r="F5" s="3766"/>
      <c r="G5" s="3758" t="str">
        <f>大宗案例!B174</f>
        <v>保利佲悦大都汇</v>
      </c>
      <c r="H5" s="3759"/>
      <c r="I5" s="3758" t="str">
        <f>大宗案例!B198</f>
        <v>北京丰台金茂广场</v>
      </c>
      <c r="J5" s="3759"/>
      <c r="K5" s="559"/>
      <c r="L5" s="2710"/>
      <c r="M5" s="2711"/>
      <c r="N5" s="2711"/>
      <c r="O5" s="2711"/>
      <c r="P5" s="3745"/>
      <c r="Q5" s="3746"/>
      <c r="R5" s="3751"/>
      <c r="S5" s="3752"/>
      <c r="T5" s="3751"/>
      <c r="U5" s="3752"/>
      <c r="V5" s="3755"/>
      <c r="W5" s="3755"/>
      <c r="X5" s="1355"/>
      <c r="Y5" s="3751"/>
      <c r="Z5" s="3752"/>
      <c r="AA5" s="3737"/>
      <c r="AB5" s="3755"/>
      <c r="AC5" s="3737"/>
    </row>
    <row r="6" spans="1:29" ht="15.75" thickBot="1">
      <c r="A6" s="360"/>
      <c r="B6" s="361"/>
      <c r="C6" s="3756" t="s">
        <v>1677</v>
      </c>
      <c r="D6" s="3757"/>
      <c r="E6" s="3763" t="s">
        <v>1677</v>
      </c>
      <c r="F6" s="3764"/>
      <c r="G6" s="3756" t="s">
        <v>1677</v>
      </c>
      <c r="H6" s="3757"/>
      <c r="I6" s="3756" t="s">
        <v>1677</v>
      </c>
      <c r="J6" s="3757"/>
      <c r="K6" s="559" t="s">
        <v>1678</v>
      </c>
      <c r="L6" s="2710"/>
      <c r="M6" s="2711"/>
      <c r="N6" s="2711"/>
      <c r="O6" s="2711"/>
      <c r="P6" s="3747"/>
      <c r="Q6" s="3748"/>
      <c r="R6" s="3751"/>
      <c r="S6" s="3752"/>
      <c r="T6" s="3753"/>
      <c r="U6" s="3754"/>
      <c r="V6" s="3755"/>
      <c r="W6" s="3755"/>
      <c r="X6" s="1355"/>
      <c r="Y6" s="3753"/>
      <c r="Z6" s="3754"/>
      <c r="AA6" s="3738"/>
      <c r="AB6" s="3755"/>
      <c r="AC6" s="3738"/>
    </row>
    <row r="7" spans="1:29" s="108" customFormat="1" ht="15.75" thickBot="1">
      <c r="A7" s="362" t="s">
        <v>1679</v>
      </c>
      <c r="B7" s="363"/>
      <c r="C7" s="364">
        <f>'数据-取费表'!B2</f>
        <v>45531</v>
      </c>
      <c r="D7" s="365">
        <v>100</v>
      </c>
      <c r="E7" s="366">
        <f>大宗案例!I188</f>
        <v>45322</v>
      </c>
      <c r="F7" s="367">
        <f>SUMIF(58:58,YEAR(E7)&amp;"-"&amp;MONTH(E7),59:59)</f>
        <v>100</v>
      </c>
      <c r="G7" s="366">
        <f>大宗案例!I174</f>
        <v>44896</v>
      </c>
      <c r="H7" s="365">
        <f>SUMIF(58:58,YEAR(G7)&amp;"-"&amp;MONTH(G7),59:59)</f>
        <v>100</v>
      </c>
      <c r="I7" s="366">
        <f>大宗案例!I198</f>
        <v>44804</v>
      </c>
      <c r="J7" s="365">
        <f>SUMIF(58:58,YEAR(I7)&amp;"-"&amp;MONTH(I7),59:59)</f>
        <v>100</v>
      </c>
      <c r="K7" s="560"/>
      <c r="L7" s="2712"/>
      <c r="M7" s="2713"/>
      <c r="N7" s="2713"/>
      <c r="O7" s="2713"/>
      <c r="P7" s="3760" t="s">
        <v>1680</v>
      </c>
      <c r="Q7" s="3762"/>
      <c r="R7" s="701" t="s">
        <v>14</v>
      </c>
      <c r="S7" s="702">
        <f t="shared" ref="S7:S15" si="0">F7</f>
        <v>100</v>
      </c>
      <c r="T7" s="701" t="s">
        <v>14</v>
      </c>
      <c r="U7" s="702">
        <f t="shared" ref="U7:U15" si="1">H7</f>
        <v>100</v>
      </c>
      <c r="V7" s="701" t="s">
        <v>14</v>
      </c>
      <c r="W7" s="702">
        <f t="shared" ref="W7:W15" si="2">J7</f>
        <v>100</v>
      </c>
      <c r="X7" s="703"/>
      <c r="Y7" s="3760" t="s">
        <v>1680</v>
      </c>
      <c r="Z7" s="3761"/>
      <c r="AA7" s="704">
        <f>D7/F7</f>
        <v>1</v>
      </c>
      <c r="AB7" s="704">
        <f>D7/H7</f>
        <v>1</v>
      </c>
      <c r="AC7" s="704">
        <f>D7/J7</f>
        <v>1</v>
      </c>
    </row>
    <row r="8" spans="1:29" s="108" customFormat="1" ht="15.75" thickBot="1">
      <c r="A8" s="362" t="s">
        <v>1681</v>
      </c>
      <c r="B8" s="363"/>
      <c r="C8" s="368" t="s">
        <v>4659</v>
      </c>
      <c r="D8" s="365">
        <v>100</v>
      </c>
      <c r="E8" s="368" t="s">
        <v>4659</v>
      </c>
      <c r="F8" s="367">
        <f>SUMIF(61:61,E8,62:62)-SUMIF(61:61,C8,62:62)+100</f>
        <v>100</v>
      </c>
      <c r="G8" s="368" t="s">
        <v>4659</v>
      </c>
      <c r="H8" s="365">
        <f>SUMIF(61:61,G8,62:62)-SUMIF(61:61,C8,62:62)+100</f>
        <v>100</v>
      </c>
      <c r="I8" s="368" t="s">
        <v>4659</v>
      </c>
      <c r="J8" s="365">
        <f>SUMIF(61:61,I8,62:62)-SUMIF(61:61,C8,62:62)+100</f>
        <v>100</v>
      </c>
      <c r="K8" s="560"/>
      <c r="L8" s="2712"/>
      <c r="M8" s="2713"/>
      <c r="N8" s="2713"/>
      <c r="O8" s="2713"/>
      <c r="P8" s="3760" t="s">
        <v>1683</v>
      </c>
      <c r="Q8" s="3761"/>
      <c r="R8" s="701" t="s">
        <v>14</v>
      </c>
      <c r="S8" s="702">
        <f t="shared" si="0"/>
        <v>100</v>
      </c>
      <c r="T8" s="701" t="s">
        <v>14</v>
      </c>
      <c r="U8" s="702">
        <f t="shared" si="1"/>
        <v>100</v>
      </c>
      <c r="V8" s="701" t="s">
        <v>14</v>
      </c>
      <c r="W8" s="702">
        <f t="shared" si="2"/>
        <v>100</v>
      </c>
      <c r="X8" s="703"/>
      <c r="Y8" s="3760" t="s">
        <v>1683</v>
      </c>
      <c r="Z8" s="3761"/>
      <c r="AA8" s="704">
        <f t="shared" ref="AA8:AA46" si="3">D8/F8</f>
        <v>1</v>
      </c>
      <c r="AB8" s="704">
        <f t="shared" ref="AB8:AB46" si="4">D8/H8</f>
        <v>1</v>
      </c>
      <c r="AC8" s="704">
        <f t="shared" ref="AC8:AC46" si="5">D8/J8</f>
        <v>1</v>
      </c>
    </row>
    <row r="9" spans="1:29" s="108" customFormat="1">
      <c r="A9" s="369" t="s">
        <v>1684</v>
      </c>
      <c r="B9" s="63" t="s">
        <v>1685</v>
      </c>
      <c r="C9" s="3490" t="s">
        <v>4695</v>
      </c>
      <c r="D9" s="126">
        <v>100</v>
      </c>
      <c r="E9" s="371" t="s">
        <v>21</v>
      </c>
      <c r="F9" s="372">
        <f>SUMIF(63:63,E9,64:64)-SUMIF(63:63,C9,64:64)+100</f>
        <v>100</v>
      </c>
      <c r="G9" s="371" t="s">
        <v>21</v>
      </c>
      <c r="H9" s="126">
        <f>SUMIF(63:63,G9,64:64)-SUMIF(63:63,C9,64:64)+100</f>
        <v>100</v>
      </c>
      <c r="I9" s="371" t="s">
        <v>21</v>
      </c>
      <c r="J9" s="126">
        <f>SUMIF(63:63,I9,64:64)-SUMIF(63:63,C9,64:64)+100</f>
        <v>100</v>
      </c>
      <c r="K9" s="560"/>
      <c r="L9" s="2712"/>
      <c r="M9" s="2713"/>
      <c r="N9" s="2713"/>
      <c r="O9" s="2713"/>
      <c r="P9" s="3735" t="s">
        <v>1686</v>
      </c>
      <c r="Q9" s="1343"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428" t="str">
        <f>E65</f>
        <v>20-30</v>
      </c>
      <c r="D10" s="127">
        <v>100</v>
      </c>
      <c r="E10" s="3429" t="str">
        <f>C65</f>
        <v>40-50</v>
      </c>
      <c r="F10" s="376">
        <f>SUMIF(65:65,E10,66:66)-SUMIF(65:65,C10,66:66)+100</f>
        <v>104</v>
      </c>
      <c r="G10" s="3428" t="str">
        <f>E10</f>
        <v>40-50</v>
      </c>
      <c r="H10" s="127">
        <f>SUMIF(65:65,G10,66:66)-SUMIF(65:65,C10,66:66)+100</f>
        <v>104</v>
      </c>
      <c r="I10" s="3428" t="str">
        <f>E10</f>
        <v>40-50</v>
      </c>
      <c r="J10" s="127">
        <f>SUMIF(65:65,I10,66:66)-SUMIF(65:65,C10,66:66)+100</f>
        <v>104</v>
      </c>
      <c r="K10" s="560"/>
      <c r="L10" s="2714"/>
      <c r="M10" s="2715"/>
      <c r="N10" s="2715"/>
      <c r="O10" s="2715"/>
      <c r="P10" s="3735"/>
      <c r="Q10" s="1343" t="str">
        <f t="shared" si="6"/>
        <v>土地使用年限（年）</v>
      </c>
      <c r="R10" s="701" t="s">
        <v>14</v>
      </c>
      <c r="S10" s="702">
        <f t="shared" si="0"/>
        <v>104</v>
      </c>
      <c r="T10" s="701" t="s">
        <v>14</v>
      </c>
      <c r="U10" s="702">
        <f t="shared" si="1"/>
        <v>104</v>
      </c>
      <c r="V10" s="701" t="s">
        <v>14</v>
      </c>
      <c r="W10" s="702">
        <f t="shared" si="2"/>
        <v>104</v>
      </c>
      <c r="X10" s="703"/>
      <c r="Y10" s="3599"/>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35"/>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75" thickBot="1">
      <c r="A12" s="382"/>
      <c r="B12" s="3491" t="s">
        <v>4660</v>
      </c>
      <c r="C12" s="3494" t="s">
        <v>4664</v>
      </c>
      <c r="D12" s="384">
        <v>100</v>
      </c>
      <c r="E12" s="3494" t="s">
        <v>4664</v>
      </c>
      <c r="F12" s="376">
        <f>SUMIF(70:70,E12,71:71)-SUMIF(70:70,C12,71:71)+100</f>
        <v>100</v>
      </c>
      <c r="G12" s="3494" t="s">
        <v>4664</v>
      </c>
      <c r="H12" s="127">
        <f>SUMIF(70:70,G12,71:71)-SUMIF(70:70,C12,71:71)+100</f>
        <v>100</v>
      </c>
      <c r="I12" s="3494" t="s">
        <v>4664</v>
      </c>
      <c r="J12" s="127">
        <f>SUMIF(70:70,I12,71:71)-SUMIF(70:70,C12,71:71)+100</f>
        <v>100</v>
      </c>
      <c r="K12" s="562"/>
      <c r="L12" s="2712"/>
      <c r="M12" s="2713"/>
      <c r="N12" s="2713"/>
      <c r="O12" s="2713"/>
      <c r="P12" s="3735"/>
      <c r="Q12" s="1343" t="str">
        <f t="shared" si="6"/>
        <v>现状用途</v>
      </c>
      <c r="R12" s="701" t="s">
        <v>14</v>
      </c>
      <c r="S12" s="702">
        <f t="shared" si="0"/>
        <v>100</v>
      </c>
      <c r="T12" s="701" t="s">
        <v>14</v>
      </c>
      <c r="U12" s="702">
        <f t="shared" si="1"/>
        <v>100</v>
      </c>
      <c r="V12" s="701" t="s">
        <v>14</v>
      </c>
      <c r="W12" s="702">
        <f t="shared" si="2"/>
        <v>100</v>
      </c>
      <c r="X12" s="703"/>
      <c r="Y12" s="3599"/>
      <c r="Z12" s="52" t="str">
        <f t="shared" si="7"/>
        <v>现状用途</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5"/>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5"/>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15">
      <c r="A15" s="391" t="s">
        <v>1690</v>
      </c>
      <c r="B15" s="61" t="s">
        <v>1777</v>
      </c>
      <c r="C15" s="1896" t="str">
        <f>估价对象房地状况!C4</f>
        <v>好</v>
      </c>
      <c r="D15" s="392">
        <v>100</v>
      </c>
      <c r="E15" s="3495" t="s">
        <v>4665</v>
      </c>
      <c r="F15" s="394">
        <f>SUMIF(76:76,E16,77:77)-SUMIF(76:76,C16,77:77)+100</f>
        <v>98</v>
      </c>
      <c r="G15" s="3495" t="s">
        <v>4665</v>
      </c>
      <c r="H15" s="392">
        <f>SUMIF(76:76,G16,77:77)-SUMIF(76:76,C16,77:77)+100</f>
        <v>98</v>
      </c>
      <c r="I15" s="3495" t="s">
        <v>4665</v>
      </c>
      <c r="J15" s="392">
        <f>SUMIF(76:76,I16,77:77)-SUMIF(76:76,C16,77:77)+100</f>
        <v>98</v>
      </c>
      <c r="K15" s="563">
        <v>2</v>
      </c>
      <c r="L15" s="2717"/>
      <c r="M15" s="2711"/>
      <c r="N15" s="2711"/>
      <c r="O15" s="2711"/>
      <c r="P15" s="3733" t="s">
        <v>1691</v>
      </c>
      <c r="Q15" s="1352" t="str">
        <f t="shared" si="6"/>
        <v>商业繁华度</v>
      </c>
      <c r="R15" s="705" t="s">
        <v>14</v>
      </c>
      <c r="S15" s="706">
        <f t="shared" si="0"/>
        <v>98</v>
      </c>
      <c r="T15" s="705" t="s">
        <v>14</v>
      </c>
      <c r="U15" s="706">
        <f t="shared" si="1"/>
        <v>98</v>
      </c>
      <c r="V15" s="705" t="s">
        <v>14</v>
      </c>
      <c r="W15" s="706">
        <f t="shared" si="2"/>
        <v>98</v>
      </c>
      <c r="X15" s="1355"/>
      <c r="Y15" s="3726" t="s">
        <v>1691</v>
      </c>
      <c r="Z15" s="1356" t="str">
        <f t="shared" si="7"/>
        <v>商业繁华度</v>
      </c>
      <c r="AA15" s="1353">
        <f t="shared" si="3"/>
        <v>1.0204081632653061</v>
      </c>
      <c r="AB15" s="1353">
        <f t="shared" si="4"/>
        <v>1.0204081632653061</v>
      </c>
      <c r="AC15" s="1353">
        <f t="shared" si="5"/>
        <v>1.0204081632653061</v>
      </c>
    </row>
    <row r="16" spans="1:29" ht="15.75" thickBot="1">
      <c r="A16" s="379"/>
      <c r="B16" s="397"/>
      <c r="C16" s="398" t="s">
        <v>3461</v>
      </c>
      <c r="D16" s="399"/>
      <c r="E16" s="398" t="s">
        <v>3459</v>
      </c>
      <c r="F16" s="400"/>
      <c r="G16" s="398" t="s">
        <v>3459</v>
      </c>
      <c r="H16" s="401"/>
      <c r="I16" s="398" t="s">
        <v>3459</v>
      </c>
      <c r="J16" s="399"/>
      <c r="K16" s="564"/>
      <c r="L16" s="2717"/>
      <c r="M16" s="2711"/>
      <c r="N16" s="2711"/>
      <c r="O16" s="2711"/>
      <c r="P16" s="3734"/>
      <c r="Q16" s="1352"/>
      <c r="R16" s="705"/>
      <c r="S16" s="706"/>
      <c r="T16" s="705"/>
      <c r="U16" s="706"/>
      <c r="V16" s="705"/>
      <c r="W16" s="706"/>
      <c r="X16" s="1355"/>
      <c r="Y16" s="3727"/>
      <c r="Z16" s="1356"/>
      <c r="AA16" s="1353">
        <v>1</v>
      </c>
      <c r="AB16" s="1353">
        <v>1</v>
      </c>
      <c r="AC16" s="1353">
        <v>1</v>
      </c>
    </row>
    <row r="17" spans="1:29" ht="15">
      <c r="A17" s="379"/>
      <c r="B17" s="402" t="s">
        <v>1259</v>
      </c>
      <c r="C17" s="1900" t="str">
        <f>估价对象房地状况!C6</f>
        <v>好</v>
      </c>
      <c r="D17" s="401">
        <v>100</v>
      </c>
      <c r="E17" s="3495" t="s">
        <v>4665</v>
      </c>
      <c r="F17" s="404">
        <f>SUMIF(78:78,E18,79:79)-SUMIF(78:78,C18,79:79)+100</f>
        <v>98</v>
      </c>
      <c r="G17" s="3495" t="s">
        <v>4665</v>
      </c>
      <c r="H17" s="406">
        <f>SUMIF(78:78,G18,79:79)-SUMIF(78:78,C18,79:79)+100</f>
        <v>98</v>
      </c>
      <c r="I17" s="3495" t="s">
        <v>4665</v>
      </c>
      <c r="J17" s="406">
        <f>SUMIF(78:78,I18,79:79)-SUMIF(78:78,C18,79:79)+100</f>
        <v>98</v>
      </c>
      <c r="K17" s="563">
        <v>2</v>
      </c>
      <c r="L17" s="2717"/>
      <c r="M17" s="2711"/>
      <c r="N17" s="2711"/>
      <c r="O17" s="2711"/>
      <c r="P17" s="3734"/>
      <c r="Q17" s="1352" t="str">
        <f>B17</f>
        <v>交通便捷度</v>
      </c>
      <c r="R17" s="705" t="s">
        <v>14</v>
      </c>
      <c r="S17" s="706">
        <f>F17</f>
        <v>98</v>
      </c>
      <c r="T17" s="705" t="s">
        <v>14</v>
      </c>
      <c r="U17" s="706">
        <f>H17</f>
        <v>98</v>
      </c>
      <c r="V17" s="705" t="s">
        <v>14</v>
      </c>
      <c r="W17" s="706">
        <f>J17</f>
        <v>98</v>
      </c>
      <c r="X17" s="1355"/>
      <c r="Y17" s="3727"/>
      <c r="Z17" s="1356" t="str">
        <f>Q17</f>
        <v>交通便捷度</v>
      </c>
      <c r="AA17" s="1353">
        <f t="shared" si="3"/>
        <v>1.0204081632653061</v>
      </c>
      <c r="AB17" s="1353">
        <f t="shared" si="4"/>
        <v>1.0204081632653061</v>
      </c>
      <c r="AC17" s="1353">
        <f t="shared" si="5"/>
        <v>1.0204081632653061</v>
      </c>
    </row>
    <row r="18" spans="1:29" ht="15.75" thickBot="1">
      <c r="A18" s="379"/>
      <c r="B18" s="407"/>
      <c r="C18" s="1901" t="s">
        <v>3461</v>
      </c>
      <c r="D18" s="401"/>
      <c r="E18" s="398" t="s">
        <v>3459</v>
      </c>
      <c r="F18" s="404"/>
      <c r="G18" s="398" t="s">
        <v>3459</v>
      </c>
      <c r="H18" s="399"/>
      <c r="I18" s="398" t="s">
        <v>3459</v>
      </c>
      <c r="J18" s="399"/>
      <c r="K18" s="564"/>
      <c r="L18" s="2717"/>
      <c r="M18" s="2711"/>
      <c r="N18" s="2711"/>
      <c r="O18" s="2711"/>
      <c r="P18" s="3734"/>
      <c r="Q18" s="1352"/>
      <c r="R18" s="705"/>
      <c r="S18" s="706"/>
      <c r="T18" s="705"/>
      <c r="U18" s="706"/>
      <c r="V18" s="705"/>
      <c r="W18" s="706"/>
      <c r="X18" s="1355"/>
      <c r="Y18" s="3727"/>
      <c r="Z18" s="1356"/>
      <c r="AA18" s="1353">
        <v>1</v>
      </c>
      <c r="AB18" s="1353">
        <v>1</v>
      </c>
      <c r="AC18" s="1353">
        <v>1</v>
      </c>
    </row>
    <row r="19" spans="1:29" ht="15">
      <c r="A19" s="379"/>
      <c r="B19" s="402" t="s">
        <v>1778</v>
      </c>
      <c r="C19" s="1900" t="str">
        <f>估价对象房地状况!C7</f>
        <v>好</v>
      </c>
      <c r="D19" s="406">
        <v>100</v>
      </c>
      <c r="E19" s="3495" t="s">
        <v>4665</v>
      </c>
      <c r="F19" s="409">
        <f>SUMIF(80:80,E20,81:81)-SUMIF(80:80,C20,81:81)+100</f>
        <v>98</v>
      </c>
      <c r="G19" s="3495" t="s">
        <v>4665</v>
      </c>
      <c r="H19" s="401">
        <f>SUMIF(80:80,G20,81:81)-SUMIF(80:80,C20,81:81)+100</f>
        <v>98</v>
      </c>
      <c r="I19" s="3495" t="s">
        <v>4665</v>
      </c>
      <c r="J19" s="401">
        <f>SUMIF(80:80,I20,81:81)-SUMIF(80:80,C20,81:81)+100</f>
        <v>98</v>
      </c>
      <c r="K19" s="563">
        <v>2</v>
      </c>
      <c r="L19" s="2717"/>
      <c r="M19" s="2711"/>
      <c r="N19" s="2711"/>
      <c r="O19" s="2711"/>
      <c r="P19" s="3734"/>
      <c r="Q19" s="1352" t="str">
        <f>B19</f>
        <v>公共配套设施</v>
      </c>
      <c r="R19" s="705" t="s">
        <v>14</v>
      </c>
      <c r="S19" s="706">
        <f>F19</f>
        <v>98</v>
      </c>
      <c r="T19" s="705" t="s">
        <v>14</v>
      </c>
      <c r="U19" s="706">
        <f>H19</f>
        <v>98</v>
      </c>
      <c r="V19" s="705" t="s">
        <v>14</v>
      </c>
      <c r="W19" s="706">
        <f>J19</f>
        <v>98</v>
      </c>
      <c r="X19" s="1355"/>
      <c r="Y19" s="3727"/>
      <c r="Z19" s="1356" t="str">
        <f>Q19</f>
        <v>公共配套设施</v>
      </c>
      <c r="AA19" s="1353">
        <f t="shared" si="3"/>
        <v>1.0204081632653061</v>
      </c>
      <c r="AB19" s="1353">
        <f t="shared" si="4"/>
        <v>1.0204081632653061</v>
      </c>
      <c r="AC19" s="1353">
        <f t="shared" si="5"/>
        <v>1.0204081632653061</v>
      </c>
    </row>
    <row r="20" spans="1:29" ht="15">
      <c r="A20" s="379"/>
      <c r="B20" s="407"/>
      <c r="C20" s="398" t="s">
        <v>3461</v>
      </c>
      <c r="D20" s="399"/>
      <c r="E20" s="398" t="s">
        <v>3459</v>
      </c>
      <c r="F20" s="400"/>
      <c r="G20" s="398" t="s">
        <v>3459</v>
      </c>
      <c r="H20" s="399"/>
      <c r="I20" s="398" t="s">
        <v>3459</v>
      </c>
      <c r="J20" s="399"/>
      <c r="K20" s="564"/>
      <c r="L20" s="2717"/>
      <c r="M20" s="2711"/>
      <c r="N20" s="2711"/>
      <c r="O20" s="2711"/>
      <c r="P20" s="3734"/>
      <c r="Q20" s="1352"/>
      <c r="R20" s="705"/>
      <c r="S20" s="706"/>
      <c r="T20" s="705"/>
      <c r="U20" s="706"/>
      <c r="V20" s="705"/>
      <c r="W20" s="706"/>
      <c r="X20" s="1355"/>
      <c r="Y20" s="3727"/>
      <c r="Z20" s="1356"/>
      <c r="AA20" s="1353">
        <v>1</v>
      </c>
      <c r="AB20" s="1353">
        <v>1</v>
      </c>
      <c r="AC20" s="1353">
        <v>1</v>
      </c>
    </row>
    <row r="21" spans="1:29" ht="15">
      <c r="A21" s="379"/>
      <c r="B21" s="1131" t="s">
        <v>1779</v>
      </c>
      <c r="C21" s="1900" t="str">
        <f>估价对象房地状况!C8</f>
        <v>七通</v>
      </c>
      <c r="D21" s="406">
        <v>100</v>
      </c>
      <c r="E21" s="408" t="s">
        <v>3464</v>
      </c>
      <c r="F21" s="409">
        <f>SUMIF(82:82,E22,83:83)-SUMIF(82:82,C22,83:83)+100</f>
        <v>100</v>
      </c>
      <c r="G21" s="408" t="s">
        <v>3464</v>
      </c>
      <c r="H21" s="401">
        <f>SUMIF(82:82,G22,83:83)-SUMIF(82:82,C22,83:83)+100</f>
        <v>100</v>
      </c>
      <c r="I21" s="408" t="s">
        <v>3464</v>
      </c>
      <c r="J21" s="401">
        <f>SUMIF(82:82,I22,83:83)-SUMIF(82:82,C22,83:83)+100</f>
        <v>100</v>
      </c>
      <c r="K21" s="563">
        <v>1</v>
      </c>
      <c r="L21" s="2717"/>
      <c r="M21" s="2711"/>
      <c r="N21" s="2711"/>
      <c r="O21" s="2711"/>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75" thickBot="1">
      <c r="A22" s="379"/>
      <c r="B22" s="1131"/>
      <c r="C22" s="1901" t="s">
        <v>3464</v>
      </c>
      <c r="D22" s="399"/>
      <c r="E22" s="398" t="s">
        <v>3464</v>
      </c>
      <c r="F22" s="400"/>
      <c r="G22" s="398" t="s">
        <v>3464</v>
      </c>
      <c r="H22" s="399"/>
      <c r="I22" s="398" t="s">
        <v>3464</v>
      </c>
      <c r="J22" s="399"/>
      <c r="K22" s="1130"/>
      <c r="L22" s="2717"/>
      <c r="M22" s="2711"/>
      <c r="N22" s="2711"/>
      <c r="O22" s="2711"/>
      <c r="P22" s="3734"/>
      <c r="Q22" s="1352"/>
      <c r="R22" s="705"/>
      <c r="S22" s="706"/>
      <c r="T22" s="705"/>
      <c r="U22" s="706"/>
      <c r="V22" s="705"/>
      <c r="W22" s="706"/>
      <c r="X22" s="1355"/>
      <c r="Y22" s="3727"/>
      <c r="Z22" s="1356"/>
      <c r="AA22" s="1353">
        <v>1</v>
      </c>
      <c r="AB22" s="1353">
        <v>1</v>
      </c>
      <c r="AC22" s="1353">
        <v>1</v>
      </c>
    </row>
    <row r="23" spans="1:29" ht="15">
      <c r="A23" s="379"/>
      <c r="B23" s="402" t="s">
        <v>1261</v>
      </c>
      <c r="C23" s="1955" t="str">
        <f>估价对象房地状况!C9</f>
        <v>好</v>
      </c>
      <c r="D23" s="401">
        <v>100</v>
      </c>
      <c r="E23" s="3495" t="s">
        <v>4665</v>
      </c>
      <c r="F23" s="404">
        <f>SUMIF(84:84,E24,85:85)-SUMIF(84:84,C24,85:85)+100</f>
        <v>98</v>
      </c>
      <c r="G23" s="3495" t="s">
        <v>4665</v>
      </c>
      <c r="H23" s="401">
        <f>SUMIF(84:84,G24,85:85)-SUMIF(84:84,C24,85:85)+100</f>
        <v>98</v>
      </c>
      <c r="I23" s="3495" t="s">
        <v>4665</v>
      </c>
      <c r="J23" s="401">
        <f>SUMIF(84:84,I24,85:85)-SUMIF(84:84,C24,85:85)+100</f>
        <v>98</v>
      </c>
      <c r="K23" s="563">
        <v>2</v>
      </c>
      <c r="L23" s="2717"/>
      <c r="M23" s="2711"/>
      <c r="N23" s="2711"/>
      <c r="O23" s="2711"/>
      <c r="P23" s="3734"/>
      <c r="Q23" s="1352" t="str">
        <f>B23</f>
        <v>自然及人文环境</v>
      </c>
      <c r="R23" s="705" t="s">
        <v>14</v>
      </c>
      <c r="S23" s="706">
        <f>F23</f>
        <v>98</v>
      </c>
      <c r="T23" s="705" t="s">
        <v>14</v>
      </c>
      <c r="U23" s="706">
        <f>H23</f>
        <v>98</v>
      </c>
      <c r="V23" s="705" t="s">
        <v>14</v>
      </c>
      <c r="W23" s="706">
        <f>J23</f>
        <v>98</v>
      </c>
      <c r="X23" s="1355"/>
      <c r="Y23" s="3727"/>
      <c r="Z23" s="1356" t="str">
        <f>Q23</f>
        <v>自然及人文环境</v>
      </c>
      <c r="AA23" s="1353">
        <f t="shared" si="3"/>
        <v>1.0204081632653061</v>
      </c>
      <c r="AB23" s="1353">
        <f t="shared" si="4"/>
        <v>1.0204081632653061</v>
      </c>
      <c r="AC23" s="1353">
        <f t="shared" si="5"/>
        <v>1.0204081632653061</v>
      </c>
    </row>
    <row r="24" spans="1:29" ht="15.75" thickBot="1">
      <c r="A24" s="379"/>
      <c r="B24" s="407"/>
      <c r="C24" s="398" t="s">
        <v>3461</v>
      </c>
      <c r="D24" s="399"/>
      <c r="E24" s="398" t="s">
        <v>3459</v>
      </c>
      <c r="F24" s="400"/>
      <c r="G24" s="398" t="s">
        <v>3459</v>
      </c>
      <c r="H24" s="399"/>
      <c r="I24" s="398" t="s">
        <v>3459</v>
      </c>
      <c r="J24" s="399"/>
      <c r="K24" s="564"/>
      <c r="L24" s="2717"/>
      <c r="M24" s="2711"/>
      <c r="N24" s="2711"/>
      <c r="O24" s="2711"/>
      <c r="P24" s="3734"/>
      <c r="Q24" s="1352"/>
      <c r="R24" s="705"/>
      <c r="S24" s="706"/>
      <c r="T24" s="705"/>
      <c r="U24" s="706"/>
      <c r="V24" s="705"/>
      <c r="W24" s="706"/>
      <c r="X24" s="1355"/>
      <c r="Y24" s="3727"/>
      <c r="Z24" s="1356"/>
      <c r="AA24" s="1353">
        <v>1</v>
      </c>
      <c r="AB24" s="1353">
        <v>1</v>
      </c>
      <c r="AC24" s="1353">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4"/>
      <c r="Q25" s="1352" t="str">
        <f t="shared" ref="Q25:Q46" si="11">B25</f>
        <v>临街状况</v>
      </c>
      <c r="R25" s="705" t="s">
        <v>14</v>
      </c>
      <c r="S25" s="706">
        <f>F25</f>
        <v>100</v>
      </c>
      <c r="T25" s="705" t="s">
        <v>14</v>
      </c>
      <c r="U25" s="706">
        <f>H25</f>
        <v>100</v>
      </c>
      <c r="V25" s="705" t="s">
        <v>14</v>
      </c>
      <c r="W25" s="706">
        <f>J25</f>
        <v>100</v>
      </c>
      <c r="X25" s="1355"/>
      <c r="Y25" s="3727"/>
      <c r="Z25" s="1356" t="str">
        <f>Q25</f>
        <v>临街状况</v>
      </c>
      <c r="AA25" s="1353">
        <f t="shared" si="3"/>
        <v>1</v>
      </c>
      <c r="AB25" s="1353">
        <f t="shared" si="4"/>
        <v>1</v>
      </c>
      <c r="AC25" s="1353">
        <f t="shared" si="5"/>
        <v>1</v>
      </c>
    </row>
    <row r="26" spans="1:29" ht="15" hidden="1">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4"/>
      <c r="Q26" s="1352" t="str">
        <f t="shared" si="11"/>
        <v>平面位置/可视性</v>
      </c>
      <c r="R26" s="705" t="s">
        <v>14</v>
      </c>
      <c r="S26" s="706">
        <f>F26</f>
        <v>100</v>
      </c>
      <c r="T26" s="705" t="s">
        <v>14</v>
      </c>
      <c r="U26" s="706">
        <f>H26</f>
        <v>100</v>
      </c>
      <c r="V26" s="705" t="s">
        <v>14</v>
      </c>
      <c r="W26" s="706">
        <f>J26</f>
        <v>100</v>
      </c>
      <c r="X26" s="1355"/>
      <c r="Y26" s="3727"/>
      <c r="Z26" s="1356" t="str">
        <f>Q26</f>
        <v>平面位置/可视性</v>
      </c>
      <c r="AA26" s="1353">
        <f t="shared" si="3"/>
        <v>1</v>
      </c>
      <c r="AB26" s="1353">
        <f t="shared" si="4"/>
        <v>1</v>
      </c>
      <c r="AC26" s="1353">
        <f t="shared" si="5"/>
        <v>1</v>
      </c>
    </row>
    <row r="27" spans="1:29" s="108" customFormat="1" ht="15" hidden="1">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34"/>
      <c r="Q27" s="1343" t="str">
        <f t="shared" si="11"/>
        <v>人流量</v>
      </c>
      <c r="R27" s="701" t="s">
        <v>14</v>
      </c>
      <c r="S27" s="702">
        <f>F27</f>
        <v>100</v>
      </c>
      <c r="T27" s="701" t="s">
        <v>14</v>
      </c>
      <c r="U27" s="702">
        <f>H27</f>
        <v>100</v>
      </c>
      <c r="V27" s="701" t="s">
        <v>14</v>
      </c>
      <c r="W27" s="702">
        <f>J27</f>
        <v>100</v>
      </c>
      <c r="X27" s="703"/>
      <c r="Y27" s="3727"/>
      <c r="Z27" s="52" t="str">
        <f>Q27</f>
        <v>人流量</v>
      </c>
      <c r="AA27" s="1353">
        <f>D27/F27</f>
        <v>1</v>
      </c>
      <c r="AB27" s="1353">
        <f>D27/H27</f>
        <v>1</v>
      </c>
      <c r="AC27" s="1353">
        <f>D27/J27</f>
        <v>1</v>
      </c>
    </row>
    <row r="28" spans="1:29" ht="15" hidden="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4"/>
      <c r="Q29" s="1352">
        <f t="shared" si="11"/>
        <v>111</v>
      </c>
      <c r="R29" s="705" t="s">
        <v>14</v>
      </c>
      <c r="S29" s="706">
        <f t="shared" si="12"/>
        <v>100</v>
      </c>
      <c r="T29" s="705" t="s">
        <v>14</v>
      </c>
      <c r="U29" s="706">
        <f t="shared" si="13"/>
        <v>100</v>
      </c>
      <c r="V29" s="705" t="s">
        <v>14</v>
      </c>
      <c r="W29" s="706">
        <f t="shared" si="14"/>
        <v>100</v>
      </c>
      <c r="X29" s="1355"/>
      <c r="Y29" s="372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28" t="s">
        <v>1696</v>
      </c>
      <c r="Q32" s="1352" t="str">
        <f t="shared" si="11"/>
        <v>商业类型</v>
      </c>
      <c r="R32" s="705" t="s">
        <v>14</v>
      </c>
      <c r="S32" s="706">
        <f t="shared" si="12"/>
        <v>100</v>
      </c>
      <c r="T32" s="705" t="s">
        <v>14</v>
      </c>
      <c r="U32" s="706">
        <f t="shared" si="13"/>
        <v>100</v>
      </c>
      <c r="V32" s="705" t="s">
        <v>14</v>
      </c>
      <c r="W32" s="706">
        <f t="shared" si="14"/>
        <v>100</v>
      </c>
      <c r="X32" s="1355"/>
      <c r="Y32" s="3731" t="s">
        <v>1696</v>
      </c>
      <c r="Z32" s="1356" t="str">
        <f t="shared" si="15"/>
        <v>商业类型</v>
      </c>
      <c r="AA32" s="1353">
        <f t="shared" si="3"/>
        <v>1</v>
      </c>
      <c r="AB32" s="1353">
        <f t="shared" si="4"/>
        <v>1</v>
      </c>
      <c r="AC32" s="1353">
        <f t="shared" si="5"/>
        <v>1</v>
      </c>
    </row>
    <row r="33" spans="1:29" s="422" customFormat="1" ht="15">
      <c r="A33" s="419"/>
      <c r="B33" s="375" t="s">
        <v>1697</v>
      </c>
      <c r="C33" s="420">
        <f>'数据-汇总表'!E3</f>
        <v>45192.95</v>
      </c>
      <c r="D33" s="127">
        <v>100</v>
      </c>
      <c r="E33" s="381">
        <f>大宗案例!N188</f>
        <v>44759</v>
      </c>
      <c r="F33" s="376">
        <f>LOOKUP(E33,103:103,104:104)-LOOKUP(C33,103:103,104:104)+100</f>
        <v>100</v>
      </c>
      <c r="G33" s="380">
        <f>大宗案例!N174</f>
        <v>19609</v>
      </c>
      <c r="H33" s="127">
        <f>LOOKUP(G33,103:103,104:104)-LOOKUP(C33,103:103,104:104)+100</f>
        <v>100</v>
      </c>
      <c r="I33" s="380">
        <f>大宗案例!N198</f>
        <v>7633</v>
      </c>
      <c r="J33" s="127">
        <f>LOOKUP(I33,103:103,104:104)-LOOKUP(C33,103:103,104:104)+100</f>
        <v>98</v>
      </c>
      <c r="K33" s="562"/>
      <c r="L33" s="2716"/>
      <c r="M33" s="2718"/>
      <c r="N33" s="2718"/>
      <c r="O33" s="2718"/>
      <c r="P33" s="3729"/>
      <c r="Q33" s="707" t="str">
        <f t="shared" si="11"/>
        <v>项目建筑规模</v>
      </c>
      <c r="R33" s="708" t="s">
        <v>14</v>
      </c>
      <c r="S33" s="709">
        <f t="shared" si="12"/>
        <v>100</v>
      </c>
      <c r="T33" s="708" t="s">
        <v>14</v>
      </c>
      <c r="U33" s="709">
        <f t="shared" si="13"/>
        <v>100</v>
      </c>
      <c r="V33" s="708" t="s">
        <v>14</v>
      </c>
      <c r="W33" s="709">
        <f t="shared" si="14"/>
        <v>98</v>
      </c>
      <c r="X33" s="710"/>
      <c r="Y33" s="3731"/>
      <c r="Z33" s="711" t="str">
        <f t="shared" si="15"/>
        <v>项目建筑规模</v>
      </c>
      <c r="AA33" s="1353">
        <f t="shared" si="3"/>
        <v>1</v>
      </c>
      <c r="AB33" s="1353">
        <f t="shared" si="4"/>
        <v>1</v>
      </c>
      <c r="AC33" s="1353">
        <f t="shared" si="5"/>
        <v>1.0204081632653061</v>
      </c>
    </row>
    <row r="34" spans="1:29" ht="15">
      <c r="A34" s="423"/>
      <c r="B34" s="375" t="s">
        <v>1698</v>
      </c>
      <c r="C34" s="1912" t="s">
        <v>3454</v>
      </c>
      <c r="D34" s="386">
        <v>100</v>
      </c>
      <c r="E34" s="1912" t="s">
        <v>3454</v>
      </c>
      <c r="F34" s="412">
        <f>SUMIF(105:105,E34,106:106)-SUMIF(105:105,C34,106:106)+100</f>
        <v>100</v>
      </c>
      <c r="G34" s="1912" t="s">
        <v>3454</v>
      </c>
      <c r="H34" s="386">
        <f>SUMIF(105:105,G34,106:106)-SUMIF(105:105,C34,106:106)+100</f>
        <v>100</v>
      </c>
      <c r="I34" s="1912" t="s">
        <v>3454</v>
      </c>
      <c r="J34" s="386">
        <f>SUMIF(105:105,I34,106:106)-SUMIF(105:105,C34,106:106)+100</f>
        <v>100</v>
      </c>
      <c r="K34" s="561">
        <v>2</v>
      </c>
      <c r="L34" s="2717"/>
      <c r="M34" s="2711"/>
      <c r="N34" s="2711"/>
      <c r="O34" s="2711"/>
      <c r="P34" s="3729"/>
      <c r="Q34" s="1352" t="str">
        <f t="shared" si="11"/>
        <v>建筑结构</v>
      </c>
      <c r="R34" s="705" t="s">
        <v>14</v>
      </c>
      <c r="S34" s="706">
        <f t="shared" si="12"/>
        <v>100</v>
      </c>
      <c r="T34" s="705" t="s">
        <v>14</v>
      </c>
      <c r="U34" s="706">
        <f t="shared" si="13"/>
        <v>100</v>
      </c>
      <c r="V34" s="705" t="s">
        <v>14</v>
      </c>
      <c r="W34" s="706">
        <f t="shared" si="14"/>
        <v>100</v>
      </c>
      <c r="X34" s="1355"/>
      <c r="Y34" s="3731"/>
      <c r="Z34" s="1356" t="str">
        <f t="shared" si="15"/>
        <v>建筑结构</v>
      </c>
      <c r="AA34" s="1353">
        <f t="shared" si="3"/>
        <v>1</v>
      </c>
      <c r="AB34" s="1353">
        <f t="shared" si="4"/>
        <v>1</v>
      </c>
      <c r="AC34" s="1353">
        <f t="shared" si="5"/>
        <v>1</v>
      </c>
    </row>
    <row r="35" spans="1:29" ht="15">
      <c r="A35" s="423"/>
      <c r="B35" s="375" t="s">
        <v>1785</v>
      </c>
      <c r="C35" s="1906" t="s">
        <v>4667</v>
      </c>
      <c r="D35" s="386">
        <v>100</v>
      </c>
      <c r="E35" s="1906" t="s">
        <v>4667</v>
      </c>
      <c r="F35" s="412">
        <f>SUMIF(107:107,E35,108:108)-SUMIF(107:107,C35,108:108)+100</f>
        <v>100</v>
      </c>
      <c r="G35" s="1906" t="s">
        <v>4667</v>
      </c>
      <c r="H35" s="386">
        <f>SUMIF(107:107,G35,108:108)-SUMIF(107:107,C35,108:108)+100</f>
        <v>100</v>
      </c>
      <c r="I35" s="1906" t="s">
        <v>4667</v>
      </c>
      <c r="J35" s="386">
        <f>SUMIF(107:107,I35,108:108)-SUMIF(107:107,C35,108:108)+100</f>
        <v>100</v>
      </c>
      <c r="K35" s="561">
        <v>2</v>
      </c>
      <c r="L35" s="2717"/>
      <c r="M35" s="2711"/>
      <c r="N35" s="2711"/>
      <c r="O35" s="2711"/>
      <c r="P35" s="3729"/>
      <c r="Q35" s="1352" t="str">
        <f t="shared" si="11"/>
        <v>公共部分装修</v>
      </c>
      <c r="R35" s="705" t="s">
        <v>14</v>
      </c>
      <c r="S35" s="706">
        <f t="shared" si="12"/>
        <v>100</v>
      </c>
      <c r="T35" s="705" t="s">
        <v>14</v>
      </c>
      <c r="U35" s="706">
        <f t="shared" si="13"/>
        <v>100</v>
      </c>
      <c r="V35" s="705" t="s">
        <v>14</v>
      </c>
      <c r="W35" s="706">
        <f t="shared" si="14"/>
        <v>100</v>
      </c>
      <c r="X35" s="1355"/>
      <c r="Y35" s="3731"/>
      <c r="Z35" s="1356" t="str">
        <f t="shared" si="15"/>
        <v>公共部分装修</v>
      </c>
      <c r="AA35" s="1353">
        <f t="shared" si="3"/>
        <v>1</v>
      </c>
      <c r="AB35" s="1353">
        <f t="shared" si="4"/>
        <v>1</v>
      </c>
      <c r="AC35" s="1353">
        <f t="shared" si="5"/>
        <v>1</v>
      </c>
    </row>
    <row r="36" spans="1:29" ht="15">
      <c r="A36" s="423"/>
      <c r="B36" s="375" t="s">
        <v>1786</v>
      </c>
      <c r="C36" s="425">
        <f>'数据-取费表'!N6</f>
        <v>0.83</v>
      </c>
      <c r="D36" s="386">
        <v>100</v>
      </c>
      <c r="E36" s="425">
        <v>0.9</v>
      </c>
      <c r="F36" s="412">
        <f>LOOKUP(E36,110:110,111:111)-LOOKUP(C36,110:110,111:111)+100</f>
        <v>101</v>
      </c>
      <c r="G36" s="425">
        <v>0.9</v>
      </c>
      <c r="H36" s="412">
        <f>LOOKUP(G36,110:110,111:111)-LOOKUP(C36,110:110,111:111)+100</f>
        <v>101</v>
      </c>
      <c r="I36" s="425">
        <v>0.9</v>
      </c>
      <c r="J36" s="386">
        <f>LOOKUP(I36,110:110,111:111)-LOOKUP(C36,110:110,111:111)+100</f>
        <v>101</v>
      </c>
      <c r="K36" s="561">
        <v>1</v>
      </c>
      <c r="L36" s="2717"/>
      <c r="M36" s="2711"/>
      <c r="N36" s="2711"/>
      <c r="O36" s="2711"/>
      <c r="P36" s="3729"/>
      <c r="Q36" s="1352" t="str">
        <f t="shared" si="11"/>
        <v>成新度</v>
      </c>
      <c r="R36" s="705" t="s">
        <v>14</v>
      </c>
      <c r="S36" s="706">
        <f t="shared" si="12"/>
        <v>101</v>
      </c>
      <c r="T36" s="705" t="s">
        <v>14</v>
      </c>
      <c r="U36" s="706">
        <f t="shared" si="13"/>
        <v>101</v>
      </c>
      <c r="V36" s="705" t="s">
        <v>14</v>
      </c>
      <c r="W36" s="706">
        <f t="shared" si="14"/>
        <v>101</v>
      </c>
      <c r="X36" s="1355"/>
      <c r="Y36" s="3731"/>
      <c r="Z36" s="1356" t="str">
        <f t="shared" si="15"/>
        <v>成新度</v>
      </c>
      <c r="AA36" s="1353">
        <f t="shared" si="3"/>
        <v>0.99009900990099009</v>
      </c>
      <c r="AB36" s="1353">
        <f t="shared" si="4"/>
        <v>0.99009900990099009</v>
      </c>
      <c r="AC36" s="1353">
        <f t="shared" si="5"/>
        <v>0.99009900990099009</v>
      </c>
    </row>
    <row r="37" spans="1:29" s="108" customFormat="1" ht="15">
      <c r="A37" s="424"/>
      <c r="B37" s="375" t="s">
        <v>1787</v>
      </c>
      <c r="C37" s="1906" t="s">
        <v>4674</v>
      </c>
      <c r="D37" s="127">
        <v>100</v>
      </c>
      <c r="E37" s="1906" t="s">
        <v>4674</v>
      </c>
      <c r="F37" s="412">
        <f>SUMIF(112:112,E37,113:113)-SUMIF(112:112,C37,113:113)+100</f>
        <v>100</v>
      </c>
      <c r="G37" s="1906" t="s">
        <v>4674</v>
      </c>
      <c r="H37" s="386">
        <f>SUMIF(112:112,G37,113:113)-SUMIF(112:112,C37,113:113)+100</f>
        <v>100</v>
      </c>
      <c r="I37" s="1906" t="s">
        <v>4674</v>
      </c>
      <c r="J37" s="386">
        <f>SUMIF(112:112,I37,113:113)-SUMIF(112:112,C37,113:113)+100</f>
        <v>100</v>
      </c>
      <c r="K37" s="561">
        <v>1</v>
      </c>
      <c r="L37" s="2712"/>
      <c r="M37" s="2713"/>
      <c r="N37" s="2713"/>
      <c r="O37" s="2713"/>
      <c r="P37" s="3729"/>
      <c r="Q37" s="1343"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29" t="s">
        <v>1696</v>
      </c>
      <c r="Q38" s="1352" t="str">
        <f t="shared" si="11"/>
        <v>业态</v>
      </c>
      <c r="R38" s="705" t="s">
        <v>14</v>
      </c>
      <c r="S38" s="706">
        <f t="shared" si="12"/>
        <v>100</v>
      </c>
      <c r="T38" s="705" t="s">
        <v>14</v>
      </c>
      <c r="U38" s="706">
        <f t="shared" si="13"/>
        <v>100</v>
      </c>
      <c r="V38" s="705" t="s">
        <v>14</v>
      </c>
      <c r="W38" s="706">
        <f t="shared" si="14"/>
        <v>100</v>
      </c>
      <c r="X38" s="1355"/>
      <c r="Y38" s="373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29"/>
      <c r="Q39" s="1352" t="str">
        <f t="shared" si="11"/>
        <v>层高</v>
      </c>
      <c r="R39" s="705" t="s">
        <v>14</v>
      </c>
      <c r="S39" s="706">
        <f t="shared" si="12"/>
        <v>100</v>
      </c>
      <c r="T39" s="705" t="s">
        <v>14</v>
      </c>
      <c r="U39" s="706">
        <f t="shared" si="13"/>
        <v>100</v>
      </c>
      <c r="V39" s="705" t="s">
        <v>14</v>
      </c>
      <c r="W39" s="706">
        <f t="shared" si="14"/>
        <v>100</v>
      </c>
      <c r="X39" s="1355"/>
      <c r="Y39" s="373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9"/>
      <c r="Q40" s="1352" t="str">
        <f t="shared" si="11"/>
        <v>单套建筑面积</v>
      </c>
      <c r="R40" s="705" t="s">
        <v>14</v>
      </c>
      <c r="S40" s="706">
        <f t="shared" si="12"/>
        <v>100</v>
      </c>
      <c r="T40" s="705" t="s">
        <v>14</v>
      </c>
      <c r="U40" s="706">
        <f t="shared" si="13"/>
        <v>100</v>
      </c>
      <c r="V40" s="705" t="s">
        <v>14</v>
      </c>
      <c r="W40" s="706">
        <f t="shared" si="14"/>
        <v>100</v>
      </c>
      <c r="X40" s="1355"/>
      <c r="Y40" s="373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3">
        <f t="shared" si="3"/>
        <v>1</v>
      </c>
      <c r="AB41" s="1353">
        <f t="shared" si="4"/>
        <v>1</v>
      </c>
      <c r="AC41" s="1353">
        <f t="shared" si="5"/>
        <v>1</v>
      </c>
    </row>
    <row r="42" spans="1:29" ht="15">
      <c r="A42" s="423"/>
      <c r="B42" s="375" t="s">
        <v>1792</v>
      </c>
      <c r="C42" s="1906" t="s">
        <v>4671</v>
      </c>
      <c r="D42" s="386">
        <v>100</v>
      </c>
      <c r="E42" s="1906" t="s">
        <v>4671</v>
      </c>
      <c r="F42" s="412">
        <f>SUMIF(122:122,E42,123:123)-SUMIF(122:122,C42,123:123)+100</f>
        <v>100</v>
      </c>
      <c r="G42" s="1906" t="s">
        <v>4671</v>
      </c>
      <c r="H42" s="386">
        <f>SUMIF(122:122,G42,123:123)-SUMIF(122:122,C42,123:123)+100</f>
        <v>100</v>
      </c>
      <c r="I42" s="1906" t="s">
        <v>4671</v>
      </c>
      <c r="J42" s="386">
        <f>SUMIF(122:122,I42,123:123)-SUMIF(122:122,C42,123:123)+100</f>
        <v>100</v>
      </c>
      <c r="K42" s="561">
        <v>2</v>
      </c>
      <c r="L42" s="2717"/>
      <c r="M42" s="2711"/>
      <c r="N42" s="2711"/>
      <c r="O42" s="2711"/>
      <c r="P42" s="3729"/>
      <c r="Q42" s="1352" t="str">
        <f t="shared" si="11"/>
        <v>内部装修</v>
      </c>
      <c r="R42" s="705" t="s">
        <v>14</v>
      </c>
      <c r="S42" s="706">
        <f t="shared" si="12"/>
        <v>100</v>
      </c>
      <c r="T42" s="705" t="s">
        <v>14</v>
      </c>
      <c r="U42" s="706">
        <f t="shared" si="13"/>
        <v>100</v>
      </c>
      <c r="V42" s="705" t="s">
        <v>14</v>
      </c>
      <c r="W42" s="706">
        <f t="shared" si="14"/>
        <v>100</v>
      </c>
      <c r="X42" s="1355"/>
      <c r="Y42" s="3731"/>
      <c r="Z42" s="1356" t="str">
        <f t="shared" si="15"/>
        <v>内部装修</v>
      </c>
      <c r="AA42" s="1353">
        <f t="shared" si="3"/>
        <v>1</v>
      </c>
      <c r="AB42" s="1353">
        <f t="shared" si="4"/>
        <v>1</v>
      </c>
      <c r="AC42" s="1353">
        <f t="shared" si="5"/>
        <v>1</v>
      </c>
    </row>
    <row r="43" spans="1:29" ht="15">
      <c r="A43" s="423"/>
      <c r="B43" s="375" t="s">
        <v>1707</v>
      </c>
      <c r="C43" s="1906" t="s">
        <v>3459</v>
      </c>
      <c r="D43" s="386">
        <v>100</v>
      </c>
      <c r="E43" s="1906" t="s">
        <v>3459</v>
      </c>
      <c r="F43" s="412">
        <f>SUMIF(124:124,E43,125:125)-SUMIF(124:124,C43,125:125)+100</f>
        <v>100</v>
      </c>
      <c r="G43" s="1906" t="s">
        <v>3459</v>
      </c>
      <c r="H43" s="386">
        <f>SUMIF(124:124,G43,125:125)-SUMIF(124:124,C43,125:125)+100</f>
        <v>100</v>
      </c>
      <c r="I43" s="1906" t="s">
        <v>3459</v>
      </c>
      <c r="J43" s="386">
        <f>SUMIF(124:124,I43,125:125)-SUMIF(124:124,C43,125:125)+100</f>
        <v>100</v>
      </c>
      <c r="K43" s="561">
        <v>2</v>
      </c>
      <c r="L43" s="2717"/>
      <c r="M43" s="2711"/>
      <c r="N43" s="2711"/>
      <c r="O43" s="2711"/>
      <c r="P43" s="3729"/>
      <c r="Q43" s="1352" t="str">
        <f t="shared" si="11"/>
        <v>内部装修维护情况</v>
      </c>
      <c r="R43" s="705" t="s">
        <v>14</v>
      </c>
      <c r="S43" s="706">
        <f t="shared" si="12"/>
        <v>100</v>
      </c>
      <c r="T43" s="705" t="s">
        <v>14</v>
      </c>
      <c r="U43" s="706">
        <f t="shared" si="13"/>
        <v>100</v>
      </c>
      <c r="V43" s="705" t="s">
        <v>14</v>
      </c>
      <c r="W43" s="706">
        <f t="shared" si="14"/>
        <v>100</v>
      </c>
      <c r="X43" s="1355"/>
      <c r="Y43" s="3731"/>
      <c r="Z43" s="1356" t="str">
        <f t="shared" si="15"/>
        <v>内部装修维护情况</v>
      </c>
      <c r="AA43" s="1353">
        <f t="shared" si="3"/>
        <v>1</v>
      </c>
      <c r="AB43" s="1353">
        <f t="shared" si="4"/>
        <v>1</v>
      </c>
      <c r="AC43" s="1353">
        <f t="shared" si="5"/>
        <v>1</v>
      </c>
    </row>
    <row r="44" spans="1:29" s="108" customFormat="1" ht="15">
      <c r="A44" s="424"/>
      <c r="B44" s="3498" t="s">
        <v>4675</v>
      </c>
      <c r="C44" s="420" t="str">
        <f>H126</f>
        <v>20-30%</v>
      </c>
      <c r="D44" s="127">
        <v>100</v>
      </c>
      <c r="E44" s="3500">
        <v>0</v>
      </c>
      <c r="F44" s="376">
        <f>SUMIF(126:126,E44,127:127)-SUMIF(126:126,C44,127:127)+100</f>
        <v>120</v>
      </c>
      <c r="G44" s="3500">
        <f>A126</f>
        <v>0</v>
      </c>
      <c r="H44" s="127">
        <f>SUMIF(126:126,G44,127:127)-SUMIF(126:126,C44,127:127)+100</f>
        <v>120</v>
      </c>
      <c r="I44" s="3500">
        <f>C126</f>
        <v>0</v>
      </c>
      <c r="J44" s="127">
        <f>SUMIF(126:126,I44,127:127)-SUMIF(126:126,C44,127:127)+100</f>
        <v>120</v>
      </c>
      <c r="K44" s="562"/>
      <c r="L44" s="2712"/>
      <c r="M44" s="2713"/>
      <c r="N44" s="2713"/>
      <c r="O44" s="2713"/>
      <c r="P44" s="3729"/>
      <c r="Q44" s="1343" t="str">
        <f t="shared" si="11"/>
        <v>地下占比</v>
      </c>
      <c r="R44" s="701" t="s">
        <v>14</v>
      </c>
      <c r="S44" s="702">
        <f t="shared" si="12"/>
        <v>120</v>
      </c>
      <c r="T44" s="701" t="s">
        <v>14</v>
      </c>
      <c r="U44" s="702">
        <f t="shared" si="13"/>
        <v>120</v>
      </c>
      <c r="V44" s="701" t="s">
        <v>14</v>
      </c>
      <c r="W44" s="702">
        <f t="shared" si="14"/>
        <v>120</v>
      </c>
      <c r="X44" s="703"/>
      <c r="Y44" s="3731"/>
      <c r="Z44" s="52" t="str">
        <f t="shared" si="15"/>
        <v>地下占比</v>
      </c>
      <c r="AA44" s="704">
        <f t="shared" si="3"/>
        <v>0.83333333333333337</v>
      </c>
      <c r="AB44" s="704">
        <f t="shared" si="4"/>
        <v>0.83333333333333337</v>
      </c>
      <c r="AC44" s="704">
        <f t="shared" si="5"/>
        <v>0.83333333333333337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9"/>
      <c r="Q45" s="1352">
        <f t="shared" si="11"/>
        <v>111</v>
      </c>
      <c r="R45" s="705" t="s">
        <v>14</v>
      </c>
      <c r="S45" s="706">
        <f t="shared" si="12"/>
        <v>100</v>
      </c>
      <c r="T45" s="705" t="s">
        <v>14</v>
      </c>
      <c r="U45" s="706">
        <f t="shared" si="13"/>
        <v>100</v>
      </c>
      <c r="V45" s="705" t="s">
        <v>14</v>
      </c>
      <c r="W45" s="706">
        <f t="shared" si="14"/>
        <v>100</v>
      </c>
      <c r="X45" s="1355"/>
      <c r="Y45" s="373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353">
        <f t="shared" si="5"/>
        <v>1</v>
      </c>
    </row>
    <row r="47" spans="1:29" ht="15">
      <c r="A47" s="430" t="s">
        <v>1708</v>
      </c>
      <c r="B47" s="431"/>
      <c r="C47" s="1154" t="s">
        <v>0</v>
      </c>
      <c r="D47" s="1155"/>
      <c r="E47" s="1156">
        <f>大宗案例!M188/0.95</f>
        <v>56443.157894736847</v>
      </c>
      <c r="F47" s="1157"/>
      <c r="G47" s="1158">
        <f>大宗案例!M174</f>
        <v>48663</v>
      </c>
      <c r="H47" s="1159"/>
      <c r="I47" s="1156">
        <f>大宗案例!M198</f>
        <v>57251</v>
      </c>
      <c r="J47" s="1159"/>
      <c r="K47" s="714"/>
      <c r="L47" s="2719"/>
      <c r="M47" s="2720"/>
      <c r="N47" s="2711"/>
      <c r="O47" s="2720"/>
      <c r="P47" s="3724" t="str">
        <f>A47</f>
        <v>成交单价（元/平方米）</v>
      </c>
      <c r="Q47" s="3724"/>
      <c r="R47" s="3755">
        <f>E47</f>
        <v>56443.157894736847</v>
      </c>
      <c r="S47" s="3755"/>
      <c r="T47" s="3755">
        <f>G47</f>
        <v>48663</v>
      </c>
      <c r="U47" s="3755"/>
      <c r="V47" s="3755">
        <f>I47</f>
        <v>57251</v>
      </c>
      <c r="W47" s="3755"/>
      <c r="X47" s="690"/>
      <c r="Y47" s="712"/>
      <c r="Z47" s="690"/>
      <c r="AA47" s="690"/>
      <c r="AB47" s="690"/>
      <c r="AC47" s="690"/>
    </row>
    <row r="48" spans="1:29" ht="15.75" thickBot="1">
      <c r="A48" s="437" t="s">
        <v>1793</v>
      </c>
      <c r="B48" s="438"/>
      <c r="C48" s="1160">
        <f>R49</f>
        <v>46884</v>
      </c>
      <c r="D48" s="2317" t="s">
        <v>2138</v>
      </c>
      <c r="E48" s="1161">
        <f>R48</f>
        <v>48548</v>
      </c>
      <c r="F48" s="2318"/>
      <c r="G48" s="1160">
        <f>T48</f>
        <v>41856</v>
      </c>
      <c r="H48" s="2318"/>
      <c r="I48" s="1161">
        <f>V48</f>
        <v>50248</v>
      </c>
      <c r="J48" s="2318"/>
      <c r="K48" s="2320">
        <f>F48+H48+J48</f>
        <v>0</v>
      </c>
      <c r="L48" s="2719"/>
      <c r="M48" s="2720"/>
      <c r="N48" s="2711"/>
      <c r="O48" s="2720"/>
      <c r="P48" s="3724" t="str">
        <f>A48</f>
        <v>比较价值（元/平方米）</v>
      </c>
      <c r="Q48" s="3724"/>
      <c r="R48" s="3725">
        <f>IF(F1="售价",ROUND(PRODUCT(R47,AA7:AA46),0),ROUND(PRODUCT(R47,AA7:AA46),1))</f>
        <v>48548</v>
      </c>
      <c r="S48" s="3725"/>
      <c r="T48" s="3725">
        <f>IF(F1="售价",ROUND(PRODUCT(T47,AB7:AB46),0),ROUND(PRODUCT(T47,AB7:AB46),1))</f>
        <v>41856</v>
      </c>
      <c r="U48" s="3725"/>
      <c r="V48" s="3725">
        <f>IF(F1="售价",ROUND(PRODUCT(V47,AC7:AC46),0),ROUND(PRODUCT(V47,AC7:AC46),1))</f>
        <v>50248</v>
      </c>
      <c r="W48" s="3725"/>
      <c r="X48" s="690"/>
      <c r="Y48" s="690"/>
      <c r="Z48" s="690"/>
      <c r="AA48" s="690"/>
      <c r="AB48" s="690"/>
      <c r="AC48" s="690"/>
    </row>
    <row r="49" spans="1:29" ht="15.75" thickBot="1">
      <c r="A49" s="441" t="s">
        <v>1794</v>
      </c>
      <c r="B49" s="442"/>
      <c r="C49" s="1163">
        <f>R49</f>
        <v>46884</v>
      </c>
      <c r="D49" s="1163"/>
      <c r="E49" s="1163"/>
      <c r="F49" s="1163"/>
      <c r="G49" s="1163"/>
      <c r="H49" s="1163"/>
      <c r="I49" s="1163"/>
      <c r="J49" s="1163"/>
      <c r="K49" s="715"/>
      <c r="L49" s="2719"/>
      <c r="M49" s="2720"/>
      <c r="N49" s="2711"/>
      <c r="O49" s="2720"/>
      <c r="P49" s="3721" t="str">
        <f>A49</f>
        <v>估价对象XX用房的比较价值（楼面单价，元/平方米）</v>
      </c>
      <c r="Q49" s="3722"/>
      <c r="R49" s="3723">
        <f>IF(F1="售价",ROUND(IF(D48="简单平均",AVERAGE(R48:V48),R48*F48+T48*H48+V48*J48),0),ROUND(IF(D48="简单平均",AVERAGE(R48:V48),R48*F48+T48*H48+V48*J48),1))</f>
        <v>46884</v>
      </c>
      <c r="S49" s="3723"/>
      <c r="T49" s="3723"/>
      <c r="U49" s="3723"/>
      <c r="V49" s="3723"/>
      <c r="W49" s="3723"/>
      <c r="X49" s="690"/>
      <c r="Y49" s="690"/>
      <c r="Z49" s="690"/>
      <c r="AA49" s="690"/>
      <c r="AB49" s="690"/>
      <c r="AC49" s="690"/>
    </row>
    <row r="50" spans="1:29">
      <c r="A50" s="2720"/>
      <c r="B50" s="2720"/>
      <c r="C50" s="2720">
        <v>2004</v>
      </c>
      <c r="D50" s="2720"/>
      <c r="E50" s="2720">
        <v>2021</v>
      </c>
      <c r="F50" s="2720"/>
      <c r="G50" s="2724">
        <v>20.2</v>
      </c>
      <c r="H50" s="2720"/>
      <c r="I50" s="2720">
        <v>2019</v>
      </c>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0.16262581145952137</v>
      </c>
      <c r="F52" s="449" t="str">
        <f>IF(OR(E52&gt;=0.3,E52&lt;=-0.3),"超过30%","")</f>
        <v/>
      </c>
      <c r="G52" s="448">
        <f>IF(G47&lt;G48,G48/G47-1,G47/G48-1)</f>
        <v>0.16262901376146788</v>
      </c>
      <c r="H52" s="449" t="str">
        <f>IF(OR(G52&gt;=0.3,G52&lt;=-0.3),"超过30%","")</f>
        <v/>
      </c>
      <c r="I52" s="448">
        <f>IF(I47&lt;I48,I48/I47-1,I47/I48-1)</f>
        <v>0.13936873109377479</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0.15988149847094801</v>
      </c>
      <c r="F53" s="449" t="str">
        <f>IF(OR(E53&gt;=0.2,E53&lt;=-0.2),"超过20%","")</f>
        <v/>
      </c>
      <c r="G53" s="448">
        <f>IF(G48&lt;I48,I48/G48-1,G48/I48-1)</f>
        <v>0.20049694189602452</v>
      </c>
      <c r="H53" s="449" t="str">
        <f>IF(OR(G53&gt;=0.2,G53&lt;=-0.2),"超过20%","")</f>
        <v>超过20%</v>
      </c>
      <c r="I53" s="448">
        <f>IF(I48&lt;E48,E48/I48-1,I48/E48-1)</f>
        <v>3.5016890500123576E-2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0.15987830373665513</v>
      </c>
      <c r="F54" s="449" t="str">
        <f>IF(OR(E54&gt;=0.3,E54&lt;=-0.3),"超过30%","")</f>
        <v/>
      </c>
      <c r="G54" s="448">
        <f>IF(G47&lt;I47,I47/G47-1,G47/I47-1)</f>
        <v>0.17647904979142259</v>
      </c>
      <c r="H54" s="449" t="str">
        <f>IF(OR(G54&gt;=0.3,G54&lt;=-0.3),"超过30%","")</f>
        <v/>
      </c>
      <c r="I54" s="448">
        <f>IF(I47&lt;E47,E47/I47-1,I47/E47-1)</f>
        <v>1.4312489509706872E-2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3492">
        <f t="shared" ref="P58:AC58" si="17">EDATE(O58,-1)</f>
        <v>45108</v>
      </c>
      <c r="Q58" s="3492">
        <f t="shared" si="17"/>
        <v>45078</v>
      </c>
      <c r="R58" s="3492">
        <f t="shared" si="17"/>
        <v>45047</v>
      </c>
      <c r="S58" s="3492">
        <f t="shared" si="17"/>
        <v>45017</v>
      </c>
      <c r="T58" s="3492">
        <f t="shared" si="17"/>
        <v>44986</v>
      </c>
      <c r="U58" s="3492">
        <f t="shared" si="17"/>
        <v>44958</v>
      </c>
      <c r="V58" s="3492">
        <f t="shared" si="17"/>
        <v>44927</v>
      </c>
      <c r="W58" s="3492">
        <f t="shared" si="17"/>
        <v>44896</v>
      </c>
      <c r="X58" s="3492">
        <f t="shared" si="17"/>
        <v>44866</v>
      </c>
      <c r="Y58" s="3492">
        <f t="shared" si="17"/>
        <v>44835</v>
      </c>
      <c r="Z58" s="3492">
        <f t="shared" si="17"/>
        <v>44805</v>
      </c>
      <c r="AA58" s="3492">
        <f t="shared" si="17"/>
        <v>44774</v>
      </c>
      <c r="AB58" s="3492">
        <f t="shared" si="17"/>
        <v>44743</v>
      </c>
      <c r="AC58" s="3492">
        <f t="shared" si="17"/>
        <v>44713</v>
      </c>
    </row>
    <row r="59" spans="1:29" s="108" customFormat="1" ht="15">
      <c r="A59" s="458"/>
      <c r="B59" s="459"/>
      <c r="C59" s="1183">
        <v>100</v>
      </c>
      <c r="D59" s="461">
        <v>100</v>
      </c>
      <c r="E59" s="461">
        <v>100</v>
      </c>
      <c r="F59" s="461">
        <v>100</v>
      </c>
      <c r="G59" s="461">
        <v>100</v>
      </c>
      <c r="H59" s="461">
        <v>100</v>
      </c>
      <c r="I59" s="461">
        <v>100</v>
      </c>
      <c r="J59" s="461">
        <v>100</v>
      </c>
      <c r="K59" s="461">
        <v>100</v>
      </c>
      <c r="L59" s="461">
        <f>K59</f>
        <v>100</v>
      </c>
      <c r="M59" s="461">
        <f>L59</f>
        <v>100</v>
      </c>
      <c r="N59" s="461">
        <f t="shared" ref="N59:V59" si="18">M59</f>
        <v>100</v>
      </c>
      <c r="O59" s="461">
        <f t="shared" si="18"/>
        <v>100</v>
      </c>
      <c r="P59" s="461">
        <f t="shared" si="18"/>
        <v>100</v>
      </c>
      <c r="Q59" s="461">
        <f t="shared" si="18"/>
        <v>100</v>
      </c>
      <c r="R59" s="461">
        <f t="shared" si="18"/>
        <v>100</v>
      </c>
      <c r="S59" s="461">
        <f t="shared" si="18"/>
        <v>100</v>
      </c>
      <c r="T59" s="461">
        <f t="shared" si="18"/>
        <v>100</v>
      </c>
      <c r="U59" s="461">
        <f t="shared" si="18"/>
        <v>100</v>
      </c>
      <c r="V59" s="461">
        <f t="shared" si="18"/>
        <v>100</v>
      </c>
      <c r="W59" s="2656">
        <v>100</v>
      </c>
      <c r="X59" s="2656">
        <f>W59</f>
        <v>100</v>
      </c>
      <c r="Y59" s="2656">
        <f t="shared" ref="Y59:AC59" si="19">X59</f>
        <v>100</v>
      </c>
      <c r="Z59" s="2656">
        <f t="shared" si="19"/>
        <v>100</v>
      </c>
      <c r="AA59" s="2656">
        <f t="shared" si="19"/>
        <v>100</v>
      </c>
      <c r="AB59" s="2656">
        <f t="shared" si="19"/>
        <v>100</v>
      </c>
      <c r="AC59" s="2656">
        <f t="shared" si="19"/>
        <v>100</v>
      </c>
    </row>
    <row r="60" spans="1:29" s="108" customFormat="1" ht="15.75" thickBot="1">
      <c r="A60" s="464" t="s">
        <v>1716</v>
      </c>
      <c r="B60" s="465"/>
      <c r="C60" s="466"/>
      <c r="D60" s="467"/>
      <c r="E60" s="467"/>
      <c r="F60" s="467"/>
      <c r="G60" s="467"/>
      <c r="H60" s="467"/>
      <c r="I60" s="467"/>
      <c r="J60" s="467"/>
      <c r="K60" s="467"/>
      <c r="L60" s="467"/>
      <c r="M60" s="468"/>
      <c r="N60" s="467"/>
      <c r="O60" s="468"/>
      <c r="P60" s="2736"/>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4"/>
      <c r="R62" s="2656"/>
      <c r="S62" s="2656"/>
      <c r="T62" s="2656"/>
      <c r="U62" s="2656"/>
      <c r="V62" s="2656"/>
      <c r="W62" s="2656"/>
      <c r="X62" s="2656"/>
      <c r="Y62" s="2656"/>
      <c r="Z62" s="2656"/>
      <c r="AA62" s="2656"/>
      <c r="AB62" s="2656"/>
      <c r="AC62" s="2656"/>
    </row>
    <row r="63" spans="1:29">
      <c r="A63" s="476" t="s">
        <v>1719</v>
      </c>
      <c r="B63" s="477" t="s">
        <v>1685</v>
      </c>
      <c r="C63" s="478" t="str">
        <f>C9</f>
        <v>办公</v>
      </c>
      <c r="D63" s="3493" t="s">
        <v>4664</v>
      </c>
      <c r="E63" s="479"/>
      <c r="F63" s="479"/>
      <c r="G63" s="479"/>
      <c r="H63" s="479"/>
      <c r="I63" s="479"/>
      <c r="J63" s="479"/>
      <c r="K63" s="480"/>
      <c r="L63" s="481"/>
      <c r="M63" s="482"/>
      <c r="N63" s="2747"/>
      <c r="O63" s="2747"/>
      <c r="P63" s="2738"/>
      <c r="Q63" s="2734"/>
      <c r="R63" s="2720"/>
      <c r="S63" s="2720"/>
      <c r="T63" s="2720"/>
      <c r="U63" s="2720"/>
      <c r="V63" s="2720"/>
      <c r="W63" s="2720"/>
      <c r="X63" s="2720"/>
      <c r="Y63" s="2720"/>
      <c r="Z63" s="2720"/>
      <c r="AA63" s="2720"/>
      <c r="AB63" s="2720"/>
      <c r="AC63" s="2720"/>
    </row>
    <row r="64" spans="1:29" ht="15.75" thickBot="1">
      <c r="A64" s="483"/>
      <c r="B64" s="484"/>
      <c r="C64" s="485">
        <v>100</v>
      </c>
      <c r="D64" s="485">
        <v>98</v>
      </c>
      <c r="E64" s="485"/>
      <c r="F64" s="485"/>
      <c r="G64" s="485"/>
      <c r="H64" s="485"/>
      <c r="I64" s="485"/>
      <c r="J64" s="485"/>
      <c r="K64" s="485"/>
      <c r="L64" s="485"/>
      <c r="M64" s="486"/>
      <c r="N64" s="2748"/>
      <c r="O64" s="2748"/>
      <c r="P64" s="2738"/>
      <c r="Q64" s="2734"/>
      <c r="R64" s="2720"/>
      <c r="S64" s="2720"/>
      <c r="T64" s="2720"/>
      <c r="U64" s="2720"/>
      <c r="V64" s="2720"/>
      <c r="W64" s="2720"/>
      <c r="X64" s="2720"/>
      <c r="Y64" s="2720"/>
      <c r="Z64" s="2720"/>
      <c r="AA64" s="2720"/>
      <c r="AB64" s="2720"/>
      <c r="AC64" s="2720"/>
    </row>
    <row r="65" spans="1:29" ht="27.75" thickTop="1">
      <c r="A65" s="483"/>
      <c r="B65" s="487" t="s">
        <v>1688</v>
      </c>
      <c r="C65" s="532" t="s">
        <v>4661</v>
      </c>
      <c r="D65" s="532" t="s">
        <v>4662</v>
      </c>
      <c r="E65" s="532" t="s">
        <v>4663</v>
      </c>
      <c r="F65" s="532"/>
      <c r="G65" s="532"/>
      <c r="H65" s="532"/>
      <c r="I65" s="532"/>
      <c r="J65" s="532"/>
      <c r="K65" s="533"/>
      <c r="L65" s="534"/>
      <c r="M65" s="535"/>
      <c r="N65" s="2747"/>
      <c r="O65" s="2747"/>
      <c r="P65" s="2738"/>
      <c r="Q65" s="2734"/>
      <c r="R65" s="2720"/>
      <c r="S65" s="2720"/>
      <c r="T65" s="2720"/>
      <c r="U65" s="2720"/>
      <c r="V65" s="2720"/>
      <c r="W65" s="2720"/>
      <c r="X65" s="2720"/>
      <c r="Y65" s="2720"/>
      <c r="Z65" s="2720"/>
      <c r="AA65" s="2720"/>
      <c r="AB65" s="2720"/>
      <c r="AC65" s="2720"/>
    </row>
    <row r="66" spans="1:29" ht="15.75" thickBot="1">
      <c r="A66" s="483"/>
      <c r="B66" s="492"/>
      <c r="C66" s="485">
        <v>100</v>
      </c>
      <c r="D66" s="485">
        <f>C66-2</f>
        <v>98</v>
      </c>
      <c r="E66" s="485">
        <f>D66-2</f>
        <v>96</v>
      </c>
      <c r="F66" s="485"/>
      <c r="G66" s="485"/>
      <c r="H66" s="485"/>
      <c r="I66" s="485"/>
      <c r="J66" s="485"/>
      <c r="K66" s="485"/>
      <c r="L66" s="485"/>
      <c r="M66" s="486"/>
      <c r="N66" s="2748"/>
      <c r="O66" s="2748"/>
      <c r="P66" s="2738"/>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 t="shared" si="20"/>
        <v>（含）-</v>
      </c>
      <c r="L67" s="496" t="str">
        <f t="shared" si="20"/>
        <v>（含）-</v>
      </c>
      <c r="M67" s="399" t="str">
        <f>M68&amp;"（含）"&amp;"-"&amp;P68</f>
        <v>（含）-</v>
      </c>
      <c r="N67" s="2748"/>
      <c r="O67" s="2748"/>
      <c r="P67" s="2738"/>
      <c r="Q67" s="2734"/>
      <c r="R67" s="2720"/>
      <c r="S67" s="2720"/>
      <c r="T67" s="2720"/>
      <c r="U67" s="2720"/>
      <c r="V67" s="2720"/>
      <c r="W67" s="2720"/>
      <c r="X67" s="2720"/>
      <c r="Y67" s="2720"/>
      <c r="Z67" s="2720"/>
      <c r="AA67" s="2720"/>
      <c r="AB67" s="2720"/>
      <c r="AC67" s="2720"/>
    </row>
    <row r="68" spans="1:29" ht="15">
      <c r="A68" s="483"/>
      <c r="B68" s="497"/>
      <c r="C68" s="498">
        <v>0</v>
      </c>
      <c r="D68" s="498">
        <v>5</v>
      </c>
      <c r="E68" s="498"/>
      <c r="F68" s="498"/>
      <c r="G68" s="498"/>
      <c r="H68" s="498"/>
      <c r="I68" s="498"/>
      <c r="J68" s="498"/>
      <c r="K68" s="499"/>
      <c r="L68" s="500"/>
      <c r="M68" s="501"/>
      <c r="N68" s="2747"/>
      <c r="O68" s="2747"/>
      <c r="P68" s="2738"/>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48"/>
      <c r="O69" s="2748"/>
      <c r="P69" s="2738"/>
      <c r="Q69" s="2734"/>
      <c r="R69" s="2720"/>
      <c r="S69" s="2720"/>
      <c r="T69" s="2720"/>
      <c r="U69" s="2720"/>
      <c r="V69" s="2720"/>
      <c r="W69" s="2720"/>
      <c r="X69" s="2720"/>
      <c r="Y69" s="2720"/>
      <c r="Z69" s="2720"/>
      <c r="AA69" s="2720"/>
      <c r="AB69" s="2720"/>
      <c r="AC69" s="2720"/>
    </row>
    <row r="70" spans="1:29" s="422" customFormat="1" ht="15.75" thickTop="1">
      <c r="A70" s="502"/>
      <c r="B70" s="487" t="str">
        <f>B12</f>
        <v>现状用途</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2">D83-$K21</f>
        <v>98</v>
      </c>
      <c r="F83" s="493">
        <f t="shared" si="22"/>
        <v>97</v>
      </c>
      <c r="G83" s="493">
        <f t="shared" si="22"/>
        <v>96</v>
      </c>
      <c r="H83" s="608"/>
      <c r="I83" s="608"/>
      <c r="J83" s="608"/>
      <c r="K83" s="608"/>
      <c r="L83" s="608"/>
      <c r="M83" s="401"/>
      <c r="N83" s="2748"/>
      <c r="O83" s="2748"/>
      <c r="P83" s="2738"/>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6"/>
      <c r="O86" s="2746"/>
      <c r="P86" s="2738"/>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3">C87-$K25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2748"/>
      <c r="O87" s="2748"/>
      <c r="P87" s="2738"/>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8"/>
      <c r="O93" s="2748"/>
      <c r="P93" s="2738"/>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7"/>
      <c r="O94" s="2747"/>
      <c r="P94" s="2738"/>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8"/>
      <c r="O95" s="2748"/>
      <c r="P95" s="2738"/>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7"/>
      <c r="O96" s="2747"/>
      <c r="P96" s="2738"/>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8"/>
      <c r="O97" s="2748"/>
      <c r="P97" s="2738"/>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7"/>
      <c r="O98" s="2747"/>
      <c r="P98" s="2738"/>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8"/>
      <c r="O99" s="2748"/>
      <c r="P99" s="2738"/>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7"/>
      <c r="O100" s="2747"/>
      <c r="P100" s="2738"/>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4">
        <f t="shared" si="25"/>
        <v>100</v>
      </c>
      <c r="N101" s="2748"/>
      <c r="O101" s="2748"/>
      <c r="P101" s="2738"/>
      <c r="Q101" s="2734"/>
      <c r="R101" s="2720"/>
      <c r="S101" s="2720"/>
      <c r="T101" s="2720"/>
      <c r="U101" s="2720"/>
      <c r="V101" s="2720"/>
      <c r="W101" s="2720"/>
      <c r="X101" s="2720"/>
      <c r="Y101" s="2720"/>
      <c r="Z101" s="2720"/>
      <c r="AA101" s="2720"/>
      <c r="AB101" s="2720"/>
      <c r="AC101" s="2720"/>
    </row>
    <row r="102" spans="1:29" ht="29.25" thickTop="1">
      <c r="A102" s="483"/>
      <c r="B102" s="487" t="s">
        <v>1737</v>
      </c>
      <c r="C102" s="527" t="str">
        <f>C103&amp;"(含)"&amp;"-"&amp;D103</f>
        <v>0(含)-10000</v>
      </c>
      <c r="D102" s="527" t="str">
        <f t="shared" ref="D102:L102" si="26">D103&amp;"(含)"&amp;"-"&amp;E103</f>
        <v>10000(含)-50000</v>
      </c>
      <c r="E102" s="527" t="str">
        <f t="shared" si="26"/>
        <v>50000(含)-100000</v>
      </c>
      <c r="F102" s="527" t="str">
        <f t="shared" si="26"/>
        <v>100000(含)-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46"/>
      <c r="O102" s="2746"/>
      <c r="P102" s="2738"/>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10000</v>
      </c>
      <c r="E103" s="544">
        <v>50000</v>
      </c>
      <c r="F103" s="544">
        <v>100000</v>
      </c>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102</v>
      </c>
      <c r="E104" s="485">
        <f>D104+2</f>
        <v>104</v>
      </c>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496" t="s">
        <v>4666</v>
      </c>
      <c r="D105" s="503"/>
      <c r="E105" s="532"/>
      <c r="F105" s="532"/>
      <c r="G105" s="532"/>
      <c r="H105" s="532"/>
      <c r="I105" s="532"/>
      <c r="J105" s="532"/>
      <c r="K105" s="533"/>
      <c r="L105" s="534"/>
      <c r="M105" s="535"/>
      <c r="N105" s="2747"/>
      <c r="O105" s="2747"/>
      <c r="P105" s="2738"/>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8"/>
      <c r="O106" s="2748"/>
      <c r="P106" s="2738"/>
      <c r="Q106" s="2734"/>
      <c r="R106" s="2720"/>
      <c r="S106" s="2720"/>
      <c r="T106" s="2720"/>
      <c r="U106" s="2720"/>
      <c r="V106" s="2720"/>
      <c r="W106" s="2720"/>
      <c r="X106" s="2720"/>
      <c r="Y106" s="2720"/>
      <c r="Z106" s="2720"/>
      <c r="AA106" s="2720"/>
      <c r="AB106" s="2720"/>
      <c r="AC106" s="2720"/>
    </row>
    <row r="107" spans="1:29" ht="15" thickTop="1">
      <c r="A107" s="548"/>
      <c r="B107" s="487" t="s">
        <v>1740</v>
      </c>
      <c r="C107" s="3496" t="s">
        <v>4668</v>
      </c>
      <c r="D107" s="3496" t="s">
        <v>4669</v>
      </c>
      <c r="E107" s="3496" t="s">
        <v>4670</v>
      </c>
      <c r="F107" s="3497" t="s">
        <v>4672</v>
      </c>
      <c r="G107" s="532"/>
      <c r="H107" s="532"/>
      <c r="I107" s="532"/>
      <c r="J107" s="532"/>
      <c r="K107" s="533"/>
      <c r="L107" s="534"/>
      <c r="M107" s="535"/>
      <c r="N107" s="2747"/>
      <c r="O107" s="2747"/>
      <c r="P107" s="2738"/>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8"/>
      <c r="O108" s="2748"/>
      <c r="P108" s="2738"/>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8"/>
      <c r="O111" s="2748"/>
      <c r="P111" s="2738"/>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48"/>
      <c r="O115" s="2748"/>
      <c r="P115" s="2738"/>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7"/>
      <c r="O116" s="2747"/>
      <c r="P116" s="2738"/>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7"/>
      <c r="O118" s="2747"/>
      <c r="P118" s="2738"/>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8"/>
      <c r="O119" s="2748"/>
      <c r="P119" s="2738"/>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496" t="s">
        <v>4673</v>
      </c>
      <c r="D122" s="503"/>
      <c r="E122" s="503"/>
      <c r="F122" s="532"/>
      <c r="G122" s="532"/>
      <c r="H122" s="532"/>
      <c r="I122" s="532"/>
      <c r="J122" s="532"/>
      <c r="K122" s="533"/>
      <c r="L122" s="534"/>
      <c r="M122" s="535"/>
      <c r="N122" s="2747"/>
      <c r="O122" s="2747"/>
      <c r="P122" s="2738"/>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8"/>
      <c r="O123" s="2748"/>
      <c r="P123" s="2738"/>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4"/>
      <c r="R125" s="2720"/>
      <c r="S125" s="2720"/>
      <c r="T125" s="2720"/>
      <c r="U125" s="2720"/>
      <c r="V125" s="2720"/>
      <c r="W125" s="2720"/>
      <c r="X125" s="2720"/>
      <c r="Y125" s="2720"/>
      <c r="Z125" s="2720"/>
      <c r="AA125" s="2720"/>
      <c r="AB125" s="2720"/>
      <c r="AC125" s="2720"/>
    </row>
    <row r="126" spans="1:29" s="422" customFormat="1" ht="15" thickTop="1">
      <c r="A126" s="542"/>
      <c r="B126" s="487" t="str">
        <f>B44</f>
        <v>地下占比</v>
      </c>
      <c r="C126" s="3499">
        <v>0</v>
      </c>
      <c r="D126" s="503" t="s">
        <v>4676</v>
      </c>
      <c r="E126" s="503" t="s">
        <v>4677</v>
      </c>
      <c r="F126" s="503" t="s">
        <v>4678</v>
      </c>
      <c r="G126" s="503" t="s">
        <v>4679</v>
      </c>
      <c r="H126" s="504" t="s">
        <v>4680</v>
      </c>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v>100</v>
      </c>
      <c r="D127" s="485">
        <f>C127-4</f>
        <v>96</v>
      </c>
      <c r="E127" s="485">
        <f t="shared" ref="E127:H127" si="34">D127-4</f>
        <v>92</v>
      </c>
      <c r="F127" s="485">
        <f t="shared" si="34"/>
        <v>88</v>
      </c>
      <c r="G127" s="485">
        <f t="shared" si="34"/>
        <v>84</v>
      </c>
      <c r="H127" s="485">
        <f t="shared" si="34"/>
        <v>80</v>
      </c>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8"/>
      <c r="O129" s="2748"/>
      <c r="P129" s="2738"/>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7"/>
      <c r="O130" s="2747"/>
      <c r="P130" s="2738"/>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8"/>
      <c r="O131" s="2748"/>
      <c r="P131" s="2738"/>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3331</v>
      </c>
      <c r="D1" s="1362" t="s">
        <v>43</v>
      </c>
      <c r="E1" s="1363" t="s">
        <v>678</v>
      </c>
      <c r="F1" s="1062" t="e">
        <f ca="1">J53</f>
        <v>#N/A</v>
      </c>
      <c r="G1" s="1378" t="e">
        <f>MATCH(C1,'数据-取费表'!A6:A16,0)+5</f>
        <v>#N/A</v>
      </c>
      <c r="H1" s="2687" t="e">
        <f ca="1">B2/F7</f>
        <v>#N/A</v>
      </c>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5" t="s">
        <v>694</v>
      </c>
      <c r="C6" s="1074" t="e">
        <f ca="1">ROUND(F6*F8*F7*(1-F9)/10000,0)</f>
        <v>#N/A</v>
      </c>
      <c r="D6" s="155" t="s">
        <v>2109</v>
      </c>
      <c r="E6" s="302" t="s">
        <v>696</v>
      </c>
      <c r="F6" s="303" t="e">
        <f ca="1">INDIRECT("'数据-取费表'!u"&amp;$G$1)</f>
        <v>#N/A</v>
      </c>
      <c r="G6" s="1384"/>
      <c r="H6" s="1069" t="s">
        <v>398</v>
      </c>
      <c r="I6" s="3695" t="s">
        <v>694</v>
      </c>
      <c r="J6" s="301" t="e">
        <f ca="1">ROUND(M6*M8*M7*(1-M9)/10000,0)</f>
        <v>#N/A</v>
      </c>
      <c r="K6" s="155" t="s">
        <v>2108</v>
      </c>
      <c r="L6" s="302" t="s">
        <v>696</v>
      </c>
      <c r="M6" s="303" t="e">
        <f ca="1">INDIRECT("'数据-取费表'!z"&amp;$G$1)</f>
        <v>#N/A</v>
      </c>
    </row>
    <row r="7" spans="1:37" ht="18" customHeight="1">
      <c r="A7" s="1073"/>
      <c r="B7" s="3696"/>
      <c r="C7" s="1075"/>
      <c r="D7" s="307"/>
      <c r="E7" s="3446" t="s">
        <v>697</v>
      </c>
      <c r="F7" s="303" t="e">
        <f ca="1">IF(INDIRECT("'数据-取费表'!ah"&amp;$G$1)="",INDIRECT("'数据-取费表'!k"&amp;$G$1),INDIRECT("'数据-取费表'!ah"&amp;$G$1))</f>
        <v>#N/A</v>
      </c>
      <c r="G7" s="1384"/>
      <c r="H7" s="304"/>
      <c r="I7" s="3696"/>
      <c r="J7" s="306"/>
      <c r="K7" s="307"/>
      <c r="L7" s="302" t="s">
        <v>697</v>
      </c>
      <c r="M7" s="303" t="e">
        <f ca="1">F7</f>
        <v>#N/A</v>
      </c>
    </row>
    <row r="8" spans="1:37" ht="18" customHeight="1">
      <c r="A8" s="304"/>
      <c r="B8" s="3696"/>
      <c r="C8" s="306"/>
      <c r="D8" s="307"/>
      <c r="E8" s="302" t="s">
        <v>698</v>
      </c>
      <c r="F8" s="303" t="e">
        <f ca="1">INDIRECT("'数据-取费表'!ai"&amp;$G$1)</f>
        <v>#N/A</v>
      </c>
      <c r="G8" s="1384"/>
      <c r="H8" s="304"/>
      <c r="I8" s="3696"/>
      <c r="J8" s="306"/>
      <c r="K8" s="307"/>
      <c r="L8" s="302" t="s">
        <v>698</v>
      </c>
      <c r="M8" s="303" t="e">
        <f ca="1">INDIRECT("'数据-取费表'!ai"&amp;$G$1)</f>
        <v>#N/A</v>
      </c>
    </row>
    <row r="9" spans="1:37" ht="18" customHeight="1">
      <c r="A9" s="304"/>
      <c r="B9" s="3697"/>
      <c r="C9" s="306"/>
      <c r="D9" s="307"/>
      <c r="E9" s="302" t="s">
        <v>699</v>
      </c>
      <c r="F9" s="312" t="e">
        <f ca="1">INDIRECT("'数据-取费表'!w"&amp;$G$1)</f>
        <v>#N/A</v>
      </c>
      <c r="G9" s="1384"/>
      <c r="H9" s="304"/>
      <c r="I9" s="369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43" t="s">
        <v>705</v>
      </c>
      <c r="E13" s="3443"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49" t="s">
        <v>708</v>
      </c>
      <c r="E14" s="3448"/>
      <c r="F14" s="319"/>
      <c r="G14" s="1384"/>
      <c r="H14" s="982" t="s">
        <v>398</v>
      </c>
      <c r="I14" s="302" t="s">
        <v>709</v>
      </c>
      <c r="J14" s="21" t="e">
        <f ca="1">C29</f>
        <v>#N/A</v>
      </c>
      <c r="K14" s="3445"/>
      <c r="L14" s="807"/>
      <c r="M14" s="808"/>
    </row>
    <row r="15" spans="1:37" s="1397" customFormat="1" ht="18" customHeight="1" thickBot="1">
      <c r="A15" s="982" t="s">
        <v>399</v>
      </c>
      <c r="B15" s="302" t="s">
        <v>710</v>
      </c>
      <c r="C15" s="21" t="e">
        <f ca="1">ROUND(C14*F15,0)</f>
        <v>#N/A</v>
      </c>
      <c r="D15" s="3444" t="s">
        <v>711</v>
      </c>
      <c r="E15" s="3444" t="s">
        <v>712</v>
      </c>
      <c r="F15" s="321">
        <f>'数据-取费表'!B33</f>
        <v>0.06</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1"/>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49" t="s">
        <v>720</v>
      </c>
      <c r="L17" s="3450"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5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53"/>
      <c r="F19" s="23"/>
      <c r="G19" s="1384"/>
      <c r="H19" s="982" t="s">
        <v>399</v>
      </c>
      <c r="I19" s="302" t="s">
        <v>727</v>
      </c>
      <c r="J19" s="21" t="e">
        <f ca="1">IF(K19="按租金收入计税",ROUND(J6*M19/(1+'数据-取费表'!C42),2),ROUND(C29*M19*0.7,2))</f>
        <v>#N/A</v>
      </c>
      <c r="K19" s="1370" t="s">
        <v>3333</v>
      </c>
      <c r="L19" s="302" t="s">
        <v>712</v>
      </c>
      <c r="M19" s="322">
        <f>IF(K19="按租金收入计税",'数据-取费表'!B51,'数据-取费表'!B50)</f>
        <v>0.12</v>
      </c>
    </row>
    <row r="20" spans="1:37" s="1397" customFormat="1" ht="18" customHeight="1">
      <c r="A20" s="982" t="s">
        <v>402</v>
      </c>
      <c r="B20" s="302" t="s">
        <v>728</v>
      </c>
      <c r="C20" s="21" t="e">
        <f ca="1">ROUND(C19*F20,0)</f>
        <v>#N/A</v>
      </c>
      <c r="D20" s="2425" t="s">
        <v>729</v>
      </c>
      <c r="E20" s="302" t="s">
        <v>712</v>
      </c>
      <c r="F20" s="322">
        <f>'数据-取费表'!B37</f>
        <v>0.03</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3"/>
      <c r="F22" s="23"/>
      <c r="G22" s="1384"/>
      <c r="H22" s="982" t="s">
        <v>402</v>
      </c>
      <c r="I22" s="302" t="s">
        <v>738</v>
      </c>
      <c r="J22" s="21" t="e">
        <f ca="1">ROUND(J14*M22,2)</f>
        <v>#N/A</v>
      </c>
      <c r="K22" s="3450"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0"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3"/>
      <c r="F25" s="23"/>
      <c r="G25" s="1384"/>
      <c r="H25" s="1079" t="s">
        <v>394</v>
      </c>
      <c r="I25" s="1094" t="s">
        <v>752</v>
      </c>
      <c r="J25" s="310" t="e">
        <f ca="1">J5-J16</f>
        <v>#N/A</v>
      </c>
      <c r="K25" s="1095" t="s">
        <v>753</v>
      </c>
      <c r="L25" s="1096"/>
      <c r="M25" s="1097"/>
    </row>
    <row r="26" spans="1:37">
      <c r="A26" s="982" t="s">
        <v>397</v>
      </c>
      <c r="B26" s="302" t="s">
        <v>754</v>
      </c>
      <c r="C26" s="21" t="e">
        <f ca="1">ROUND((C19+C20)*F26,0)</f>
        <v>#N/A</v>
      </c>
      <c r="D26" s="2425"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5" t="s">
        <v>761</v>
      </c>
      <c r="E27" s="3444"/>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1"/>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3449" t="s">
        <v>720</v>
      </c>
      <c r="E31" s="3450"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t="e">
        <f ca="1">IF(项目基本情况!B11="自然人","——",ROUND(C6*F32/(1+'数据-取费表'!C42),2))</f>
        <v>#N/A</v>
      </c>
      <c r="D32" s="3450"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3450"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3450"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52" t="e">
        <f ca="1">C49+C53+C55</f>
        <v>#N/A</v>
      </c>
      <c r="D48" s="1112"/>
      <c r="E48" s="1113"/>
      <c r="F48" s="962"/>
      <c r="G48" s="722"/>
      <c r="H48" s="723"/>
      <c r="I48" s="1421" t="s">
        <v>819</v>
      </c>
      <c r="J48" s="1422" t="s">
        <v>3455</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f>'数据-取费表'!N17</f>
        <v>2004</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98" t="s">
        <v>837</v>
      </c>
      <c r="L53" s="3699"/>
      <c r="O53" s="1418" t="s">
        <v>409</v>
      </c>
      <c r="P53" s="1419" t="s">
        <v>838</v>
      </c>
      <c r="Q53" s="1420" t="e">
        <f ca="1">Q47+Q48</f>
        <v>#N/A</v>
      </c>
      <c r="R53" s="1420" t="s">
        <v>410</v>
      </c>
    </row>
    <row r="54" spans="1:18" s="1384" customFormat="1" ht="13.5" thickBot="1">
      <c r="A54" s="1153"/>
      <c r="B54" s="1367" t="s">
        <v>679</v>
      </c>
      <c r="C54" s="959"/>
      <c r="D54" s="1366"/>
      <c r="E54" s="3447"/>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47"/>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3420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838</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817</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45192.95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9" t="s">
        <v>1770</v>
      </c>
      <c r="D4" s="3740"/>
      <c r="E4" s="3741" t="s">
        <v>1771</v>
      </c>
      <c r="F4" s="3742"/>
      <c r="G4" s="3739" t="s">
        <v>1772</v>
      </c>
      <c r="H4" s="3740"/>
      <c r="I4" s="3739" t="s">
        <v>1773</v>
      </c>
      <c r="J4" s="3740"/>
      <c r="K4" s="559" t="s">
        <v>1774</v>
      </c>
      <c r="L4" s="913"/>
      <c r="M4" s="914"/>
      <c r="N4" s="914"/>
      <c r="O4" s="914"/>
      <c r="P4" s="3743" t="s">
        <v>1775</v>
      </c>
      <c r="Q4" s="3744"/>
      <c r="R4" s="3749" t="s">
        <v>1771</v>
      </c>
      <c r="S4" s="3750"/>
      <c r="T4" s="3749" t="s">
        <v>1772</v>
      </c>
      <c r="U4" s="3750"/>
      <c r="V4" s="3755" t="s">
        <v>1773</v>
      </c>
      <c r="W4" s="3755"/>
      <c r="X4" s="1355"/>
      <c r="Y4" s="3749" t="s">
        <v>1775</v>
      </c>
      <c r="Z4" s="3750"/>
      <c r="AA4" s="3736" t="s">
        <v>1771</v>
      </c>
      <c r="AB4" s="3737" t="s">
        <v>1772</v>
      </c>
      <c r="AC4" s="3736" t="s">
        <v>1773</v>
      </c>
    </row>
    <row r="5" spans="1:29" ht="15">
      <c r="A5" s="358"/>
      <c r="B5" s="359"/>
      <c r="C5" s="3758" t="s">
        <v>1673</v>
      </c>
      <c r="D5" s="3759"/>
      <c r="E5" s="3765" t="s">
        <v>1674</v>
      </c>
      <c r="F5" s="3766"/>
      <c r="G5" s="3758" t="s">
        <v>1675</v>
      </c>
      <c r="H5" s="3759"/>
      <c r="I5" s="3758" t="s">
        <v>1676</v>
      </c>
      <c r="J5" s="3759"/>
      <c r="K5" s="559"/>
      <c r="L5" s="913"/>
      <c r="M5" s="914"/>
      <c r="N5" s="914"/>
      <c r="O5" s="914"/>
      <c r="P5" s="3745"/>
      <c r="Q5" s="3746"/>
      <c r="R5" s="3751"/>
      <c r="S5" s="3752"/>
      <c r="T5" s="3751"/>
      <c r="U5" s="3752"/>
      <c r="V5" s="3755"/>
      <c r="W5" s="3755"/>
      <c r="X5" s="1355"/>
      <c r="Y5" s="3751"/>
      <c r="Z5" s="3752"/>
      <c r="AA5" s="3737"/>
      <c r="AB5" s="3737"/>
      <c r="AC5" s="3737"/>
    </row>
    <row r="6" spans="1:29" ht="15.75" thickBot="1">
      <c r="A6" s="360"/>
      <c r="B6" s="361"/>
      <c r="C6" s="3756" t="s">
        <v>1677</v>
      </c>
      <c r="D6" s="3757"/>
      <c r="E6" s="3763" t="s">
        <v>1677</v>
      </c>
      <c r="F6" s="3764"/>
      <c r="G6" s="3756" t="s">
        <v>1677</v>
      </c>
      <c r="H6" s="3757"/>
      <c r="I6" s="3756" t="s">
        <v>1677</v>
      </c>
      <c r="J6" s="3757"/>
      <c r="K6" s="559" t="s">
        <v>1678</v>
      </c>
      <c r="L6" s="913"/>
      <c r="M6" s="914"/>
      <c r="N6" s="914"/>
      <c r="O6" s="914"/>
      <c r="P6" s="3747"/>
      <c r="Q6" s="3748"/>
      <c r="R6" s="3751"/>
      <c r="S6" s="3752"/>
      <c r="T6" s="3753"/>
      <c r="U6" s="3754"/>
      <c r="V6" s="3755"/>
      <c r="W6" s="3755"/>
      <c r="X6" s="1355"/>
      <c r="Y6" s="3753"/>
      <c r="Z6" s="3754"/>
      <c r="AA6" s="3738"/>
      <c r="AB6" s="3738"/>
      <c r="AC6" s="3738"/>
    </row>
    <row r="7" spans="1:29" s="108" customFormat="1" ht="15.75" thickBot="1">
      <c r="A7" s="362" t="s">
        <v>1679</v>
      </c>
      <c r="B7" s="363"/>
      <c r="C7" s="364">
        <f>'数据-取费表'!B2</f>
        <v>45531</v>
      </c>
      <c r="D7" s="365">
        <v>100</v>
      </c>
      <c r="E7" s="366"/>
      <c r="F7" s="367">
        <f>SUMIF(52:52,YEAR(E7)&amp;"-"&amp;MONTH(E7),53:53)</f>
        <v>0</v>
      </c>
      <c r="G7" s="366"/>
      <c r="H7" s="365">
        <f>SUMIF(52:52,YEAR(G7)&amp;"-"&amp;MONTH(G7),53:53)</f>
        <v>0</v>
      </c>
      <c r="I7" s="366"/>
      <c r="J7" s="365">
        <f>SUMIF(52:52,YEAR(I7)&amp;"-"&amp;MONTH(I7),53:53)</f>
        <v>0</v>
      </c>
      <c r="K7" s="560"/>
      <c r="L7" s="915"/>
      <c r="M7" s="916"/>
      <c r="N7" s="916"/>
      <c r="O7" s="916"/>
      <c r="P7" s="3760" t="s">
        <v>1680</v>
      </c>
      <c r="Q7" s="3762"/>
      <c r="R7" s="701" t="s">
        <v>14</v>
      </c>
      <c r="S7" s="702">
        <f t="shared" ref="S7:S15" si="0">F7</f>
        <v>0</v>
      </c>
      <c r="T7" s="701" t="s">
        <v>14</v>
      </c>
      <c r="U7" s="702">
        <f t="shared" ref="U7:U15" si="1">H7</f>
        <v>0</v>
      </c>
      <c r="V7" s="701" t="s">
        <v>14</v>
      </c>
      <c r="W7" s="702">
        <f t="shared" ref="W7:W15" si="2">J7</f>
        <v>0</v>
      </c>
      <c r="X7" s="703"/>
      <c r="Y7" s="3760" t="s">
        <v>1680</v>
      </c>
      <c r="Z7" s="37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0" t="s">
        <v>1683</v>
      </c>
      <c r="Q8" s="3761"/>
      <c r="R8" s="701" t="s">
        <v>14</v>
      </c>
      <c r="S8" s="702">
        <f t="shared" si="0"/>
        <v>100</v>
      </c>
      <c r="T8" s="701" t="s">
        <v>14</v>
      </c>
      <c r="U8" s="702">
        <f t="shared" si="1"/>
        <v>100</v>
      </c>
      <c r="V8" s="701" t="s">
        <v>14</v>
      </c>
      <c r="W8" s="702">
        <f t="shared" si="2"/>
        <v>100</v>
      </c>
      <c r="X8" s="703"/>
      <c r="Y8" s="3760" t="s">
        <v>1683</v>
      </c>
      <c r="Z8" s="37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1686</v>
      </c>
      <c r="Q9" s="1343"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24"/>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4"/>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4"/>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4"/>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1691</v>
      </c>
      <c r="Q15" s="1352" t="str">
        <f t="shared" si="6"/>
        <v>产业集聚程度</v>
      </c>
      <c r="R15" s="705" t="s">
        <v>14</v>
      </c>
      <c r="S15" s="706">
        <f t="shared" si="0"/>
        <v>100</v>
      </c>
      <c r="T15" s="705" t="s">
        <v>14</v>
      </c>
      <c r="U15" s="706">
        <f t="shared" si="1"/>
        <v>100</v>
      </c>
      <c r="V15" s="705" t="s">
        <v>14</v>
      </c>
      <c r="W15" s="706">
        <f t="shared" si="2"/>
        <v>100</v>
      </c>
      <c r="X15" s="1355"/>
      <c r="Y15" s="372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7"/>
      <c r="Q16" s="1352"/>
      <c r="R16" s="705"/>
      <c r="S16" s="706"/>
      <c r="T16" s="705"/>
      <c r="U16" s="706"/>
      <c r="V16" s="705"/>
      <c r="W16" s="706"/>
      <c r="X16" s="1355"/>
      <c r="Y16" s="372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7"/>
      <c r="Q18" s="1352"/>
      <c r="R18" s="705"/>
      <c r="S18" s="706"/>
      <c r="T18" s="705"/>
      <c r="U18" s="706"/>
      <c r="V18" s="705"/>
      <c r="W18" s="706"/>
      <c r="X18" s="1355"/>
      <c r="Y18" s="372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7"/>
      <c r="Q20" s="1352"/>
      <c r="R20" s="705"/>
      <c r="S20" s="706"/>
      <c r="T20" s="705"/>
      <c r="U20" s="706"/>
      <c r="V20" s="705"/>
      <c r="W20" s="706"/>
      <c r="X20" s="1355"/>
      <c r="Y20" s="372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7"/>
      <c r="Q22" s="1352"/>
      <c r="R22" s="705"/>
      <c r="S22" s="706"/>
      <c r="T22" s="705"/>
      <c r="U22" s="706"/>
      <c r="V22" s="705"/>
      <c r="W22" s="706"/>
      <c r="X22" s="1355"/>
      <c r="Y22" s="372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7"/>
      <c r="Q24" s="1352"/>
      <c r="R24" s="705"/>
      <c r="S24" s="706"/>
      <c r="T24" s="705"/>
      <c r="U24" s="706"/>
      <c r="V24" s="705"/>
      <c r="W24" s="706"/>
      <c r="X24" s="1355"/>
      <c r="Y24" s="37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2">
        <f>B25</f>
        <v>111</v>
      </c>
      <c r="R25" s="705" t="s">
        <v>14</v>
      </c>
      <c r="S25" s="706">
        <f>F25</f>
        <v>100</v>
      </c>
      <c r="T25" s="705" t="s">
        <v>14</v>
      </c>
      <c r="U25" s="706">
        <f>H25</f>
        <v>100</v>
      </c>
      <c r="V25" s="705" t="s">
        <v>14</v>
      </c>
      <c r="W25" s="706">
        <f>J25</f>
        <v>100</v>
      </c>
      <c r="X25" s="1355"/>
      <c r="Y25" s="37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2">
        <f t="shared" ref="Q26:Q40" si="11">B26</f>
        <v>111</v>
      </c>
      <c r="R26" s="705" t="s">
        <v>14</v>
      </c>
      <c r="S26" s="706">
        <f>F26</f>
        <v>100</v>
      </c>
      <c r="T26" s="705" t="s">
        <v>14</v>
      </c>
      <c r="U26" s="706">
        <f>H26</f>
        <v>100</v>
      </c>
      <c r="V26" s="705" t="s">
        <v>14</v>
      </c>
      <c r="W26" s="706">
        <f>J26</f>
        <v>100</v>
      </c>
      <c r="X26" s="1355"/>
      <c r="Y26" s="37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3">
        <f t="shared" si="11"/>
        <v>111</v>
      </c>
      <c r="R27" s="701" t="s">
        <v>14</v>
      </c>
      <c r="S27" s="702">
        <f>F27</f>
        <v>100</v>
      </c>
      <c r="T27" s="701" t="s">
        <v>14</v>
      </c>
      <c r="U27" s="702">
        <f>H27</f>
        <v>100</v>
      </c>
      <c r="V27" s="701" t="s">
        <v>14</v>
      </c>
      <c r="W27" s="702">
        <f>J27</f>
        <v>100</v>
      </c>
      <c r="X27" s="703"/>
      <c r="Y27" s="372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2">
        <f t="shared" si="11"/>
        <v>111</v>
      </c>
      <c r="R28" s="705" t="s">
        <v>14</v>
      </c>
      <c r="S28" s="706">
        <f t="shared" ref="S28:S40" si="12">F28</f>
        <v>100</v>
      </c>
      <c r="T28" s="705" t="s">
        <v>14</v>
      </c>
      <c r="U28" s="706">
        <f t="shared" ref="U28:U40" si="13">H28</f>
        <v>100</v>
      </c>
      <c r="V28" s="705" t="s">
        <v>14</v>
      </c>
      <c r="W28" s="706">
        <f t="shared" ref="W28:W40" si="14">J28</f>
        <v>100</v>
      </c>
      <c r="X28" s="1355"/>
      <c r="Y28" s="372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2" t="s">
        <v>1696</v>
      </c>
      <c r="Q29" s="1352" t="str">
        <f t="shared" si="11"/>
        <v>建筑类型</v>
      </c>
      <c r="R29" s="705" t="s">
        <v>14</v>
      </c>
      <c r="S29" s="706">
        <f t="shared" si="12"/>
        <v>100</v>
      </c>
      <c r="T29" s="705" t="s">
        <v>14</v>
      </c>
      <c r="U29" s="706">
        <f t="shared" si="13"/>
        <v>100</v>
      </c>
      <c r="V29" s="705" t="s">
        <v>14</v>
      </c>
      <c r="W29" s="706">
        <f t="shared" si="14"/>
        <v>100</v>
      </c>
      <c r="X29" s="1355"/>
      <c r="Y29" s="373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2" t="str">
        <f t="shared" si="11"/>
        <v>建筑结构</v>
      </c>
      <c r="R31" s="705" t="s">
        <v>14</v>
      </c>
      <c r="S31" s="706">
        <f t="shared" si="12"/>
        <v>100</v>
      </c>
      <c r="T31" s="705" t="s">
        <v>14</v>
      </c>
      <c r="U31" s="706">
        <f t="shared" si="13"/>
        <v>100</v>
      </c>
      <c r="V31" s="705" t="s">
        <v>14</v>
      </c>
      <c r="W31" s="706">
        <f t="shared" si="14"/>
        <v>100</v>
      </c>
      <c r="X31" s="1355"/>
      <c r="Y31" s="373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2" t="str">
        <f t="shared" si="11"/>
        <v>公共部分装修</v>
      </c>
      <c r="R32" s="705" t="s">
        <v>14</v>
      </c>
      <c r="S32" s="706">
        <f t="shared" si="12"/>
        <v>100</v>
      </c>
      <c r="T32" s="705" t="s">
        <v>14</v>
      </c>
      <c r="U32" s="706">
        <f t="shared" si="13"/>
        <v>100</v>
      </c>
      <c r="V32" s="705" t="s">
        <v>14</v>
      </c>
      <c r="W32" s="706">
        <f t="shared" si="14"/>
        <v>100</v>
      </c>
      <c r="X32" s="1355"/>
      <c r="Y32" s="373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2" t="str">
        <f t="shared" si="11"/>
        <v>成新度</v>
      </c>
      <c r="R33" s="705" t="s">
        <v>14</v>
      </c>
      <c r="S33" s="706" t="e">
        <f t="shared" si="12"/>
        <v>#N/A</v>
      </c>
      <c r="T33" s="705" t="s">
        <v>14</v>
      </c>
      <c r="U33" s="706" t="e">
        <f t="shared" si="13"/>
        <v>#N/A</v>
      </c>
      <c r="V33" s="705" t="s">
        <v>14</v>
      </c>
      <c r="W33" s="706" t="e">
        <f t="shared" si="14"/>
        <v>#N/A</v>
      </c>
      <c r="X33" s="1355"/>
      <c r="Y33" s="373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3"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1696</v>
      </c>
      <c r="Q35" s="1352" t="str">
        <f t="shared" si="11"/>
        <v>市政基础设施</v>
      </c>
      <c r="R35" s="705" t="s">
        <v>14</v>
      </c>
      <c r="S35" s="706">
        <f t="shared" si="12"/>
        <v>100</v>
      </c>
      <c r="T35" s="705" t="s">
        <v>14</v>
      </c>
      <c r="U35" s="706">
        <f t="shared" si="13"/>
        <v>100</v>
      </c>
      <c r="V35" s="705" t="s">
        <v>14</v>
      </c>
      <c r="W35" s="706">
        <f t="shared" si="14"/>
        <v>100</v>
      </c>
      <c r="X35" s="1355"/>
      <c r="Y35" s="373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2" t="str">
        <f t="shared" si="11"/>
        <v>内部装修</v>
      </c>
      <c r="R36" s="705" t="s">
        <v>14</v>
      </c>
      <c r="S36" s="706">
        <f t="shared" si="12"/>
        <v>100</v>
      </c>
      <c r="T36" s="705" t="s">
        <v>14</v>
      </c>
      <c r="U36" s="706">
        <f t="shared" si="13"/>
        <v>100</v>
      </c>
      <c r="V36" s="705" t="s">
        <v>14</v>
      </c>
      <c r="W36" s="706">
        <f t="shared" si="14"/>
        <v>100</v>
      </c>
      <c r="X36" s="1355"/>
      <c r="Y36" s="373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2" t="str">
        <f t="shared" si="11"/>
        <v>内部装修状况</v>
      </c>
      <c r="R37" s="705" t="s">
        <v>14</v>
      </c>
      <c r="S37" s="706">
        <f t="shared" si="12"/>
        <v>100</v>
      </c>
      <c r="T37" s="705" t="s">
        <v>14</v>
      </c>
      <c r="U37" s="706">
        <f t="shared" si="13"/>
        <v>100</v>
      </c>
      <c r="V37" s="705" t="s">
        <v>14</v>
      </c>
      <c r="W37" s="706">
        <f t="shared" si="14"/>
        <v>100</v>
      </c>
      <c r="X37" s="1355"/>
      <c r="Y37" s="37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2">
        <f t="shared" si="11"/>
        <v>111</v>
      </c>
      <c r="R39" s="705" t="s">
        <v>14</v>
      </c>
      <c r="S39" s="706">
        <f t="shared" si="12"/>
        <v>100</v>
      </c>
      <c r="T39" s="705" t="s">
        <v>14</v>
      </c>
      <c r="U39" s="706">
        <f t="shared" si="13"/>
        <v>100</v>
      </c>
      <c r="V39" s="705" t="s">
        <v>14</v>
      </c>
      <c r="W39" s="706">
        <f t="shared" si="14"/>
        <v>100</v>
      </c>
      <c r="X39" s="1355"/>
      <c r="Y39" s="373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2">
        <f t="shared" si="11"/>
        <v>111</v>
      </c>
      <c r="R40" s="705" t="s">
        <v>14</v>
      </c>
      <c r="S40" s="706">
        <f t="shared" si="12"/>
        <v>100</v>
      </c>
      <c r="T40" s="705" t="s">
        <v>14</v>
      </c>
      <c r="U40" s="706">
        <f t="shared" si="13"/>
        <v>100</v>
      </c>
      <c r="V40" s="705" t="s">
        <v>14</v>
      </c>
      <c r="W40" s="706">
        <f t="shared" si="14"/>
        <v>100</v>
      </c>
      <c r="X40" s="1355"/>
      <c r="Y40" s="373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39" t="s">
        <v>1770</v>
      </c>
      <c r="D4" s="3740"/>
      <c r="E4" s="3741" t="s">
        <v>1771</v>
      </c>
      <c r="F4" s="3742"/>
      <c r="G4" s="3739" t="s">
        <v>1772</v>
      </c>
      <c r="H4" s="3740"/>
      <c r="I4" s="3739" t="s">
        <v>1773</v>
      </c>
      <c r="J4" s="3740"/>
      <c r="K4" s="559" t="s">
        <v>1774</v>
      </c>
      <c r="L4" s="2710"/>
      <c r="M4" s="2711"/>
      <c r="N4" s="2711"/>
      <c r="O4" s="2711"/>
      <c r="P4" s="3743" t="s">
        <v>1775</v>
      </c>
      <c r="Q4" s="3744"/>
      <c r="R4" s="3749" t="s">
        <v>1771</v>
      </c>
      <c r="S4" s="3750"/>
      <c r="T4" s="3749" t="s">
        <v>1772</v>
      </c>
      <c r="U4" s="3750"/>
      <c r="V4" s="3755" t="s">
        <v>1773</v>
      </c>
      <c r="W4" s="3755"/>
      <c r="X4" s="1355"/>
      <c r="Y4" s="3749" t="s">
        <v>1775</v>
      </c>
      <c r="Z4" s="3750"/>
      <c r="AA4" s="3736" t="s">
        <v>1771</v>
      </c>
      <c r="AB4" s="3737" t="s">
        <v>1772</v>
      </c>
      <c r="AC4" s="3736" t="s">
        <v>1773</v>
      </c>
    </row>
    <row r="5" spans="1:29" ht="15">
      <c r="A5" s="358"/>
      <c r="B5" s="359"/>
      <c r="C5" s="3758" t="s">
        <v>1673</v>
      </c>
      <c r="D5" s="3759"/>
      <c r="E5" s="3765" t="s">
        <v>1674</v>
      </c>
      <c r="F5" s="3766"/>
      <c r="G5" s="3758" t="s">
        <v>1675</v>
      </c>
      <c r="H5" s="3759"/>
      <c r="I5" s="3758" t="s">
        <v>1676</v>
      </c>
      <c r="J5" s="3759"/>
      <c r="K5" s="559"/>
      <c r="L5" s="2710"/>
      <c r="M5" s="2711"/>
      <c r="N5" s="2711"/>
      <c r="O5" s="2711"/>
      <c r="P5" s="3745"/>
      <c r="Q5" s="3746"/>
      <c r="R5" s="3751"/>
      <c r="S5" s="3752"/>
      <c r="T5" s="3751"/>
      <c r="U5" s="3752"/>
      <c r="V5" s="3755"/>
      <c r="W5" s="3755"/>
      <c r="X5" s="1355"/>
      <c r="Y5" s="3751"/>
      <c r="Z5" s="3752"/>
      <c r="AA5" s="3737"/>
      <c r="AB5" s="3737"/>
      <c r="AC5" s="3737"/>
    </row>
    <row r="6" spans="1:29" ht="15.75" thickBot="1">
      <c r="A6" s="360"/>
      <c r="B6" s="361"/>
      <c r="C6" s="3756" t="s">
        <v>1677</v>
      </c>
      <c r="D6" s="3757"/>
      <c r="E6" s="3763" t="s">
        <v>1677</v>
      </c>
      <c r="F6" s="3764"/>
      <c r="G6" s="3756" t="s">
        <v>1677</v>
      </c>
      <c r="H6" s="3757"/>
      <c r="I6" s="3756" t="s">
        <v>1677</v>
      </c>
      <c r="J6" s="3757"/>
      <c r="K6" s="559" t="s">
        <v>1678</v>
      </c>
      <c r="L6" s="2710"/>
      <c r="M6" s="2711"/>
      <c r="N6" s="2711"/>
      <c r="O6" s="2711"/>
      <c r="P6" s="3747"/>
      <c r="Q6" s="3748"/>
      <c r="R6" s="3751"/>
      <c r="S6" s="3752"/>
      <c r="T6" s="3753"/>
      <c r="U6" s="3754"/>
      <c r="V6" s="3755"/>
      <c r="W6" s="3755"/>
      <c r="X6" s="1355"/>
      <c r="Y6" s="3753"/>
      <c r="Z6" s="3754"/>
      <c r="AA6" s="3738"/>
      <c r="AB6" s="3738"/>
      <c r="AC6" s="3738"/>
    </row>
    <row r="7" spans="1:29" s="108" customFormat="1" ht="15.75" thickBot="1">
      <c r="A7" s="362" t="s">
        <v>1679</v>
      </c>
      <c r="B7" s="363"/>
      <c r="C7" s="364">
        <f>'数据-取费表'!B2</f>
        <v>45531</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60" t="s">
        <v>1680</v>
      </c>
      <c r="Q7" s="3762"/>
      <c r="R7" s="701" t="s">
        <v>14</v>
      </c>
      <c r="S7" s="702">
        <f t="shared" ref="S7:S14" si="0">F7</f>
        <v>0</v>
      </c>
      <c r="T7" s="701" t="s">
        <v>14</v>
      </c>
      <c r="U7" s="702">
        <f t="shared" ref="U7:U14" si="1">H7</f>
        <v>0</v>
      </c>
      <c r="V7" s="701" t="s">
        <v>14</v>
      </c>
      <c r="W7" s="702">
        <f t="shared" ref="W7:W14" si="2">J7</f>
        <v>0</v>
      </c>
      <c r="X7" s="703"/>
      <c r="Y7" s="3760" t="s">
        <v>1680</v>
      </c>
      <c r="Z7" s="37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60" t="s">
        <v>1683</v>
      </c>
      <c r="Q8" s="3761"/>
      <c r="R8" s="701" t="s">
        <v>14</v>
      </c>
      <c r="S8" s="702">
        <f t="shared" si="0"/>
        <v>100</v>
      </c>
      <c r="T8" s="701" t="s">
        <v>14</v>
      </c>
      <c r="U8" s="702">
        <f t="shared" si="1"/>
        <v>100</v>
      </c>
      <c r="V8" s="701" t="s">
        <v>14</v>
      </c>
      <c r="W8" s="702">
        <f t="shared" si="2"/>
        <v>100</v>
      </c>
      <c r="X8" s="703"/>
      <c r="Y8" s="3760" t="s">
        <v>1683</v>
      </c>
      <c r="Z8" s="37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4" t="s">
        <v>1686</v>
      </c>
      <c r="Q9" s="1343" t="str">
        <f t="shared" ref="Q9:Q14" si="6">B9</f>
        <v>用途</v>
      </c>
      <c r="R9" s="701" t="s">
        <v>14</v>
      </c>
      <c r="S9" s="702">
        <f t="shared" si="0"/>
        <v>100</v>
      </c>
      <c r="T9" s="701" t="s">
        <v>14</v>
      </c>
      <c r="U9" s="702">
        <f t="shared" si="1"/>
        <v>100</v>
      </c>
      <c r="V9" s="701" t="s">
        <v>14</v>
      </c>
      <c r="W9" s="702">
        <f t="shared" si="2"/>
        <v>100</v>
      </c>
      <c r="X9" s="703"/>
      <c r="Y9" s="3599"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24"/>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4"/>
      <c r="Q11" s="1343">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4"/>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4"/>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6" t="s">
        <v>1691</v>
      </c>
      <c r="Q14" s="1352" t="str">
        <f t="shared" si="6"/>
        <v>交通便捷度</v>
      </c>
      <c r="R14" s="705" t="s">
        <v>14</v>
      </c>
      <c r="S14" s="706">
        <f t="shared" si="0"/>
        <v>100</v>
      </c>
      <c r="T14" s="705" t="s">
        <v>14</v>
      </c>
      <c r="U14" s="706">
        <f t="shared" si="1"/>
        <v>100</v>
      </c>
      <c r="V14" s="705" t="s">
        <v>14</v>
      </c>
      <c r="W14" s="706">
        <f t="shared" si="2"/>
        <v>100</v>
      </c>
      <c r="X14" s="1355"/>
      <c r="Y14" s="372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27"/>
      <c r="Q15" s="1352"/>
      <c r="R15" s="705"/>
      <c r="S15" s="706"/>
      <c r="T15" s="705"/>
      <c r="U15" s="706"/>
      <c r="V15" s="705"/>
      <c r="W15" s="706"/>
      <c r="X15" s="1355"/>
      <c r="Y15" s="3727"/>
      <c r="Z15" s="1356"/>
      <c r="AA15" s="1353">
        <v>1</v>
      </c>
      <c r="AB15" s="1353">
        <v>1</v>
      </c>
      <c r="AC15" s="1353">
        <v>1</v>
      </c>
    </row>
    <row r="16" spans="1:29" ht="15">
      <c r="A16" s="358"/>
      <c r="B16" s="579" t="s">
        <v>1812</v>
      </c>
      <c r="C16" s="1900"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27"/>
      <c r="Q17" s="1352"/>
      <c r="R17" s="705"/>
      <c r="S17" s="706"/>
      <c r="T17" s="705"/>
      <c r="U17" s="706"/>
      <c r="V17" s="705"/>
      <c r="W17" s="706"/>
      <c r="X17" s="1355"/>
      <c r="Y17" s="372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27"/>
      <c r="Q19" s="1352"/>
      <c r="R19" s="705"/>
      <c r="S19" s="706"/>
      <c r="T19" s="705"/>
      <c r="U19" s="706"/>
      <c r="V19" s="705"/>
      <c r="W19" s="706"/>
      <c r="X19" s="1355"/>
      <c r="Y19" s="3727"/>
      <c r="Z19" s="1356"/>
      <c r="AA19" s="1353">
        <v>1</v>
      </c>
      <c r="AB19" s="1353">
        <v>1</v>
      </c>
      <c r="AC19" s="1353">
        <v>1</v>
      </c>
    </row>
    <row r="20" spans="1:29" ht="15">
      <c r="A20" s="358"/>
      <c r="B20" s="579" t="s">
        <v>1834</v>
      </c>
      <c r="C20" s="1900" t="str">
        <f>IF(B1="工业",估价对象房地状况!G7,估价对象房地状况!C9)</f>
        <v>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27"/>
      <c r="Q21" s="1352"/>
      <c r="R21" s="705"/>
      <c r="S21" s="706"/>
      <c r="T21" s="705"/>
      <c r="U21" s="706"/>
      <c r="V21" s="705"/>
      <c r="W21" s="706"/>
      <c r="X21" s="1355"/>
      <c r="Y21" s="372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7"/>
      <c r="Q24" s="1352">
        <f t="shared" ref="Q24:Q36"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80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1"/>
      <c r="Q28" s="1352" t="str">
        <f t="shared" si="11"/>
        <v>公共部分装修</v>
      </c>
      <c r="R28" s="705" t="s">
        <v>14</v>
      </c>
      <c r="S28" s="706">
        <f t="shared" si="12"/>
        <v>100</v>
      </c>
      <c r="T28" s="705" t="s">
        <v>14</v>
      </c>
      <c r="U28" s="706">
        <f t="shared" si="13"/>
        <v>100</v>
      </c>
      <c r="V28" s="705" t="s">
        <v>14</v>
      </c>
      <c r="W28" s="706">
        <f t="shared" si="14"/>
        <v>100</v>
      </c>
      <c r="X28" s="1355"/>
      <c r="Y28" s="373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1"/>
      <c r="Q29" s="1352" t="str">
        <f t="shared" si="11"/>
        <v>成新率</v>
      </c>
      <c r="R29" s="705" t="s">
        <v>14</v>
      </c>
      <c r="S29" s="706" t="e">
        <f t="shared" si="12"/>
        <v>#N/A</v>
      </c>
      <c r="T29" s="705" t="s">
        <v>14</v>
      </c>
      <c r="U29" s="706" t="e">
        <f t="shared" si="13"/>
        <v>#N/A</v>
      </c>
      <c r="V29" s="705" t="s">
        <v>14</v>
      </c>
      <c r="W29" s="706" t="e">
        <f t="shared" si="14"/>
        <v>#N/A</v>
      </c>
      <c r="X29" s="1355"/>
      <c r="Y29" s="373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1"/>
      <c r="Q30" s="1352" t="str">
        <f t="shared" si="11"/>
        <v>物业等级</v>
      </c>
      <c r="R30" s="705" t="s">
        <v>14</v>
      </c>
      <c r="S30" s="706">
        <f t="shared" si="12"/>
        <v>100</v>
      </c>
      <c r="T30" s="705" t="s">
        <v>14</v>
      </c>
      <c r="U30" s="706">
        <f t="shared" si="13"/>
        <v>100</v>
      </c>
      <c r="V30" s="705" t="s">
        <v>14</v>
      </c>
      <c r="W30" s="706">
        <f t="shared" si="14"/>
        <v>100</v>
      </c>
      <c r="X30" s="1355"/>
      <c r="Y30" s="373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1"/>
      <c r="Q31" s="1343"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1" t="s">
        <v>1696</v>
      </c>
      <c r="Q32" s="1352" t="str">
        <f t="shared" si="11"/>
        <v>车位类型</v>
      </c>
      <c r="R32" s="705" t="s">
        <v>14</v>
      </c>
      <c r="S32" s="706">
        <f t="shared" si="12"/>
        <v>100</v>
      </c>
      <c r="T32" s="705" t="s">
        <v>14</v>
      </c>
      <c r="U32" s="706">
        <f t="shared" si="13"/>
        <v>100</v>
      </c>
      <c r="V32" s="705" t="s">
        <v>14</v>
      </c>
      <c r="W32" s="706">
        <f t="shared" si="14"/>
        <v>100</v>
      </c>
      <c r="X32" s="1355"/>
      <c r="Y32" s="373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1"/>
      <c r="Q33" s="1352" t="str">
        <f t="shared" si="11"/>
        <v>是否直接入户</v>
      </c>
      <c r="R33" s="705" t="s">
        <v>14</v>
      </c>
      <c r="S33" s="706">
        <f t="shared" si="12"/>
        <v>100</v>
      </c>
      <c r="T33" s="705" t="s">
        <v>14</v>
      </c>
      <c r="U33" s="706">
        <f t="shared" si="13"/>
        <v>100</v>
      </c>
      <c r="V33" s="705" t="s">
        <v>14</v>
      </c>
      <c r="W33" s="706">
        <f t="shared" si="14"/>
        <v>100</v>
      </c>
      <c r="X33" s="1355"/>
      <c r="Y33" s="37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1"/>
      <c r="Q36" s="1352">
        <f t="shared" si="11"/>
        <v>111</v>
      </c>
      <c r="R36" s="705" t="s">
        <v>14</v>
      </c>
      <c r="S36" s="706">
        <f t="shared" si="12"/>
        <v>100</v>
      </c>
      <c r="T36" s="705" t="s">
        <v>14</v>
      </c>
      <c r="U36" s="706">
        <f t="shared" si="13"/>
        <v>100</v>
      </c>
      <c r="V36" s="705" t="s">
        <v>14</v>
      </c>
      <c r="W36" s="706">
        <f t="shared" si="14"/>
        <v>100</v>
      </c>
      <c r="X36" s="1355"/>
      <c r="Y36" s="3731"/>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19"/>
      <c r="M37" s="2720"/>
      <c r="N37" s="2711"/>
      <c r="O37" s="2720"/>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21" t="str">
        <f>A39</f>
        <v>估价对象XX用房的比较价值（楼面单价，元/平方米）</v>
      </c>
      <c r="Q39" s="3722"/>
      <c r="R39" s="3803" t="e">
        <f>IF(F1="售价",ROUND(IF(D38="简单平均",AVERAGE(R38:W38),R38*F38+T38*H38+V38*J38),0),ROUND(IF(D38="简单平均",AVERAGE(R38:V38),R38*F38+T38*H38+V38*J38),1))</f>
        <v>#DIV/0!</v>
      </c>
      <c r="S39" s="3803"/>
      <c r="T39" s="3803"/>
      <c r="U39" s="3803"/>
      <c r="V39" s="3803"/>
      <c r="W39" s="3803"/>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0"/>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0"/>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0"/>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0"/>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1"/>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1"/>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0"/>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3"/>
      <c r="O47" s="2763"/>
      <c r="P47" s="2752"/>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8"/>
      <c r="O54" s="2748"/>
      <c r="P54" s="2756"/>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7"/>
      <c r="O55" s="2747"/>
      <c r="P55" s="2756"/>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8"/>
      <c r="O56" s="2748"/>
      <c r="P56" s="2756"/>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7"/>
      <c r="O57" s="2747"/>
      <c r="P57" s="2756"/>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8"/>
      <c r="O58" s="2748"/>
      <c r="P58" s="2756"/>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7"/>
      <c r="O71" s="2747"/>
      <c r="P71" s="2756"/>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6"/>
      <c r="O73" s="2746"/>
      <c r="P73" s="2756"/>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6"/>
      <c r="O81" s="2746"/>
      <c r="P81" s="2756"/>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7"/>
      <c r="O86" s="2747"/>
      <c r="P86" s="2756"/>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7"/>
      <c r="O88" s="2747"/>
      <c r="P88" s="2756"/>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7"/>
      <c r="O95" s="2747"/>
      <c r="P95" s="2756"/>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8"/>
      <c r="O97" s="2748"/>
      <c r="P97" s="2761"/>
      <c r="Q97" s="2762"/>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8"/>
      <c r="O98" s="2748"/>
      <c r="P98" s="2756"/>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8"/>
      <c r="O102" s="2748"/>
      <c r="P102" s="2756"/>
      <c r="Q102" s="2734"/>
      <c r="R102" s="2720"/>
      <c r="S102" s="2720"/>
      <c r="T102" s="2720"/>
      <c r="U102" s="2720"/>
      <c r="V102" s="2720"/>
      <c r="W102" s="2720"/>
      <c r="X102" s="2720"/>
      <c r="Y102" s="2720"/>
      <c r="Z102" s="2720"/>
      <c r="AA102" s="2720"/>
      <c r="AB102" s="2720"/>
      <c r="AC102" s="2720"/>
    </row>
    <row r="103" spans="1:29" ht="15" thickTop="1">
      <c r="N103" s="2720"/>
      <c r="O103" s="2720"/>
      <c r="P103" s="2750"/>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39" t="s">
        <v>1770</v>
      </c>
      <c r="D4" s="3740"/>
      <c r="E4" s="3741" t="s">
        <v>1771</v>
      </c>
      <c r="F4" s="3742"/>
      <c r="G4" s="3739" t="s">
        <v>1772</v>
      </c>
      <c r="H4" s="3740"/>
      <c r="I4" s="3739" t="s">
        <v>1773</v>
      </c>
      <c r="J4" s="3740"/>
      <c r="K4" s="559" t="s">
        <v>1774</v>
      </c>
      <c r="L4" s="2710"/>
      <c r="M4" s="2711"/>
      <c r="N4" s="2711"/>
      <c r="O4" s="2711"/>
      <c r="P4" s="3743" t="s">
        <v>1775</v>
      </c>
      <c r="Q4" s="3744"/>
      <c r="R4" s="3749" t="s">
        <v>1771</v>
      </c>
      <c r="S4" s="3750"/>
      <c r="T4" s="3749" t="s">
        <v>1772</v>
      </c>
      <c r="U4" s="3750"/>
      <c r="V4" s="3755" t="s">
        <v>1773</v>
      </c>
      <c r="W4" s="3755"/>
      <c r="X4" s="1355"/>
      <c r="Y4" s="3749" t="s">
        <v>1775</v>
      </c>
      <c r="Z4" s="3750"/>
      <c r="AA4" s="3736" t="s">
        <v>1771</v>
      </c>
      <c r="AB4" s="3737" t="s">
        <v>1772</v>
      </c>
      <c r="AC4" s="3736" t="s">
        <v>1773</v>
      </c>
    </row>
    <row r="5" spans="1:29" ht="15">
      <c r="A5" s="358"/>
      <c r="B5" s="359"/>
      <c r="C5" s="3758" t="s">
        <v>1673</v>
      </c>
      <c r="D5" s="3759"/>
      <c r="E5" s="3765" t="s">
        <v>1674</v>
      </c>
      <c r="F5" s="3766"/>
      <c r="G5" s="3758" t="s">
        <v>1675</v>
      </c>
      <c r="H5" s="3759"/>
      <c r="I5" s="3758" t="s">
        <v>1676</v>
      </c>
      <c r="J5" s="3759"/>
      <c r="K5" s="559"/>
      <c r="L5" s="2710"/>
      <c r="M5" s="2711"/>
      <c r="N5" s="2711"/>
      <c r="O5" s="2711"/>
      <c r="P5" s="3745"/>
      <c r="Q5" s="3746"/>
      <c r="R5" s="3751"/>
      <c r="S5" s="3752"/>
      <c r="T5" s="3751"/>
      <c r="U5" s="3752"/>
      <c r="V5" s="3755"/>
      <c r="W5" s="3755"/>
      <c r="X5" s="1355"/>
      <c r="Y5" s="3751"/>
      <c r="Z5" s="3752"/>
      <c r="AA5" s="3737"/>
      <c r="AB5" s="3737"/>
      <c r="AC5" s="3737"/>
    </row>
    <row r="6" spans="1:29" ht="15.75" thickBot="1">
      <c r="A6" s="360"/>
      <c r="B6" s="361"/>
      <c r="C6" s="3756" t="s">
        <v>1677</v>
      </c>
      <c r="D6" s="3757"/>
      <c r="E6" s="3763" t="s">
        <v>1677</v>
      </c>
      <c r="F6" s="3764"/>
      <c r="G6" s="3756" t="s">
        <v>1677</v>
      </c>
      <c r="H6" s="3757"/>
      <c r="I6" s="3756" t="s">
        <v>1677</v>
      </c>
      <c r="J6" s="3757"/>
      <c r="K6" s="559" t="s">
        <v>1678</v>
      </c>
      <c r="L6" s="2710"/>
      <c r="M6" s="2711"/>
      <c r="N6" s="2711"/>
      <c r="O6" s="2711"/>
      <c r="P6" s="3747"/>
      <c r="Q6" s="3748"/>
      <c r="R6" s="3751"/>
      <c r="S6" s="3752"/>
      <c r="T6" s="3753"/>
      <c r="U6" s="3754"/>
      <c r="V6" s="3755"/>
      <c r="W6" s="3755"/>
      <c r="X6" s="1355"/>
      <c r="Y6" s="3753"/>
      <c r="Z6" s="3754"/>
      <c r="AA6" s="3738"/>
      <c r="AB6" s="3738"/>
      <c r="AC6" s="3738"/>
    </row>
    <row r="7" spans="1:29" s="108" customFormat="1" ht="15.75" thickBot="1">
      <c r="A7" s="362" t="s">
        <v>1679</v>
      </c>
      <c r="B7" s="363"/>
      <c r="C7" s="364">
        <f>'数据-取费表'!B2</f>
        <v>45531</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60" t="s">
        <v>1680</v>
      </c>
      <c r="Q7" s="3762"/>
      <c r="R7" s="701" t="s">
        <v>14</v>
      </c>
      <c r="S7" s="702">
        <f t="shared" ref="S7:S14" si="0">F7</f>
        <v>0</v>
      </c>
      <c r="T7" s="701" t="s">
        <v>14</v>
      </c>
      <c r="U7" s="702">
        <f t="shared" ref="U7:U14" si="1">H7</f>
        <v>0</v>
      </c>
      <c r="V7" s="701" t="s">
        <v>14</v>
      </c>
      <c r="W7" s="702">
        <f t="shared" ref="W7:W14" si="2">J7</f>
        <v>0</v>
      </c>
      <c r="X7" s="703"/>
      <c r="Y7" s="3760" t="s">
        <v>1680</v>
      </c>
      <c r="Z7" s="37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60" t="s">
        <v>1683</v>
      </c>
      <c r="Q8" s="3761"/>
      <c r="R8" s="701" t="s">
        <v>14</v>
      </c>
      <c r="S8" s="702">
        <f t="shared" si="0"/>
        <v>100</v>
      </c>
      <c r="T8" s="701" t="s">
        <v>14</v>
      </c>
      <c r="U8" s="702">
        <f t="shared" si="1"/>
        <v>100</v>
      </c>
      <c r="V8" s="701" t="s">
        <v>14</v>
      </c>
      <c r="W8" s="702">
        <f t="shared" si="2"/>
        <v>100</v>
      </c>
      <c r="X8" s="703"/>
      <c r="Y8" s="3760" t="s">
        <v>1683</v>
      </c>
      <c r="Z8" s="37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6"/>
      <c r="P9" s="3724" t="s">
        <v>1686</v>
      </c>
      <c r="Q9" s="1343" t="str">
        <f t="shared" ref="Q9:Q14" si="6">B9</f>
        <v>用途</v>
      </c>
      <c r="R9" s="701" t="s">
        <v>14</v>
      </c>
      <c r="S9" s="702">
        <f t="shared" si="0"/>
        <v>100</v>
      </c>
      <c r="T9" s="701" t="s">
        <v>14</v>
      </c>
      <c r="U9" s="702">
        <f t="shared" si="1"/>
        <v>100</v>
      </c>
      <c r="V9" s="701" t="s">
        <v>14</v>
      </c>
      <c r="W9" s="702">
        <f t="shared" si="2"/>
        <v>100</v>
      </c>
      <c r="X9" s="703"/>
      <c r="Y9" s="3599"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7"/>
      <c r="P10" s="3724"/>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8"/>
      <c r="P11" s="3724"/>
      <c r="Q11" s="1343">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6"/>
      <c r="P12" s="3724"/>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8"/>
      <c r="P13" s="3724"/>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8"/>
      <c r="P14" s="3726" t="s">
        <v>1691</v>
      </c>
      <c r="Q14" s="1352" t="str">
        <f t="shared" si="6"/>
        <v>交通便捷度</v>
      </c>
      <c r="R14" s="705" t="s">
        <v>14</v>
      </c>
      <c r="S14" s="706">
        <f t="shared" si="0"/>
        <v>100</v>
      </c>
      <c r="T14" s="705" t="s">
        <v>14</v>
      </c>
      <c r="U14" s="706">
        <f t="shared" si="1"/>
        <v>100</v>
      </c>
      <c r="V14" s="705" t="s">
        <v>14</v>
      </c>
      <c r="W14" s="706">
        <f t="shared" si="2"/>
        <v>100</v>
      </c>
      <c r="X14" s="1355"/>
      <c r="Y14" s="372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8"/>
      <c r="P15" s="3727"/>
      <c r="Q15" s="1352"/>
      <c r="R15" s="705"/>
      <c r="S15" s="706"/>
      <c r="T15" s="705"/>
      <c r="U15" s="706"/>
      <c r="V15" s="705"/>
      <c r="W15" s="706"/>
      <c r="X15" s="1355"/>
      <c r="Y15" s="3727"/>
      <c r="Z15" s="1356"/>
      <c r="AA15" s="1353">
        <v>1</v>
      </c>
      <c r="AB15" s="1353">
        <v>1</v>
      </c>
      <c r="AC15" s="1353">
        <v>1</v>
      </c>
    </row>
    <row r="16" spans="1:29" ht="15">
      <c r="A16" s="379"/>
      <c r="B16" s="402" t="s">
        <v>1812</v>
      </c>
      <c r="C16" s="1900"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8"/>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8"/>
      <c r="P17" s="3727"/>
      <c r="Q17" s="1352"/>
      <c r="R17" s="705"/>
      <c r="S17" s="706"/>
      <c r="T17" s="705"/>
      <c r="U17" s="706"/>
      <c r="V17" s="705"/>
      <c r="W17" s="706"/>
      <c r="X17" s="1355"/>
      <c r="Y17" s="372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8"/>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8"/>
      <c r="P19" s="3727"/>
      <c r="Q19" s="1352"/>
      <c r="R19" s="705"/>
      <c r="S19" s="706"/>
      <c r="T19" s="705"/>
      <c r="U19" s="706"/>
      <c r="V19" s="705"/>
      <c r="W19" s="706"/>
      <c r="X19" s="1355"/>
      <c r="Y19" s="3727"/>
      <c r="Z19" s="1356"/>
      <c r="AA19" s="1353">
        <v>1</v>
      </c>
      <c r="AB19" s="1353">
        <v>1</v>
      </c>
      <c r="AC19" s="1353">
        <v>1</v>
      </c>
    </row>
    <row r="20" spans="1:29" ht="15">
      <c r="A20" s="379"/>
      <c r="B20" s="402" t="s">
        <v>1834</v>
      </c>
      <c r="C20" s="1900" t="str">
        <f>IF(B1="工业",估价对象房地状况!G7,估价对象房地状况!C9)</f>
        <v>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8"/>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8"/>
      <c r="P21" s="3727"/>
      <c r="Q21" s="1352"/>
      <c r="R21" s="705"/>
      <c r="S21" s="706"/>
      <c r="T21" s="705"/>
      <c r="U21" s="706"/>
      <c r="V21" s="705"/>
      <c r="W21" s="706"/>
      <c r="X21" s="1355"/>
      <c r="Y21" s="372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8"/>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8"/>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8"/>
      <c r="P24" s="3727"/>
      <c r="Q24" s="1352">
        <f t="shared" ref="Q24:Q34"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6"/>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8"/>
      <c r="P26" s="380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69"/>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8"/>
      <c r="P28" s="3731"/>
      <c r="Q28" s="1352" t="str">
        <f t="shared" si="11"/>
        <v>物业等级</v>
      </c>
      <c r="R28" s="705" t="s">
        <v>14</v>
      </c>
      <c r="S28" s="706">
        <f t="shared" si="12"/>
        <v>100</v>
      </c>
      <c r="T28" s="705" t="s">
        <v>14</v>
      </c>
      <c r="U28" s="706">
        <f t="shared" si="13"/>
        <v>100</v>
      </c>
      <c r="V28" s="705" t="s">
        <v>14</v>
      </c>
      <c r="W28" s="706">
        <f t="shared" si="14"/>
        <v>100</v>
      </c>
      <c r="X28" s="1355"/>
      <c r="Y28" s="373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8"/>
      <c r="P29" s="3731"/>
      <c r="Q29" s="1352" t="str">
        <f t="shared" si="11"/>
        <v>有无电梯</v>
      </c>
      <c r="R29" s="705" t="s">
        <v>14</v>
      </c>
      <c r="S29" s="706">
        <f t="shared" si="12"/>
        <v>100</v>
      </c>
      <c r="T29" s="705" t="s">
        <v>14</v>
      </c>
      <c r="U29" s="706">
        <f t="shared" si="13"/>
        <v>100</v>
      </c>
      <c r="V29" s="705" t="s">
        <v>14</v>
      </c>
      <c r="W29" s="706">
        <f t="shared" si="14"/>
        <v>100</v>
      </c>
      <c r="X29" s="1355"/>
      <c r="Y29" s="373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8"/>
      <c r="P30" s="3731"/>
      <c r="Q30" s="1352" t="str">
        <f t="shared" si="11"/>
        <v>建筑面积</v>
      </c>
      <c r="R30" s="705" t="s">
        <v>14</v>
      </c>
      <c r="S30" s="706" t="e">
        <f t="shared" si="12"/>
        <v>#N/A</v>
      </c>
      <c r="T30" s="705" t="s">
        <v>14</v>
      </c>
      <c r="U30" s="706" t="e">
        <f t="shared" si="13"/>
        <v>#N/A</v>
      </c>
      <c r="V30" s="705" t="s">
        <v>14</v>
      </c>
      <c r="W30" s="706" t="e">
        <f t="shared" si="14"/>
        <v>#N/A</v>
      </c>
      <c r="X30" s="1355"/>
      <c r="Y30" s="373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6"/>
      <c r="P31" s="3731"/>
      <c r="Q31" s="1343"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8"/>
      <c r="P32" s="3731" t="s">
        <v>1696</v>
      </c>
      <c r="Q32" s="1352">
        <f t="shared" si="11"/>
        <v>111</v>
      </c>
      <c r="R32" s="705" t="s">
        <v>14</v>
      </c>
      <c r="S32" s="706">
        <f t="shared" si="12"/>
        <v>100</v>
      </c>
      <c r="T32" s="705" t="s">
        <v>14</v>
      </c>
      <c r="U32" s="706">
        <f t="shared" si="13"/>
        <v>100</v>
      </c>
      <c r="V32" s="705" t="s">
        <v>14</v>
      </c>
      <c r="W32" s="706">
        <f t="shared" si="14"/>
        <v>100</v>
      </c>
      <c r="X32" s="1355"/>
      <c r="Y32" s="373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8"/>
      <c r="P33" s="3731"/>
      <c r="Q33" s="1352">
        <f t="shared" si="11"/>
        <v>111</v>
      </c>
      <c r="R33" s="705" t="s">
        <v>14</v>
      </c>
      <c r="S33" s="706">
        <f t="shared" si="12"/>
        <v>100</v>
      </c>
      <c r="T33" s="705" t="s">
        <v>14</v>
      </c>
      <c r="U33" s="706">
        <f t="shared" si="13"/>
        <v>100</v>
      </c>
      <c r="V33" s="705" t="s">
        <v>14</v>
      </c>
      <c r="W33" s="706">
        <f t="shared" si="14"/>
        <v>100</v>
      </c>
      <c r="X33" s="1355"/>
      <c r="Y33" s="373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8"/>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21" t="str">
        <f>A37</f>
        <v>估价对象XX用房的比较价值（楼面单价，元/平方米）</v>
      </c>
      <c r="Q37" s="3722"/>
      <c r="R37" s="3803" t="e">
        <f>IF(F1="售价",ROUND(IF(D36="简单平均",AVERAGE(R36:W36),R36*F36+T36*H36+V36*J36),0),ROUND(IF(D36="简单平均",AVERAGE(R36:V36),R36*F36+T36*H36+V36*J36),1))</f>
        <v>#DIV/0!</v>
      </c>
      <c r="S37" s="3803"/>
      <c r="T37" s="3803"/>
      <c r="U37" s="3803"/>
      <c r="V37" s="3803"/>
      <c r="W37" s="3803"/>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3"/>
      <c r="O45" s="2763"/>
      <c r="P45" s="2763"/>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8"/>
      <c r="O52" s="2748"/>
      <c r="P52" s="2772"/>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7"/>
      <c r="O53" s="2747"/>
      <c r="P53" s="2772"/>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8"/>
      <c r="O54" s="2748"/>
      <c r="P54" s="2772"/>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7"/>
      <c r="O55" s="2747"/>
      <c r="P55" s="2772"/>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8"/>
      <c r="O56" s="2748"/>
      <c r="P56" s="2772"/>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8"/>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7"/>
      <c r="O69" s="2747"/>
      <c r="P69" s="2772"/>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8"/>
      <c r="O70" s="2748"/>
      <c r="P70" s="2772"/>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6"/>
      <c r="O71" s="2746"/>
      <c r="P71" s="2772"/>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6"/>
      <c r="O80" s="2746"/>
      <c r="P80" s="2772"/>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7"/>
      <c r="O84" s="2747"/>
      <c r="P84" s="2772"/>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7"/>
      <c r="O87" s="2747"/>
      <c r="P87" s="2772"/>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8"/>
      <c r="O88" s="2748"/>
      <c r="P88" s="2772"/>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8"/>
      <c r="O92" s="2748"/>
      <c r="P92" s="2772"/>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7"/>
      <c r="O93" s="2747"/>
      <c r="P93" s="2772"/>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8"/>
      <c r="O94" s="2748"/>
      <c r="P94" s="2772"/>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8"/>
      <c r="O95" s="2748"/>
      <c r="P95" s="2775"/>
      <c r="Q95" s="2762"/>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8"/>
      <c r="O96" s="2748"/>
      <c r="P96" s="2772"/>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39" t="s">
        <v>1770</v>
      </c>
      <c r="D4" s="3740"/>
      <c r="E4" s="3741" t="s">
        <v>1771</v>
      </c>
      <c r="F4" s="3742"/>
      <c r="G4" s="3739" t="s">
        <v>1772</v>
      </c>
      <c r="H4" s="3740"/>
      <c r="I4" s="3739" t="s">
        <v>1773</v>
      </c>
      <c r="J4" s="3740"/>
      <c r="K4" s="559" t="s">
        <v>1774</v>
      </c>
      <c r="L4" s="2710"/>
      <c r="M4" s="2711"/>
      <c r="N4" s="2711"/>
      <c r="O4" s="2711"/>
      <c r="P4" s="3743" t="s">
        <v>1775</v>
      </c>
      <c r="Q4" s="3744"/>
      <c r="R4" s="3749" t="s">
        <v>1771</v>
      </c>
      <c r="S4" s="3750"/>
      <c r="T4" s="3749" t="s">
        <v>1772</v>
      </c>
      <c r="U4" s="3750"/>
      <c r="V4" s="3755" t="s">
        <v>1773</v>
      </c>
      <c r="W4" s="3755"/>
      <c r="X4" s="1355"/>
      <c r="Y4" s="3749" t="s">
        <v>1775</v>
      </c>
      <c r="Z4" s="3750"/>
      <c r="AA4" s="3736" t="s">
        <v>1771</v>
      </c>
      <c r="AB4" s="3737" t="s">
        <v>1772</v>
      </c>
      <c r="AC4" s="3736" t="s">
        <v>1773</v>
      </c>
    </row>
    <row r="5" spans="1:30" ht="15">
      <c r="A5" s="358"/>
      <c r="B5" s="359"/>
      <c r="C5" s="3758" t="s">
        <v>1673</v>
      </c>
      <c r="D5" s="3759"/>
      <c r="E5" s="3765" t="s">
        <v>1674</v>
      </c>
      <c r="F5" s="3766"/>
      <c r="G5" s="3758" t="s">
        <v>1675</v>
      </c>
      <c r="H5" s="3759"/>
      <c r="I5" s="3758" t="s">
        <v>1676</v>
      </c>
      <c r="J5" s="3759"/>
      <c r="K5" s="559"/>
      <c r="L5" s="2710"/>
      <c r="M5" s="2711"/>
      <c r="N5" s="2711"/>
      <c r="O5" s="2711"/>
      <c r="P5" s="3745"/>
      <c r="Q5" s="3746"/>
      <c r="R5" s="3751"/>
      <c r="S5" s="3752"/>
      <c r="T5" s="3751"/>
      <c r="U5" s="3752"/>
      <c r="V5" s="3755"/>
      <c r="W5" s="3755"/>
      <c r="X5" s="1355"/>
      <c r="Y5" s="3751"/>
      <c r="Z5" s="3752"/>
      <c r="AA5" s="3737"/>
      <c r="AB5" s="3737"/>
      <c r="AC5" s="3737"/>
    </row>
    <row r="6" spans="1:30" ht="15.75" thickBot="1">
      <c r="A6" s="360"/>
      <c r="B6" s="361"/>
      <c r="C6" s="3756" t="s">
        <v>1677</v>
      </c>
      <c r="D6" s="3757"/>
      <c r="E6" s="3763" t="s">
        <v>1677</v>
      </c>
      <c r="F6" s="3764"/>
      <c r="G6" s="3756" t="s">
        <v>1677</v>
      </c>
      <c r="H6" s="3757"/>
      <c r="I6" s="3756" t="s">
        <v>1677</v>
      </c>
      <c r="J6" s="3757"/>
      <c r="K6" s="559" t="s">
        <v>1678</v>
      </c>
      <c r="L6" s="2710"/>
      <c r="M6" s="2711"/>
      <c r="N6" s="2711"/>
      <c r="O6" s="2711"/>
      <c r="P6" s="3747"/>
      <c r="Q6" s="3748"/>
      <c r="R6" s="3751"/>
      <c r="S6" s="3752"/>
      <c r="T6" s="3753"/>
      <c r="U6" s="3754"/>
      <c r="V6" s="3755"/>
      <c r="W6" s="3755"/>
      <c r="X6" s="1355"/>
      <c r="Y6" s="3753"/>
      <c r="Z6" s="3754"/>
      <c r="AA6" s="3738"/>
      <c r="AB6" s="3738"/>
      <c r="AC6" s="3738"/>
    </row>
    <row r="7" spans="1:30" s="108" customFormat="1" ht="15.75" thickBot="1">
      <c r="A7" s="362" t="s">
        <v>1679</v>
      </c>
      <c r="B7" s="363"/>
      <c r="C7" s="364">
        <f>'数据-取费表'!B2</f>
        <v>45531</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60" t="s">
        <v>1680</v>
      </c>
      <c r="Q7" s="3762"/>
      <c r="R7" s="701" t="s">
        <v>14</v>
      </c>
      <c r="S7" s="702">
        <f t="shared" ref="S7:S15" si="0">F7</f>
        <v>0</v>
      </c>
      <c r="T7" s="701" t="s">
        <v>14</v>
      </c>
      <c r="U7" s="702">
        <f t="shared" ref="U7:U15" si="1">H7</f>
        <v>0</v>
      </c>
      <c r="V7" s="701" t="s">
        <v>14</v>
      </c>
      <c r="W7" s="702">
        <f t="shared" ref="W7:W15" si="2">J7</f>
        <v>0</v>
      </c>
      <c r="X7" s="703"/>
      <c r="Y7" s="3760" t="s">
        <v>1680</v>
      </c>
      <c r="Z7" s="376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60" t="s">
        <v>1683</v>
      </c>
      <c r="Q8" s="3761"/>
      <c r="R8" s="701" t="s">
        <v>14</v>
      </c>
      <c r="S8" s="702">
        <f t="shared" si="0"/>
        <v>0</v>
      </c>
      <c r="T8" s="701" t="s">
        <v>14</v>
      </c>
      <c r="U8" s="702">
        <f t="shared" si="1"/>
        <v>0</v>
      </c>
      <c r="V8" s="701" t="s">
        <v>14</v>
      </c>
      <c r="W8" s="702">
        <f t="shared" si="2"/>
        <v>0</v>
      </c>
      <c r="X8" s="703"/>
      <c r="Y8" s="3760" t="s">
        <v>1683</v>
      </c>
      <c r="Z8" s="376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6"/>
      <c r="P9" s="3724" t="s">
        <v>1686</v>
      </c>
      <c r="Q9" s="1343"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4"/>
      <c r="M10" s="2715"/>
      <c r="N10" s="2715"/>
      <c r="O10" s="2767"/>
      <c r="P10" s="3724"/>
      <c r="Q10" s="1343" t="str">
        <f t="shared" si="6"/>
        <v>土地使用年限（年）</v>
      </c>
      <c r="R10" s="701" t="s">
        <v>14</v>
      </c>
      <c r="S10" s="702">
        <f t="shared" si="0"/>
        <v>122</v>
      </c>
      <c r="T10" s="701" t="s">
        <v>14</v>
      </c>
      <c r="U10" s="702">
        <f t="shared" si="1"/>
        <v>122</v>
      </c>
      <c r="V10" s="701" t="s">
        <v>14</v>
      </c>
      <c r="W10" s="702">
        <f t="shared" si="2"/>
        <v>122</v>
      </c>
      <c r="X10" s="703"/>
      <c r="Y10" s="3599"/>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8"/>
      <c r="P11" s="3724"/>
      <c r="Q11" s="1343"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6"/>
      <c r="P12" s="3724"/>
      <c r="Q12" s="1343" t="str">
        <f t="shared" si="6"/>
        <v>配建</v>
      </c>
      <c r="R12" s="701" t="s">
        <v>14</v>
      </c>
      <c r="S12" s="702">
        <f t="shared" si="0"/>
        <v>100</v>
      </c>
      <c r="T12" s="701" t="s">
        <v>14</v>
      </c>
      <c r="U12" s="702">
        <f t="shared" si="1"/>
        <v>100</v>
      </c>
      <c r="V12" s="701" t="s">
        <v>14</v>
      </c>
      <c r="W12" s="702">
        <f t="shared" si="2"/>
        <v>100</v>
      </c>
      <c r="X12" s="703"/>
      <c r="Y12" s="359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8"/>
      <c r="P13" s="3724"/>
      <c r="Q13" s="1343">
        <f t="shared" si="6"/>
        <v>111</v>
      </c>
      <c r="R13" s="701" t="s">
        <v>14</v>
      </c>
      <c r="S13" s="702">
        <f t="shared" si="0"/>
        <v>100</v>
      </c>
      <c r="T13" s="701" t="s">
        <v>14</v>
      </c>
      <c r="U13" s="702">
        <f t="shared" si="1"/>
        <v>100</v>
      </c>
      <c r="V13" s="701" t="s">
        <v>14</v>
      </c>
      <c r="W13" s="702">
        <f t="shared" si="2"/>
        <v>100</v>
      </c>
      <c r="X13" s="703"/>
      <c r="Y13" s="359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8"/>
      <c r="P14" s="3724"/>
      <c r="Q14" s="1343">
        <f t="shared" si="6"/>
        <v>111</v>
      </c>
      <c r="R14" s="701" t="s">
        <v>14</v>
      </c>
      <c r="S14" s="702">
        <f t="shared" si="0"/>
        <v>100</v>
      </c>
      <c r="T14" s="701" t="s">
        <v>14</v>
      </c>
      <c r="U14" s="702">
        <f t="shared" si="1"/>
        <v>100</v>
      </c>
      <c r="V14" s="701" t="s">
        <v>14</v>
      </c>
      <c r="W14" s="702">
        <f t="shared" si="2"/>
        <v>100</v>
      </c>
      <c r="X14" s="703"/>
      <c r="Y14" s="3599"/>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8"/>
      <c r="P15" s="3726" t="s">
        <v>1691</v>
      </c>
      <c r="Q15" s="1352" t="str">
        <f t="shared" si="6"/>
        <v>居住社区成熟度</v>
      </c>
      <c r="R15" s="705" t="s">
        <v>14</v>
      </c>
      <c r="S15" s="706">
        <f t="shared" si="0"/>
        <v>100</v>
      </c>
      <c r="T15" s="705" t="s">
        <v>14</v>
      </c>
      <c r="U15" s="706">
        <f t="shared" si="1"/>
        <v>100</v>
      </c>
      <c r="V15" s="705" t="s">
        <v>14</v>
      </c>
      <c r="W15" s="706">
        <f t="shared" si="2"/>
        <v>100</v>
      </c>
      <c r="X15" s="1355"/>
      <c r="Y15" s="372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8"/>
      <c r="P16" s="3727"/>
      <c r="Q16" s="1352"/>
      <c r="R16" s="705"/>
      <c r="S16" s="706"/>
      <c r="T16" s="705"/>
      <c r="U16" s="706"/>
      <c r="V16" s="705"/>
      <c r="W16" s="706"/>
      <c r="X16" s="1355"/>
      <c r="Y16" s="3727"/>
      <c r="Z16" s="1356"/>
      <c r="AA16" s="1353">
        <v>1</v>
      </c>
      <c r="AB16" s="1353">
        <v>1</v>
      </c>
      <c r="AC16" s="1353">
        <v>1</v>
      </c>
    </row>
    <row r="17" spans="1:29" ht="15">
      <c r="A17" s="379"/>
      <c r="B17" s="402" t="s">
        <v>1777</v>
      </c>
      <c r="C17" s="1955"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8"/>
      <c r="P17" s="3727"/>
      <c r="Q17" s="1352" t="str">
        <f>B17</f>
        <v>商业繁华度</v>
      </c>
      <c r="R17" s="705" t="s">
        <v>14</v>
      </c>
      <c r="S17" s="706">
        <f>F17</f>
        <v>100</v>
      </c>
      <c r="T17" s="705" t="s">
        <v>14</v>
      </c>
      <c r="U17" s="706">
        <f>H17</f>
        <v>100</v>
      </c>
      <c r="V17" s="705" t="s">
        <v>14</v>
      </c>
      <c r="W17" s="706">
        <f>J17</f>
        <v>100</v>
      </c>
      <c r="X17" s="1355"/>
      <c r="Y17" s="37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8"/>
      <c r="P18" s="3727"/>
      <c r="Q18" s="1352"/>
      <c r="R18" s="705"/>
      <c r="S18" s="706"/>
      <c r="T18" s="705"/>
      <c r="U18" s="706"/>
      <c r="V18" s="705"/>
      <c r="W18" s="706"/>
      <c r="X18" s="1355"/>
      <c r="Y18" s="372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8"/>
      <c r="P19" s="3727"/>
      <c r="Q19" s="1352" t="str">
        <f>B19</f>
        <v>办公集聚程度</v>
      </c>
      <c r="R19" s="705" t="s">
        <v>14</v>
      </c>
      <c r="S19" s="706">
        <f>F19</f>
        <v>100</v>
      </c>
      <c r="T19" s="705" t="s">
        <v>14</v>
      </c>
      <c r="U19" s="706">
        <f>H19</f>
        <v>100</v>
      </c>
      <c r="V19" s="705" t="s">
        <v>14</v>
      </c>
      <c r="W19" s="706">
        <f>J19</f>
        <v>100</v>
      </c>
      <c r="X19" s="1355"/>
      <c r="Y19" s="37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8"/>
      <c r="P20" s="3727"/>
      <c r="Q20" s="1352"/>
      <c r="R20" s="705"/>
      <c r="S20" s="706"/>
      <c r="T20" s="705"/>
      <c r="U20" s="706"/>
      <c r="V20" s="705"/>
      <c r="W20" s="706"/>
      <c r="X20" s="1355"/>
      <c r="Y20" s="3727"/>
      <c r="Z20" s="1356"/>
      <c r="AA20" s="1353">
        <v>1</v>
      </c>
      <c r="AB20" s="1353">
        <v>1</v>
      </c>
      <c r="AC20" s="1353">
        <v>1</v>
      </c>
    </row>
    <row r="21" spans="1:29" ht="15">
      <c r="A21" s="379"/>
      <c r="B21" s="402" t="s">
        <v>1833</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8"/>
      <c r="P21" s="3727"/>
      <c r="Q21" s="1352" t="str">
        <f>B21</f>
        <v>交通便捷度</v>
      </c>
      <c r="R21" s="705" t="s">
        <v>14</v>
      </c>
      <c r="S21" s="706">
        <f>F21</f>
        <v>100</v>
      </c>
      <c r="T21" s="705" t="s">
        <v>14</v>
      </c>
      <c r="U21" s="706">
        <f>H21</f>
        <v>100</v>
      </c>
      <c r="V21" s="705" t="s">
        <v>14</v>
      </c>
      <c r="W21" s="706">
        <f>J21</f>
        <v>100</v>
      </c>
      <c r="X21" s="1355"/>
      <c r="Y21" s="37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8"/>
      <c r="P22" s="3727"/>
      <c r="Q22" s="1352"/>
      <c r="R22" s="705"/>
      <c r="S22" s="706"/>
      <c r="T22" s="705"/>
      <c r="U22" s="706"/>
      <c r="V22" s="705"/>
      <c r="W22" s="706"/>
      <c r="X22" s="1355"/>
      <c r="Y22" s="372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8"/>
      <c r="P23" s="3727"/>
      <c r="Q23" s="1352" t="str">
        <f t="shared" ref="Q23:Q37" si="8">B23</f>
        <v>区域土地利用方向</v>
      </c>
      <c r="R23" s="705" t="s">
        <v>14</v>
      </c>
      <c r="S23" s="706">
        <f>F23</f>
        <v>100</v>
      </c>
      <c r="T23" s="705" t="s">
        <v>14</v>
      </c>
      <c r="U23" s="706">
        <f>H23</f>
        <v>100</v>
      </c>
      <c r="V23" s="705" t="s">
        <v>14</v>
      </c>
      <c r="W23" s="706">
        <f>J23</f>
        <v>100</v>
      </c>
      <c r="X23" s="1355"/>
      <c r="Y23" s="37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8"/>
      <c r="P24" s="3727"/>
      <c r="Q24" s="1352"/>
      <c r="R24" s="705"/>
      <c r="S24" s="706"/>
      <c r="T24" s="705"/>
      <c r="U24" s="706"/>
      <c r="V24" s="705"/>
      <c r="W24" s="706"/>
      <c r="X24" s="1355"/>
      <c r="Y24" s="3727"/>
      <c r="Z24" s="1356"/>
      <c r="AA24" s="1353"/>
      <c r="AB24" s="1353"/>
      <c r="AC24" s="1353"/>
    </row>
    <row r="25" spans="1:29" ht="27">
      <c r="A25" s="358"/>
      <c r="B25" s="1131" t="s">
        <v>1872</v>
      </c>
      <c r="C25" s="1955" t="str">
        <f>估价对象房地状况!C20</f>
        <v>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8"/>
      <c r="P25" s="3727"/>
      <c r="Q25" s="1352" t="str">
        <f t="shared" si="8"/>
        <v>自然及人文环境状况</v>
      </c>
      <c r="R25" s="705" t="s">
        <v>14</v>
      </c>
      <c r="S25" s="706">
        <f>F25</f>
        <v>100</v>
      </c>
      <c r="T25" s="705" t="s">
        <v>14</v>
      </c>
      <c r="U25" s="706">
        <f>H25</f>
        <v>100</v>
      </c>
      <c r="V25" s="705" t="s">
        <v>14</v>
      </c>
      <c r="W25" s="706">
        <f>J25</f>
        <v>100</v>
      </c>
      <c r="X25" s="1355"/>
      <c r="Y25" s="37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8"/>
      <c r="P26" s="3727"/>
      <c r="Q26" s="1352"/>
      <c r="R26" s="705"/>
      <c r="S26" s="706"/>
      <c r="T26" s="705"/>
      <c r="U26" s="706"/>
      <c r="V26" s="705"/>
      <c r="W26" s="706"/>
      <c r="X26" s="1355"/>
      <c r="Y26" s="3727"/>
      <c r="Z26" s="1356"/>
      <c r="AA26" s="1353">
        <v>1</v>
      </c>
      <c r="AB26" s="1353">
        <v>1</v>
      </c>
      <c r="AC26" s="1353">
        <v>1</v>
      </c>
    </row>
    <row r="27" spans="1:29" s="108" customFormat="1" ht="15">
      <c r="A27" s="597"/>
      <c r="B27" s="1131" t="s">
        <v>1778</v>
      </c>
      <c r="C27" s="1900"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6"/>
      <c r="P27" s="3727"/>
      <c r="Q27" s="1343" t="str">
        <f t="shared" si="8"/>
        <v>公共配套设施</v>
      </c>
      <c r="R27" s="701" t="s">
        <v>14</v>
      </c>
      <c r="S27" s="702">
        <f>F27</f>
        <v>100</v>
      </c>
      <c r="T27" s="701" t="s">
        <v>14</v>
      </c>
      <c r="U27" s="702">
        <f>H27</f>
        <v>100</v>
      </c>
      <c r="V27" s="701" t="s">
        <v>14</v>
      </c>
      <c r="W27" s="702">
        <f>J27</f>
        <v>100</v>
      </c>
      <c r="X27" s="703"/>
      <c r="Y27" s="37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6"/>
      <c r="P28" s="3727"/>
      <c r="Q28" s="1343"/>
      <c r="R28" s="701"/>
      <c r="S28" s="702"/>
      <c r="T28" s="701"/>
      <c r="U28" s="702"/>
      <c r="V28" s="701"/>
      <c r="W28" s="702"/>
      <c r="X28" s="703"/>
      <c r="Y28" s="372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6"/>
      <c r="P29" s="3727"/>
      <c r="Q29" s="1343"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6"/>
      <c r="P30" s="3727"/>
      <c r="Q30" s="1343"/>
      <c r="R30" s="701"/>
      <c r="S30" s="702"/>
      <c r="T30" s="701"/>
      <c r="U30" s="702"/>
      <c r="V30" s="701"/>
      <c r="W30" s="702"/>
      <c r="X30" s="703"/>
      <c r="Y30" s="372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8"/>
      <c r="P31" s="37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8"/>
      <c r="P32" s="3727"/>
      <c r="Q32" s="1352" t="str">
        <f t="shared" si="8"/>
        <v>毗邻道路的类型与等级</v>
      </c>
      <c r="R32" s="705" t="s">
        <v>14</v>
      </c>
      <c r="S32" s="706">
        <f t="shared" si="10"/>
        <v>100</v>
      </c>
      <c r="T32" s="705" t="s">
        <v>14</v>
      </c>
      <c r="U32" s="706">
        <f t="shared" si="11"/>
        <v>100</v>
      </c>
      <c r="V32" s="705" t="s">
        <v>14</v>
      </c>
      <c r="W32" s="706">
        <f t="shared" si="12"/>
        <v>100</v>
      </c>
      <c r="X32" s="1355"/>
      <c r="Y32" s="37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8"/>
      <c r="P33" s="3727"/>
      <c r="Q33" s="1352"/>
      <c r="R33" s="705"/>
      <c r="S33" s="706"/>
      <c r="T33" s="705"/>
      <c r="U33" s="706"/>
      <c r="V33" s="705"/>
      <c r="W33" s="706"/>
      <c r="X33" s="1355"/>
      <c r="Y33" s="372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8"/>
      <c r="P34" s="3727"/>
      <c r="Q34" s="1352" t="str">
        <f t="shared" si="8"/>
        <v>土地级别</v>
      </c>
      <c r="R34" s="705" t="s">
        <v>14</v>
      </c>
      <c r="S34" s="706">
        <f t="shared" si="10"/>
        <v>100</v>
      </c>
      <c r="T34" s="705" t="s">
        <v>14</v>
      </c>
      <c r="U34" s="706">
        <f t="shared" si="11"/>
        <v>100</v>
      </c>
      <c r="V34" s="705" t="s">
        <v>14</v>
      </c>
      <c r="W34" s="706">
        <f t="shared" si="12"/>
        <v>100</v>
      </c>
      <c r="X34" s="1355"/>
      <c r="Y34" s="37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8"/>
      <c r="P35" s="3727"/>
      <c r="Q35" s="1352">
        <f t="shared" si="8"/>
        <v>111</v>
      </c>
      <c r="R35" s="705" t="s">
        <v>14</v>
      </c>
      <c r="S35" s="706">
        <f t="shared" si="10"/>
        <v>100</v>
      </c>
      <c r="T35" s="705" t="s">
        <v>14</v>
      </c>
      <c r="U35" s="706">
        <f t="shared" si="11"/>
        <v>100</v>
      </c>
      <c r="V35" s="705" t="s">
        <v>14</v>
      </c>
      <c r="W35" s="706">
        <f t="shared" si="12"/>
        <v>100</v>
      </c>
      <c r="X35" s="1355"/>
      <c r="Y35" s="37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8"/>
      <c r="P36" s="3802" t="s">
        <v>1696</v>
      </c>
      <c r="Q36" s="1352">
        <f t="shared" si="8"/>
        <v>111</v>
      </c>
      <c r="R36" s="705" t="s">
        <v>14</v>
      </c>
      <c r="S36" s="706">
        <f t="shared" si="10"/>
        <v>100</v>
      </c>
      <c r="T36" s="705" t="s">
        <v>14</v>
      </c>
      <c r="U36" s="706">
        <f t="shared" si="11"/>
        <v>100</v>
      </c>
      <c r="V36" s="705" t="s">
        <v>14</v>
      </c>
      <c r="W36" s="706">
        <f t="shared" si="12"/>
        <v>100</v>
      </c>
      <c r="X36" s="1355"/>
      <c r="Y36" s="373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69"/>
      <c r="P37" s="3731"/>
      <c r="Q37" s="1352">
        <f t="shared" si="8"/>
        <v>111</v>
      </c>
      <c r="R37" s="708" t="s">
        <v>14</v>
      </c>
      <c r="S37" s="709">
        <f t="shared" si="10"/>
        <v>100</v>
      </c>
      <c r="T37" s="708" t="s">
        <v>14</v>
      </c>
      <c r="U37" s="709">
        <f t="shared" si="11"/>
        <v>100</v>
      </c>
      <c r="V37" s="708" t="s">
        <v>14</v>
      </c>
      <c r="W37" s="709">
        <f t="shared" si="12"/>
        <v>100</v>
      </c>
      <c r="X37" s="710"/>
      <c r="Y37" s="373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8"/>
      <c r="P38" s="3731"/>
      <c r="Q38" s="1352" t="str">
        <f>B38</f>
        <v>宗地面积</v>
      </c>
      <c r="R38" s="705" t="s">
        <v>14</v>
      </c>
      <c r="S38" s="706" t="e">
        <f t="shared" si="10"/>
        <v>#N/A</v>
      </c>
      <c r="T38" s="705" t="s">
        <v>14</v>
      </c>
      <c r="U38" s="706" t="e">
        <f t="shared" si="11"/>
        <v>#N/A</v>
      </c>
      <c r="V38" s="705" t="s">
        <v>14</v>
      </c>
      <c r="W38" s="706" t="e">
        <f t="shared" si="12"/>
        <v>#N/A</v>
      </c>
      <c r="X38" s="1355"/>
      <c r="Y38" s="373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8"/>
      <c r="P39" s="3731"/>
      <c r="Q39" s="1352" t="str">
        <f t="shared" ref="Q39:Q45" si="14">B39</f>
        <v>宗地形状</v>
      </c>
      <c r="R39" s="705" t="s">
        <v>14</v>
      </c>
      <c r="S39" s="706">
        <f t="shared" si="10"/>
        <v>100</v>
      </c>
      <c r="T39" s="705" t="s">
        <v>14</v>
      </c>
      <c r="U39" s="706">
        <f t="shared" si="11"/>
        <v>100</v>
      </c>
      <c r="V39" s="705" t="s">
        <v>14</v>
      </c>
      <c r="W39" s="706">
        <f t="shared" si="12"/>
        <v>100</v>
      </c>
      <c r="X39" s="1355"/>
      <c r="Y39" s="373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8"/>
      <c r="P40" s="3731"/>
      <c r="Q40" s="1352" t="str">
        <f t="shared" si="14"/>
        <v>临街宽度及深度</v>
      </c>
      <c r="R40" s="705" t="s">
        <v>14</v>
      </c>
      <c r="S40" s="706">
        <f t="shared" si="10"/>
        <v>100</v>
      </c>
      <c r="T40" s="705" t="s">
        <v>14</v>
      </c>
      <c r="U40" s="706">
        <f t="shared" si="11"/>
        <v>100</v>
      </c>
      <c r="V40" s="705" t="s">
        <v>14</v>
      </c>
      <c r="W40" s="706">
        <f t="shared" si="12"/>
        <v>100</v>
      </c>
      <c r="X40" s="1355"/>
      <c r="Y40" s="373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6"/>
      <c r="P41" s="3731"/>
      <c r="Q41" s="1352"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8"/>
      <c r="P42" s="3731" t="s">
        <v>1696</v>
      </c>
      <c r="Q42" s="1352" t="str">
        <f t="shared" si="14"/>
        <v>工程地质条件</v>
      </c>
      <c r="R42" s="705" t="s">
        <v>14</v>
      </c>
      <c r="S42" s="706">
        <f t="shared" si="10"/>
        <v>100</v>
      </c>
      <c r="T42" s="705" t="s">
        <v>14</v>
      </c>
      <c r="U42" s="706">
        <f t="shared" si="11"/>
        <v>100</v>
      </c>
      <c r="V42" s="705" t="s">
        <v>14</v>
      </c>
      <c r="W42" s="706">
        <f t="shared" si="12"/>
        <v>100</v>
      </c>
      <c r="X42" s="1355"/>
      <c r="Y42" s="373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8"/>
      <c r="P43" s="3731"/>
      <c r="Q43" s="1352">
        <f t="shared" si="14"/>
        <v>111</v>
      </c>
      <c r="R43" s="705" t="s">
        <v>14</v>
      </c>
      <c r="S43" s="706">
        <f t="shared" si="10"/>
        <v>100</v>
      </c>
      <c r="T43" s="705" t="s">
        <v>14</v>
      </c>
      <c r="U43" s="706">
        <f t="shared" si="11"/>
        <v>100</v>
      </c>
      <c r="V43" s="705" t="s">
        <v>14</v>
      </c>
      <c r="W43" s="706">
        <f t="shared" si="12"/>
        <v>100</v>
      </c>
      <c r="X43" s="1355"/>
      <c r="Y43" s="37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8"/>
      <c r="P44" s="3731"/>
      <c r="Q44" s="1352">
        <f t="shared" si="14"/>
        <v>111</v>
      </c>
      <c r="R44" s="705" t="s">
        <v>14</v>
      </c>
      <c r="S44" s="706">
        <f t="shared" si="10"/>
        <v>100</v>
      </c>
      <c r="T44" s="705" t="s">
        <v>14</v>
      </c>
      <c r="U44" s="706">
        <f t="shared" si="11"/>
        <v>100</v>
      </c>
      <c r="V44" s="705" t="s">
        <v>14</v>
      </c>
      <c r="W44" s="706">
        <f t="shared" si="12"/>
        <v>100</v>
      </c>
      <c r="X44" s="1355"/>
      <c r="Y44" s="373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69"/>
      <c r="P45" s="3731"/>
      <c r="Q45" s="1352">
        <f t="shared" si="14"/>
        <v>111</v>
      </c>
      <c r="R45" s="708" t="s">
        <v>14</v>
      </c>
      <c r="S45" s="709">
        <f t="shared" si="10"/>
        <v>100</v>
      </c>
      <c r="T45" s="708" t="s">
        <v>14</v>
      </c>
      <c r="U45" s="709">
        <f t="shared" si="11"/>
        <v>100</v>
      </c>
      <c r="V45" s="708" t="s">
        <v>14</v>
      </c>
      <c r="W45" s="709">
        <f t="shared" si="12"/>
        <v>100</v>
      </c>
      <c r="X45" s="710"/>
      <c r="Y45" s="373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724" t="str">
        <f>A46</f>
        <v>成交单价</v>
      </c>
      <c r="Q46" s="3724"/>
      <c r="R46" s="3755">
        <f>E46</f>
        <v>0</v>
      </c>
      <c r="S46" s="3755"/>
      <c r="T46" s="3755">
        <f>G46</f>
        <v>0</v>
      </c>
      <c r="U46" s="3755"/>
      <c r="V46" s="3755">
        <f>I46</f>
        <v>0</v>
      </c>
      <c r="W46" s="375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724" t="str">
        <f>A47</f>
        <v>比较价值（元/平方米）</v>
      </c>
      <c r="Q47" s="3724"/>
      <c r="R47" s="3804" t="e">
        <f>ROUND(PRODUCT(R46,AA7:AA45),0)</f>
        <v>#DIV/0!</v>
      </c>
      <c r="S47" s="3804"/>
      <c r="T47" s="3804" t="e">
        <f>ROUND(PRODUCT(T46,AB7:AB45),0)</f>
        <v>#DIV/0!</v>
      </c>
      <c r="U47" s="3804"/>
      <c r="V47" s="3804" t="e">
        <f>ROUND(PRODUCT(V46,AC7:AC45),0)</f>
        <v>#DIV/0!</v>
      </c>
      <c r="W47" s="380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21" t="str">
        <f>A48</f>
        <v>估价对象XX用房的比较价值（楼面单价，元/平方米）</v>
      </c>
      <c r="Q48" s="3722"/>
      <c r="R48" s="3805" t="e">
        <f>ROUND(IF(D47="简单平均",AVERAGE(R47:W47),R47*F47+T47*H47+V47*J47),0)</f>
        <v>#DIV/0!</v>
      </c>
      <c r="S48" s="3805"/>
      <c r="T48" s="3805"/>
      <c r="U48" s="3805"/>
      <c r="V48" s="3805"/>
      <c r="W48" s="380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739" t="s">
        <v>1887</v>
      </c>
      <c r="H55" s="3806"/>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34425.75</v>
      </c>
      <c r="F56" s="886" t="e">
        <f t="shared" ref="F56:F64" si="15">ROUND(B56*E56/10000,0)</f>
        <v>#DIV/0!</v>
      </c>
      <c r="G56" s="3735"/>
      <c r="H56" s="3724"/>
      <c r="I56" s="891">
        <v>1</v>
      </c>
      <c r="J56" s="894">
        <v>1</v>
      </c>
      <c r="K56" s="2723"/>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5">
        <v>0.25</v>
      </c>
      <c r="E57" s="642"/>
      <c r="F57" s="886" t="e">
        <f t="shared" si="15"/>
        <v>#DIV/0!</v>
      </c>
      <c r="G57" s="3000" t="s">
        <v>1892</v>
      </c>
      <c r="H57" s="887" t="str">
        <f>项目基本情况!B37</f>
        <v>一级</v>
      </c>
      <c r="I57" s="891">
        <f>SUMIF(修正!A57:A68,H57,修正!B57:B68)</f>
        <v>0.7</v>
      </c>
      <c r="J57" s="895"/>
      <c r="K57" s="2720"/>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5">
        <v>0.25</v>
      </c>
      <c r="E58" s="642"/>
      <c r="F58" s="886" t="e">
        <f t="shared" si="15"/>
        <v>#DIV/0!</v>
      </c>
      <c r="G58" s="3001"/>
      <c r="H58" s="887" t="str">
        <f>项目基本情况!B37</f>
        <v>一级</v>
      </c>
      <c r="I58" s="891">
        <f>SUMIF(修正!A57:A68,H58,修正!C57:C68)</f>
        <v>0.4</v>
      </c>
      <c r="J58" s="895"/>
      <c r="K58" s="2723"/>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5">
        <v>0.25</v>
      </c>
      <c r="E59" s="642"/>
      <c r="F59" s="886" t="e">
        <f t="shared" si="15"/>
        <v>#DIV/0!</v>
      </c>
      <c r="G59" s="3001"/>
      <c r="H59" s="887" t="str">
        <f>项目基本情况!B37</f>
        <v>一级</v>
      </c>
      <c r="I59" s="891">
        <f>SUMIF(修正!A57:A68,H59,修正!D57:D68)</f>
        <v>0.3</v>
      </c>
      <c r="J59" s="895"/>
      <c r="K59" s="2720"/>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0"/>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3"/>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0.2</v>
      </c>
      <c r="D62" s="945">
        <v>0.25</v>
      </c>
      <c r="E62" s="217">
        <f>'数据-汇总表'!E13</f>
        <v>7285.14</v>
      </c>
      <c r="F62" s="886" t="e">
        <f t="shared" si="15"/>
        <v>#DIV/0!</v>
      </c>
      <c r="G62" s="892" t="s">
        <v>1900</v>
      </c>
      <c r="H62" s="887" t="str">
        <f>IF(G62="商业",项目基本情况!B37,IF(G62="办公",项目基本情况!C37,IF(G62="住宅",项目基本情况!D37,项目基本情况!E37)))</f>
        <v>一级</v>
      </c>
      <c r="I62" s="891">
        <f>SUMIF(修正!A57:A68,H62,修正!G57:G68)</f>
        <v>0.2</v>
      </c>
      <c r="J62" s="895"/>
      <c r="K62" s="2720"/>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3"/>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0"/>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41710.89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3"/>
      <c r="O68" s="2763"/>
      <c r="P68" s="2763"/>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8"/>
      <c r="O75" s="2748"/>
      <c r="P75" s="2772"/>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7"/>
      <c r="O76" s="2747"/>
      <c r="P76" s="2772"/>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8"/>
      <c r="O77" s="2748"/>
      <c r="P77" s="2772"/>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7"/>
      <c r="O79" s="2747"/>
      <c r="P79" s="2772"/>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8"/>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7"/>
      <c r="O105" s="2747"/>
      <c r="P105" s="2772"/>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7"/>
      <c r="O107" s="2747"/>
      <c r="P107" s="2772"/>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7"/>
      <c r="O109" s="2747"/>
      <c r="P109" s="2772"/>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8"/>
      <c r="O110" s="2748"/>
      <c r="P110" s="2772"/>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7"/>
      <c r="O111" s="2747"/>
      <c r="P111" s="2772"/>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8"/>
      <c r="O112" s="2748"/>
      <c r="P112" s="2772"/>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7"/>
      <c r="O116" s="2747"/>
      <c r="P116" s="2772"/>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8"/>
      <c r="O117" s="2748"/>
      <c r="P117" s="2772"/>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7"/>
      <c r="O118" s="2747"/>
      <c r="P118" s="2772"/>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7"/>
      <c r="O120" s="2747"/>
      <c r="P120" s="2772"/>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7"/>
      <c r="O126" s="2747"/>
      <c r="P126" s="2772"/>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8"/>
      <c r="O127" s="2748"/>
      <c r="P127" s="2772"/>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7"/>
      <c r="O128" s="2747"/>
      <c r="P128" s="2772"/>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8"/>
      <c r="O129" s="2748"/>
      <c r="P129" s="2772"/>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39" t="s">
        <v>1770</v>
      </c>
      <c r="D4" s="3740"/>
      <c r="E4" s="3741" t="s">
        <v>1771</v>
      </c>
      <c r="F4" s="3742"/>
      <c r="G4" s="3739" t="s">
        <v>1772</v>
      </c>
      <c r="H4" s="3740"/>
      <c r="I4" s="3739" t="s">
        <v>1773</v>
      </c>
      <c r="J4" s="3740"/>
      <c r="K4" s="559" t="s">
        <v>1774</v>
      </c>
      <c r="L4" s="2710"/>
      <c r="M4" s="2711"/>
      <c r="N4" s="2711"/>
      <c r="O4" s="2711"/>
      <c r="P4" s="3743" t="s">
        <v>1775</v>
      </c>
      <c r="Q4" s="3744"/>
      <c r="R4" s="3749" t="s">
        <v>1771</v>
      </c>
      <c r="S4" s="3750"/>
      <c r="T4" s="3749" t="s">
        <v>1772</v>
      </c>
      <c r="U4" s="3750"/>
      <c r="V4" s="3755" t="s">
        <v>1773</v>
      </c>
      <c r="W4" s="3755"/>
      <c r="X4" s="1355"/>
      <c r="Y4" s="3749" t="s">
        <v>1775</v>
      </c>
      <c r="Z4" s="3750"/>
      <c r="AA4" s="3736" t="s">
        <v>1771</v>
      </c>
      <c r="AB4" s="3737" t="s">
        <v>1772</v>
      </c>
      <c r="AC4" s="3736" t="s">
        <v>1773</v>
      </c>
    </row>
    <row r="5" spans="1:29" ht="15">
      <c r="A5" s="358"/>
      <c r="B5" s="359"/>
      <c r="C5" s="3758" t="s">
        <v>1673</v>
      </c>
      <c r="D5" s="3759"/>
      <c r="E5" s="3765" t="s">
        <v>1674</v>
      </c>
      <c r="F5" s="3766"/>
      <c r="G5" s="3758" t="s">
        <v>1675</v>
      </c>
      <c r="H5" s="3759"/>
      <c r="I5" s="3758" t="s">
        <v>1676</v>
      </c>
      <c r="J5" s="3759"/>
      <c r="K5" s="559"/>
      <c r="L5" s="2710"/>
      <c r="M5" s="2711"/>
      <c r="N5" s="2711"/>
      <c r="O5" s="2711"/>
      <c r="P5" s="3745"/>
      <c r="Q5" s="3746"/>
      <c r="R5" s="3751"/>
      <c r="S5" s="3752"/>
      <c r="T5" s="3751"/>
      <c r="U5" s="3752"/>
      <c r="V5" s="3755"/>
      <c r="W5" s="3755"/>
      <c r="X5" s="1355"/>
      <c r="Y5" s="3751"/>
      <c r="Z5" s="3752"/>
      <c r="AA5" s="3737"/>
      <c r="AB5" s="3737"/>
      <c r="AC5" s="3737"/>
    </row>
    <row r="6" spans="1:29" ht="15.75" thickBot="1">
      <c r="A6" s="360"/>
      <c r="B6" s="361"/>
      <c r="C6" s="3807" t="s">
        <v>1919</v>
      </c>
      <c r="D6" s="3808"/>
      <c r="E6" s="3809" t="s">
        <v>1919</v>
      </c>
      <c r="F6" s="3810"/>
      <c r="G6" s="3807" t="s">
        <v>1919</v>
      </c>
      <c r="H6" s="3808"/>
      <c r="I6" s="3807" t="s">
        <v>1919</v>
      </c>
      <c r="J6" s="3808"/>
      <c r="K6" s="559" t="s">
        <v>1678</v>
      </c>
      <c r="L6" s="2710"/>
      <c r="M6" s="2711"/>
      <c r="N6" s="2711"/>
      <c r="O6" s="2711"/>
      <c r="P6" s="3747"/>
      <c r="Q6" s="3748"/>
      <c r="R6" s="3751"/>
      <c r="S6" s="3752"/>
      <c r="T6" s="3753"/>
      <c r="U6" s="3754"/>
      <c r="V6" s="3755"/>
      <c r="W6" s="3755"/>
      <c r="X6" s="1355"/>
      <c r="Y6" s="3753"/>
      <c r="Z6" s="3754"/>
      <c r="AA6" s="3738"/>
      <c r="AB6" s="3738"/>
      <c r="AC6" s="3738"/>
    </row>
    <row r="7" spans="1:29" s="108" customFormat="1" ht="15.75" thickBot="1">
      <c r="A7" s="362" t="s">
        <v>1679</v>
      </c>
      <c r="B7" s="363"/>
      <c r="C7" s="364">
        <f>'数据-取费表'!B2</f>
        <v>45531</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60" t="s">
        <v>1680</v>
      </c>
      <c r="Q7" s="3762"/>
      <c r="R7" s="701" t="s">
        <v>14</v>
      </c>
      <c r="S7" s="702">
        <f t="shared" ref="S7:S15" si="0">F7</f>
        <v>0</v>
      </c>
      <c r="T7" s="701" t="s">
        <v>14</v>
      </c>
      <c r="U7" s="702">
        <f t="shared" ref="U7:U15" si="1">H7</f>
        <v>0</v>
      </c>
      <c r="V7" s="701" t="s">
        <v>14</v>
      </c>
      <c r="W7" s="702">
        <f t="shared" ref="W7:W15" si="2">J7</f>
        <v>0</v>
      </c>
      <c r="X7" s="703"/>
      <c r="Y7" s="3760" t="s">
        <v>1680</v>
      </c>
      <c r="Z7" s="37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60" t="s">
        <v>1683</v>
      </c>
      <c r="Q8" s="3761"/>
      <c r="R8" s="701" t="s">
        <v>14</v>
      </c>
      <c r="S8" s="702">
        <f t="shared" si="0"/>
        <v>0</v>
      </c>
      <c r="T8" s="701" t="s">
        <v>14</v>
      </c>
      <c r="U8" s="702">
        <f t="shared" si="1"/>
        <v>0</v>
      </c>
      <c r="V8" s="701" t="s">
        <v>14</v>
      </c>
      <c r="W8" s="702">
        <f t="shared" si="2"/>
        <v>0</v>
      </c>
      <c r="X8" s="703"/>
      <c r="Y8" s="3760" t="s">
        <v>1683</v>
      </c>
      <c r="Z8" s="376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6"/>
      <c r="P9" s="3724" t="s">
        <v>1686</v>
      </c>
      <c r="Q9" s="1343" t="str">
        <f t="shared" ref="Q9:Q15" si="6">B9</f>
        <v>用途</v>
      </c>
      <c r="R9" s="701" t="s">
        <v>14</v>
      </c>
      <c r="S9" s="702">
        <f t="shared" si="0"/>
        <v>100</v>
      </c>
      <c r="T9" s="701" t="s">
        <v>14</v>
      </c>
      <c r="U9" s="702">
        <f t="shared" si="1"/>
        <v>100</v>
      </c>
      <c r="V9" s="701" t="s">
        <v>14</v>
      </c>
      <c r="W9" s="702">
        <f t="shared" si="2"/>
        <v>100</v>
      </c>
      <c r="X9" s="703"/>
      <c r="Y9" s="359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4"/>
      <c r="M10" s="2715"/>
      <c r="N10" s="2715"/>
      <c r="O10" s="2767"/>
      <c r="P10" s="3724"/>
      <c r="Q10" s="1343" t="str">
        <f t="shared" si="6"/>
        <v>土地使用年限（年）</v>
      </c>
      <c r="R10" s="701" t="s">
        <v>14</v>
      </c>
      <c r="S10" s="702">
        <f t="shared" si="0"/>
        <v>122</v>
      </c>
      <c r="T10" s="701" t="s">
        <v>14</v>
      </c>
      <c r="U10" s="702">
        <f t="shared" si="1"/>
        <v>122</v>
      </c>
      <c r="V10" s="701" t="s">
        <v>14</v>
      </c>
      <c r="W10" s="702">
        <f t="shared" si="2"/>
        <v>122</v>
      </c>
      <c r="X10" s="703"/>
      <c r="Y10" s="3599"/>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8"/>
      <c r="P11" s="3724"/>
      <c r="Q11" s="1343"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6"/>
      <c r="P12" s="3724"/>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8"/>
      <c r="P13" s="3724"/>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8"/>
      <c r="P14" s="3724"/>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8"/>
      <c r="P15" s="3726" t="s">
        <v>1691</v>
      </c>
      <c r="Q15" s="1352" t="str">
        <f t="shared" si="6"/>
        <v>产业集聚程度</v>
      </c>
      <c r="R15" s="705" t="s">
        <v>14</v>
      </c>
      <c r="S15" s="706">
        <f t="shared" si="0"/>
        <v>100</v>
      </c>
      <c r="T15" s="705" t="s">
        <v>14</v>
      </c>
      <c r="U15" s="706">
        <f t="shared" si="1"/>
        <v>100</v>
      </c>
      <c r="V15" s="705" t="s">
        <v>14</v>
      </c>
      <c r="W15" s="706">
        <f t="shared" si="2"/>
        <v>100</v>
      </c>
      <c r="X15" s="1355"/>
      <c r="Y15" s="372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8"/>
      <c r="P16" s="3727"/>
      <c r="Q16" s="1352"/>
      <c r="R16" s="705"/>
      <c r="S16" s="706"/>
      <c r="T16" s="705"/>
      <c r="U16" s="706"/>
      <c r="V16" s="705"/>
      <c r="W16" s="706"/>
      <c r="X16" s="1355"/>
      <c r="Y16" s="372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8"/>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8"/>
      <c r="P18" s="3727"/>
      <c r="Q18" s="1352"/>
      <c r="R18" s="705"/>
      <c r="S18" s="706"/>
      <c r="T18" s="705"/>
      <c r="U18" s="706"/>
      <c r="V18" s="705"/>
      <c r="W18" s="706"/>
      <c r="X18" s="1355"/>
      <c r="Y18" s="372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8"/>
      <c r="P19" s="3727"/>
      <c r="Q19" s="1352" t="str">
        <f t="shared" ref="Q19:Q33" si="8">B19</f>
        <v>区域土地利用方向</v>
      </c>
      <c r="R19" s="705" t="s">
        <v>14</v>
      </c>
      <c r="S19" s="706">
        <f>F19</f>
        <v>100</v>
      </c>
      <c r="T19" s="705" t="s">
        <v>14</v>
      </c>
      <c r="U19" s="706">
        <f>H19</f>
        <v>100</v>
      </c>
      <c r="V19" s="705" t="s">
        <v>14</v>
      </c>
      <c r="W19" s="706">
        <f>J19</f>
        <v>100</v>
      </c>
      <c r="X19" s="1355"/>
      <c r="Y19" s="37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8"/>
      <c r="P20" s="3727"/>
      <c r="Q20" s="1352"/>
      <c r="R20" s="705"/>
      <c r="S20" s="706"/>
      <c r="T20" s="705"/>
      <c r="U20" s="706"/>
      <c r="V20" s="705"/>
      <c r="W20" s="706"/>
      <c r="X20" s="1355"/>
      <c r="Y20" s="372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8"/>
      <c r="P21" s="3727"/>
      <c r="Q21" s="1352" t="str">
        <f t="shared" si="8"/>
        <v>环境状况</v>
      </c>
      <c r="R21" s="705" t="s">
        <v>14</v>
      </c>
      <c r="S21" s="706">
        <f>F21</f>
        <v>100</v>
      </c>
      <c r="T21" s="705" t="s">
        <v>14</v>
      </c>
      <c r="U21" s="706">
        <f>H21</f>
        <v>100</v>
      </c>
      <c r="V21" s="705" t="s">
        <v>14</v>
      </c>
      <c r="W21" s="706">
        <f>J21</f>
        <v>100</v>
      </c>
      <c r="X21" s="1355"/>
      <c r="Y21" s="37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8"/>
      <c r="P22" s="3727"/>
      <c r="Q22" s="1352"/>
      <c r="R22" s="705"/>
      <c r="S22" s="706"/>
      <c r="T22" s="705"/>
      <c r="U22" s="706"/>
      <c r="V22" s="705"/>
      <c r="W22" s="706"/>
      <c r="X22" s="1355"/>
      <c r="Y22" s="372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6"/>
      <c r="P23" s="3727"/>
      <c r="Q23" s="1343" t="str">
        <f t="shared" si="8"/>
        <v>公共配套设施</v>
      </c>
      <c r="R23" s="701" t="s">
        <v>14</v>
      </c>
      <c r="S23" s="702">
        <f>F23</f>
        <v>100</v>
      </c>
      <c r="T23" s="701" t="s">
        <v>14</v>
      </c>
      <c r="U23" s="702">
        <f>H23</f>
        <v>100</v>
      </c>
      <c r="V23" s="701" t="s">
        <v>14</v>
      </c>
      <c r="W23" s="702">
        <f>J23</f>
        <v>100</v>
      </c>
      <c r="X23" s="703"/>
      <c r="Y23" s="37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6"/>
      <c r="P24" s="3727"/>
      <c r="Q24" s="1343"/>
      <c r="R24" s="701"/>
      <c r="S24" s="702"/>
      <c r="T24" s="701"/>
      <c r="U24" s="702"/>
      <c r="V24" s="701"/>
      <c r="W24" s="702"/>
      <c r="X24" s="703"/>
      <c r="Y24" s="372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6"/>
      <c r="P25" s="3727"/>
      <c r="Q25" s="1343"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6"/>
      <c r="P26" s="3727"/>
      <c r="Q26" s="1343"/>
      <c r="R26" s="701"/>
      <c r="S26" s="702"/>
      <c r="T26" s="701"/>
      <c r="U26" s="702"/>
      <c r="V26" s="701"/>
      <c r="W26" s="702"/>
      <c r="X26" s="703"/>
      <c r="Y26" s="372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8"/>
      <c r="P27" s="37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8"/>
      <c r="P28" s="3727"/>
      <c r="Q28" s="1352" t="str">
        <f t="shared" si="8"/>
        <v>毗邻道路的类型与等级</v>
      </c>
      <c r="R28" s="705" t="s">
        <v>14</v>
      </c>
      <c r="S28" s="706">
        <f t="shared" si="10"/>
        <v>100</v>
      </c>
      <c r="T28" s="705" t="s">
        <v>14</v>
      </c>
      <c r="U28" s="706">
        <f t="shared" si="11"/>
        <v>100</v>
      </c>
      <c r="V28" s="705" t="s">
        <v>14</v>
      </c>
      <c r="W28" s="706">
        <f t="shared" si="12"/>
        <v>100</v>
      </c>
      <c r="X28" s="1355"/>
      <c r="Y28" s="37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8"/>
      <c r="P29" s="3727"/>
      <c r="Q29" s="1352"/>
      <c r="R29" s="705"/>
      <c r="S29" s="706"/>
      <c r="T29" s="705"/>
      <c r="U29" s="706"/>
      <c r="V29" s="705"/>
      <c r="W29" s="706"/>
      <c r="X29" s="1355"/>
      <c r="Y29" s="372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8"/>
      <c r="P30" s="3727"/>
      <c r="Q30" s="1352" t="str">
        <f t="shared" si="8"/>
        <v>土地级别</v>
      </c>
      <c r="R30" s="705" t="s">
        <v>14</v>
      </c>
      <c r="S30" s="706">
        <f t="shared" si="10"/>
        <v>100</v>
      </c>
      <c r="T30" s="705" t="s">
        <v>14</v>
      </c>
      <c r="U30" s="706">
        <f t="shared" si="11"/>
        <v>100</v>
      </c>
      <c r="V30" s="705" t="s">
        <v>14</v>
      </c>
      <c r="W30" s="706">
        <f t="shared" si="12"/>
        <v>100</v>
      </c>
      <c r="X30" s="1355"/>
      <c r="Y30" s="37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8"/>
      <c r="P31" s="3727"/>
      <c r="Q31" s="1352">
        <f t="shared" si="8"/>
        <v>111</v>
      </c>
      <c r="R31" s="705" t="s">
        <v>14</v>
      </c>
      <c r="S31" s="706">
        <f t="shared" si="10"/>
        <v>100</v>
      </c>
      <c r="T31" s="705" t="s">
        <v>14</v>
      </c>
      <c r="U31" s="706">
        <f t="shared" si="11"/>
        <v>100</v>
      </c>
      <c r="V31" s="705" t="s">
        <v>14</v>
      </c>
      <c r="W31" s="706">
        <f t="shared" si="12"/>
        <v>100</v>
      </c>
      <c r="X31" s="1355"/>
      <c r="Y31" s="37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8"/>
      <c r="P32" s="3802" t="s">
        <v>1696</v>
      </c>
      <c r="Q32" s="1352">
        <f t="shared" si="8"/>
        <v>111</v>
      </c>
      <c r="R32" s="705" t="s">
        <v>14</v>
      </c>
      <c r="S32" s="706">
        <f t="shared" si="10"/>
        <v>100</v>
      </c>
      <c r="T32" s="705" t="s">
        <v>14</v>
      </c>
      <c r="U32" s="706">
        <f t="shared" si="11"/>
        <v>100</v>
      </c>
      <c r="V32" s="705" t="s">
        <v>14</v>
      </c>
      <c r="W32" s="706">
        <f t="shared" si="12"/>
        <v>100</v>
      </c>
      <c r="X32" s="1355"/>
      <c r="Y32" s="373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69"/>
      <c r="P33" s="3731"/>
      <c r="Q33" s="1352">
        <f t="shared" si="8"/>
        <v>111</v>
      </c>
      <c r="R33" s="708" t="s">
        <v>14</v>
      </c>
      <c r="S33" s="709">
        <f t="shared" si="10"/>
        <v>100</v>
      </c>
      <c r="T33" s="708" t="s">
        <v>14</v>
      </c>
      <c r="U33" s="709">
        <f t="shared" si="11"/>
        <v>100</v>
      </c>
      <c r="V33" s="708" t="s">
        <v>14</v>
      </c>
      <c r="W33" s="709">
        <f t="shared" si="12"/>
        <v>100</v>
      </c>
      <c r="X33" s="710"/>
      <c r="Y33" s="373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8"/>
      <c r="P34" s="3731"/>
      <c r="Q34" s="1352" t="str">
        <f>B34</f>
        <v>宗地面积</v>
      </c>
      <c r="R34" s="705" t="s">
        <v>14</v>
      </c>
      <c r="S34" s="706" t="e">
        <f t="shared" si="10"/>
        <v>#N/A</v>
      </c>
      <c r="T34" s="705" t="s">
        <v>14</v>
      </c>
      <c r="U34" s="706" t="e">
        <f t="shared" si="11"/>
        <v>#N/A</v>
      </c>
      <c r="V34" s="705" t="s">
        <v>14</v>
      </c>
      <c r="W34" s="706" t="e">
        <f t="shared" si="12"/>
        <v>#N/A</v>
      </c>
      <c r="X34" s="1355"/>
      <c r="Y34" s="373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8"/>
      <c r="P35" s="3731"/>
      <c r="Q35" s="1352" t="str">
        <f t="shared" ref="Q35:Q40" si="14">B35</f>
        <v>宗地形状</v>
      </c>
      <c r="R35" s="705" t="s">
        <v>14</v>
      </c>
      <c r="S35" s="706">
        <f t="shared" si="10"/>
        <v>100</v>
      </c>
      <c r="T35" s="705" t="s">
        <v>14</v>
      </c>
      <c r="U35" s="706">
        <f t="shared" si="11"/>
        <v>100</v>
      </c>
      <c r="V35" s="705" t="s">
        <v>14</v>
      </c>
      <c r="W35" s="706">
        <f t="shared" si="12"/>
        <v>100</v>
      </c>
      <c r="X35" s="1355"/>
      <c r="Y35" s="373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6"/>
      <c r="P36" s="3731"/>
      <c r="Q36" s="1352" t="str">
        <f t="shared" si="14"/>
        <v>宗地开发程度</v>
      </c>
      <c r="R36" s="701" t="s">
        <v>14</v>
      </c>
      <c r="S36" s="702">
        <f t="shared" si="10"/>
        <v>100</v>
      </c>
      <c r="T36" s="701" t="s">
        <v>14</v>
      </c>
      <c r="U36" s="702">
        <f t="shared" si="11"/>
        <v>100</v>
      </c>
      <c r="V36" s="701" t="s">
        <v>14</v>
      </c>
      <c r="W36" s="702">
        <f t="shared" si="12"/>
        <v>100</v>
      </c>
      <c r="X36" s="703"/>
      <c r="Y36" s="373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8"/>
      <c r="P37" s="3731" t="s">
        <v>1696</v>
      </c>
      <c r="Q37" s="1352" t="str">
        <f t="shared" si="14"/>
        <v>工程地质条件</v>
      </c>
      <c r="R37" s="705" t="s">
        <v>14</v>
      </c>
      <c r="S37" s="706">
        <f t="shared" si="10"/>
        <v>100</v>
      </c>
      <c r="T37" s="705" t="s">
        <v>14</v>
      </c>
      <c r="U37" s="706">
        <f t="shared" si="11"/>
        <v>100</v>
      </c>
      <c r="V37" s="705" t="s">
        <v>14</v>
      </c>
      <c r="W37" s="706">
        <f t="shared" si="12"/>
        <v>100</v>
      </c>
      <c r="X37" s="1355"/>
      <c r="Y37" s="373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8"/>
      <c r="P38" s="3731"/>
      <c r="Q38" s="1352">
        <f t="shared" si="14"/>
        <v>111</v>
      </c>
      <c r="R38" s="705" t="s">
        <v>14</v>
      </c>
      <c r="S38" s="706">
        <f t="shared" si="10"/>
        <v>100</v>
      </c>
      <c r="T38" s="705" t="s">
        <v>14</v>
      </c>
      <c r="U38" s="706">
        <f t="shared" si="11"/>
        <v>100</v>
      </c>
      <c r="V38" s="705" t="s">
        <v>14</v>
      </c>
      <c r="W38" s="706">
        <f t="shared" si="12"/>
        <v>100</v>
      </c>
      <c r="X38" s="1355"/>
      <c r="Y38" s="37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8"/>
      <c r="P39" s="3731"/>
      <c r="Q39" s="1352">
        <f t="shared" si="14"/>
        <v>111</v>
      </c>
      <c r="R39" s="705" t="s">
        <v>14</v>
      </c>
      <c r="S39" s="706">
        <f t="shared" si="10"/>
        <v>100</v>
      </c>
      <c r="T39" s="705" t="s">
        <v>14</v>
      </c>
      <c r="U39" s="706">
        <f t="shared" si="11"/>
        <v>100</v>
      </c>
      <c r="V39" s="705" t="s">
        <v>14</v>
      </c>
      <c r="W39" s="706">
        <f t="shared" si="12"/>
        <v>100</v>
      </c>
      <c r="X39" s="1355"/>
      <c r="Y39" s="373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69"/>
      <c r="P40" s="3731"/>
      <c r="Q40" s="1352">
        <f t="shared" si="14"/>
        <v>111</v>
      </c>
      <c r="R40" s="708" t="s">
        <v>14</v>
      </c>
      <c r="S40" s="709">
        <f t="shared" si="10"/>
        <v>100</v>
      </c>
      <c r="T40" s="708" t="s">
        <v>14</v>
      </c>
      <c r="U40" s="709">
        <f t="shared" si="11"/>
        <v>100</v>
      </c>
      <c r="V40" s="708" t="s">
        <v>14</v>
      </c>
      <c r="W40" s="709">
        <f t="shared" si="12"/>
        <v>100</v>
      </c>
      <c r="X40" s="710"/>
      <c r="Y40" s="373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724" t="str">
        <f>A41</f>
        <v>成交单价</v>
      </c>
      <c r="Q41" s="3724"/>
      <c r="R41" s="3755">
        <f>E41</f>
        <v>0</v>
      </c>
      <c r="S41" s="3755"/>
      <c r="T41" s="3755">
        <f>G41</f>
        <v>0</v>
      </c>
      <c r="U41" s="3755"/>
      <c r="V41" s="3755">
        <f>I41</f>
        <v>0</v>
      </c>
      <c r="W41" s="375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724" t="str">
        <f>A42</f>
        <v>比较价值（元/平方米）</v>
      </c>
      <c r="Q42" s="3724"/>
      <c r="R42" s="3804" t="e">
        <f>ROUND(PRODUCT(R41,AA7:AA40),0)</f>
        <v>#DIV/0!</v>
      </c>
      <c r="S42" s="3804"/>
      <c r="T42" s="3804" t="e">
        <f>ROUND(PRODUCT(T41,AB7:AB40),0)</f>
        <v>#DIV/0!</v>
      </c>
      <c r="U42" s="3804"/>
      <c r="V42" s="3804" t="e">
        <f>ROUND(PRODUCT(V41,AC7:AC40),0)</f>
        <v>#DIV/0!</v>
      </c>
      <c r="W42" s="380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21" t="str">
        <f>A43</f>
        <v>估价对象XX用房的比较价值（楼面单价，元/平方米）</v>
      </c>
      <c r="Q43" s="3722"/>
      <c r="R43" s="3805" t="e">
        <f>ROUND(IF(D42="简单平均",AVERAGE(R42:W42),R42*F42+T42*H42+V42*J42),0)</f>
        <v>#DIV/0!</v>
      </c>
      <c r="S43" s="3805"/>
      <c r="T43" s="3805"/>
      <c r="U43" s="3805"/>
      <c r="V43" s="3805"/>
      <c r="W43" s="380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739" t="s">
        <v>1887</v>
      </c>
      <c r="H50" s="3806"/>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34425.75</v>
      </c>
      <c r="F51" s="639" t="e">
        <f t="shared" ref="F51:F60" si="15">ROUND(B51*E51/10000,0)</f>
        <v>#DIV/0!</v>
      </c>
      <c r="G51" s="3735"/>
      <c r="H51" s="3724"/>
      <c r="I51" s="773">
        <v>1</v>
      </c>
      <c r="J51" s="773">
        <v>1</v>
      </c>
      <c r="K51" s="2723"/>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5">
        <v>0.25</v>
      </c>
      <c r="E52" s="642"/>
      <c r="F52" s="639" t="e">
        <f t="shared" si="15"/>
        <v>#DIV/0!</v>
      </c>
      <c r="G52" s="3000" t="s">
        <v>1892</v>
      </c>
      <c r="H52" s="887" t="str">
        <f>项目基本情况!B37</f>
        <v>一级</v>
      </c>
      <c r="I52" s="773">
        <f>SUMIF(修正!A57:A68,H52,修正!B57:B68)</f>
        <v>0.7</v>
      </c>
      <c r="J52" s="774"/>
      <c r="K52" s="2720"/>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5">
        <v>0.25</v>
      </c>
      <c r="E53" s="642"/>
      <c r="F53" s="639" t="e">
        <f t="shared" si="15"/>
        <v>#DIV/0!</v>
      </c>
      <c r="G53" s="3001"/>
      <c r="H53" s="887" t="str">
        <f>项目基本情况!B37</f>
        <v>一级</v>
      </c>
      <c r="I53" s="773">
        <f>SUMIF(修正!A57:A68,H53,修正!C57:C68)</f>
        <v>0.4</v>
      </c>
      <c r="J53" s="774"/>
      <c r="K53" s="2723"/>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5">
        <v>0.25</v>
      </c>
      <c r="E54" s="642"/>
      <c r="F54" s="639" t="e">
        <f t="shared" si="15"/>
        <v>#DIV/0!</v>
      </c>
      <c r="G54" s="3001"/>
      <c r="H54" s="887" t="str">
        <f>项目基本情况!B37</f>
        <v>一级</v>
      </c>
      <c r="I54" s="773">
        <f>SUMIF(修正!A57:A68,H54,修正!D57:D68)</f>
        <v>0.3</v>
      </c>
      <c r="J54" s="774"/>
      <c r="K54" s="2720"/>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3"/>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0"/>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3"/>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0.2</v>
      </c>
      <c r="D58" s="945">
        <v>0.25</v>
      </c>
      <c r="E58" s="217">
        <f>'数据-汇总表'!E13</f>
        <v>7285.14</v>
      </c>
      <c r="F58" s="639" t="e">
        <f t="shared" si="15"/>
        <v>#DIV/0!</v>
      </c>
      <c r="G58" s="892" t="s">
        <v>1900</v>
      </c>
      <c r="H58" s="887" t="str">
        <f>IF(G58="商业",项目基本情况!B37,IF(G58="办公",项目基本情况!C37,IF(G58="住宅",项目基本情况!D37,项目基本情况!E37)))</f>
        <v>一级</v>
      </c>
      <c r="I58" s="773">
        <f>SUMIF(修正!A57:A68,H58,修正!G57:G68)</f>
        <v>0.2</v>
      </c>
      <c r="J58" s="774"/>
      <c r="K58" s="2720"/>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3"/>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0"/>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4420.58</v>
      </c>
      <c r="F61" s="645" t="e">
        <f>IF(B41="楼面地价",SUM(F51:F60),ROUND(C43*E61/10000,0))</f>
        <v>#DIV/0!</v>
      </c>
      <c r="G61" s="939"/>
      <c r="H61" s="939"/>
      <c r="I61" s="939"/>
      <c r="J61" s="939"/>
      <c r="K61" s="2725"/>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3"/>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8"/>
      <c r="O71" s="2748"/>
      <c r="P71" s="2772"/>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7"/>
      <c r="O72" s="2747"/>
      <c r="P72" s="2772"/>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8"/>
      <c r="O73" s="2748"/>
      <c r="P73" s="2772"/>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7"/>
      <c r="O75" s="2747"/>
      <c r="P75" s="2772"/>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8"/>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7"/>
      <c r="O97" s="2747"/>
      <c r="P97" s="2772"/>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7"/>
      <c r="O99" s="2747"/>
      <c r="P99" s="2772"/>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7"/>
      <c r="O101" s="2747"/>
      <c r="P101" s="2772"/>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8"/>
      <c r="O102" s="2748"/>
      <c r="P102" s="2772"/>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7"/>
      <c r="O103" s="2747"/>
      <c r="P103" s="2772"/>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8"/>
      <c r="O104" s="2748"/>
      <c r="P104" s="2772"/>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7"/>
      <c r="O108" s="2747"/>
      <c r="P108" s="2772"/>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8"/>
      <c r="O109" s="2748"/>
      <c r="P109" s="2772"/>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7"/>
      <c r="O110" s="2747"/>
      <c r="P110" s="2772"/>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7"/>
      <c r="O116" s="2747"/>
      <c r="P116" s="2772"/>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8"/>
      <c r="O117" s="2748"/>
      <c r="P117" s="2772"/>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7"/>
      <c r="O118" s="2747"/>
      <c r="P118" s="2772"/>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8"/>
      <c r="O119" s="2748"/>
      <c r="P119" s="2772"/>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4" t="s">
        <v>2084</v>
      </c>
      <c r="D1" s="3815"/>
      <c r="E1" s="3815"/>
      <c r="F1" s="3815"/>
      <c r="G1" s="3815"/>
      <c r="H1" s="3815"/>
      <c r="I1" s="3815"/>
      <c r="J1" s="3815"/>
      <c r="K1" s="3815"/>
      <c r="L1" s="3815"/>
      <c r="M1" s="3815"/>
      <c r="N1" s="3815"/>
      <c r="O1" s="3815"/>
      <c r="P1" s="3815"/>
      <c r="Q1" s="3815"/>
      <c r="R1" s="3815"/>
      <c r="S1" s="381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1" t="s">
        <v>27</v>
      </c>
      <c r="D22" s="3812"/>
      <c r="E22" s="3812"/>
      <c r="F22" s="3812"/>
      <c r="G22" s="3812"/>
      <c r="H22" s="3812"/>
      <c r="I22" s="3812"/>
      <c r="J22" s="3812"/>
      <c r="K22" s="3812"/>
      <c r="L22" s="3812"/>
      <c r="M22" s="3812"/>
      <c r="N22" s="3812"/>
      <c r="O22" s="3812"/>
      <c r="P22" s="3812"/>
      <c r="Q22" s="381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93"/>
      <c r="B4" s="3513" t="s">
        <v>917</v>
      </c>
      <c r="C4" s="3513"/>
      <c r="D4" s="3513"/>
      <c r="E4" s="1493"/>
    </row>
    <row r="5" spans="1:5" ht="16.5" thickTop="1">
      <c r="A5" s="1491"/>
      <c r="B5" s="3511" t="s">
        <v>909</v>
      </c>
      <c r="C5" s="1494" t="s">
        <v>910</v>
      </c>
      <c r="D5" s="850">
        <f ca="1">结果表!H101</f>
        <v>202115</v>
      </c>
      <c r="E5" s="1491"/>
    </row>
    <row r="6" spans="1:5" ht="15.75">
      <c r="A6" s="1491"/>
      <c r="B6" s="3511"/>
      <c r="C6" s="1494" t="s">
        <v>911</v>
      </c>
      <c r="D6" s="850" t="str">
        <f ca="1">NUMBERSTRING(INT(D5*10000),2)&amp;"元整"</f>
        <v>贰拾亿贰仟壹佰壹拾伍万元整</v>
      </c>
      <c r="E6" s="1491"/>
    </row>
    <row r="7" spans="1:5" ht="15.75">
      <c r="A7" s="1491"/>
      <c r="B7" s="3516"/>
      <c r="C7" s="1495" t="s">
        <v>912</v>
      </c>
      <c r="D7" s="851">
        <f ca="1">结果表!H102</f>
        <v>44723</v>
      </c>
      <c r="E7" s="1491"/>
    </row>
    <row r="8" spans="1:5" ht="15.75">
      <c r="A8" s="1491"/>
      <c r="B8" s="3517" t="str">
        <f>结果表!E103</f>
        <v>2.估价师知悉的法定优先受偿款</v>
      </c>
      <c r="C8" s="1496" t="s">
        <v>913</v>
      </c>
      <c r="D8" s="851">
        <f>结果表!H103</f>
        <v>0</v>
      </c>
      <c r="E8" s="1491"/>
    </row>
    <row r="9" spans="1:5" ht="15.75">
      <c r="A9" s="1491"/>
      <c r="B9" s="3519"/>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0" t="str">
        <f>结果表!E107</f>
        <v>3.房地产抵押价值</v>
      </c>
      <c r="C13" s="1499" t="s">
        <v>910</v>
      </c>
      <c r="D13" s="853">
        <f ca="1">结果表!H107</f>
        <v>202115</v>
      </c>
      <c r="E13" s="1491"/>
    </row>
    <row r="14" spans="1:5" ht="15.75">
      <c r="A14" s="1491"/>
      <c r="B14" s="3511"/>
      <c r="C14" s="1494" t="s">
        <v>911</v>
      </c>
      <c r="D14" s="850" t="str">
        <f ca="1">NUMBERSTRING(INT(D13*10000),2)&amp;"元整"</f>
        <v>贰拾亿贰仟壹佰壹拾伍万元整</v>
      </c>
      <c r="E14" s="1491"/>
    </row>
    <row r="15" spans="1:5" ht="15">
      <c r="A15" s="1491"/>
      <c r="B15" s="3516"/>
      <c r="C15" s="1495" t="s">
        <v>921</v>
      </c>
      <c r="D15" s="859">
        <f ca="1">结果表!H108</f>
        <v>44723</v>
      </c>
      <c r="E15" s="1491"/>
    </row>
    <row r="16" spans="1:5" ht="15">
      <c r="A16" s="1491"/>
      <c r="B16" s="3517" t="str">
        <f>结果表!E109</f>
        <v>——</v>
      </c>
      <c r="C16" s="1499" t="s">
        <v>922</v>
      </c>
      <c r="D16" s="1500" t="str">
        <f>结果表!H109</f>
        <v>——</v>
      </c>
      <c r="E16" s="1491"/>
    </row>
    <row r="17" spans="1:5" ht="15.75">
      <c r="A17" s="1491"/>
      <c r="B17" s="3518"/>
      <c r="C17" s="1494" t="s">
        <v>923</v>
      </c>
      <c r="D17" s="850" t="e">
        <f>NUMBERSTRING(INT(D16*10000),2)&amp;"元整"</f>
        <v>#VALUE!</v>
      </c>
      <c r="E17" s="1491"/>
    </row>
    <row r="18" spans="1:5" ht="15">
      <c r="A18" s="1491"/>
      <c r="B18" s="3519"/>
      <c r="C18" s="1495" t="s">
        <v>912</v>
      </c>
      <c r="D18" s="859" t="str">
        <f>结果表!H110</f>
        <v>——</v>
      </c>
      <c r="E18" s="1491"/>
    </row>
    <row r="19" spans="1:5" ht="15.75">
      <c r="A19" s="1491"/>
      <c r="B19" s="3510" t="str">
        <f>结果表!E111</f>
        <v>——</v>
      </c>
      <c r="C19" s="1499" t="s">
        <v>910</v>
      </c>
      <c r="D19" s="851" t="str">
        <f>结果表!H111</f>
        <v>——</v>
      </c>
      <c r="E19" s="1491"/>
    </row>
    <row r="20" spans="1:5" ht="15.75">
      <c r="A20" s="1491"/>
      <c r="B20" s="3511"/>
      <c r="C20" s="1494" t="s">
        <v>923</v>
      </c>
      <c r="D20" s="850" t="e">
        <f>NUMBERSTRING(INT(D19*10000),2)&amp;"元整"</f>
        <v>#VALUE!</v>
      </c>
      <c r="E20" s="1491"/>
    </row>
    <row r="21" spans="1:5" ht="15.75" thickBot="1">
      <c r="A21" s="1491"/>
      <c r="B21" s="351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7">
        <f ca="1">SUMIF(B6:B13,"&lt;&gt;#ref!",B6:B13)</f>
        <v>109198</v>
      </c>
      <c r="C2" s="2145" t="s">
        <v>2074</v>
      </c>
      <c r="D2" s="2145" t="s">
        <v>2075</v>
      </c>
      <c r="E2" s="2607">
        <f ca="1">SUMIF(E6:E13,"&lt;&gt;#ref!",E6:E13)</f>
        <v>45192.95</v>
      </c>
      <c r="F2" s="2787"/>
      <c r="G2" s="2787"/>
      <c r="H2" s="2787"/>
      <c r="I2" s="2787"/>
      <c r="J2" s="2787"/>
      <c r="K2" s="2787"/>
      <c r="L2" s="2787"/>
      <c r="M2" s="2787"/>
      <c r="N2" s="2787"/>
      <c r="O2" s="2787"/>
      <c r="P2" s="2787"/>
    </row>
    <row r="3" spans="1:16" ht="15.75">
      <c r="A3" s="2145" t="s">
        <v>2076</v>
      </c>
      <c r="B3" s="2597">
        <f ca="1">ROUND(B2*10000/E2,0)</f>
        <v>24163</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6"/>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109198</v>
      </c>
      <c r="C6" s="2145" t="s">
        <v>2074</v>
      </c>
      <c r="D6" s="2787"/>
      <c r="E6" s="2607">
        <f ca="1">SUMIF(INDIRECT("'"&amp;A6&amp;"'"&amp;"!C:C"),"建筑面积",INDIRECT("'"&amp;A6&amp;"'"&amp;"!D:D"))</f>
        <v>45192.95</v>
      </c>
      <c r="F6" s="2787"/>
      <c r="G6" s="2787"/>
      <c r="H6" s="2787"/>
      <c r="I6" s="2787"/>
      <c r="J6" s="2787"/>
      <c r="K6" s="2787"/>
      <c r="L6" s="2787"/>
      <c r="M6" s="2787"/>
      <c r="N6" s="2787"/>
      <c r="O6" s="2787"/>
      <c r="P6" s="2787"/>
    </row>
    <row r="7" spans="1:16" ht="15.75">
      <c r="A7" s="2604"/>
      <c r="B7" s="2597" t="e">
        <f ca="1">SUMIF(INDIRECT("'"&amp;A7&amp;"'"&amp;"!A:A"),"总价",INDIRECT("'"&amp;A7&amp;"'"&amp;"!B:B"))</f>
        <v>#REF!</v>
      </c>
      <c r="C7" s="2145"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5"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5"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5"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5"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5"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5"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2592</v>
      </c>
      <c r="B1" s="3066" t="s">
        <v>2593</v>
      </c>
      <c r="C1" s="3066" t="s">
        <v>2594</v>
      </c>
      <c r="D1" s="3066" t="s">
        <v>2595</v>
      </c>
      <c r="E1" s="3066" t="s">
        <v>2596</v>
      </c>
      <c r="F1" s="3066" t="s">
        <v>2597</v>
      </c>
      <c r="G1" s="3066" t="s">
        <v>2598</v>
      </c>
      <c r="H1" s="3066" t="s">
        <v>2599</v>
      </c>
      <c r="I1" s="3066" t="s">
        <v>2600</v>
      </c>
      <c r="J1" s="3066" t="s">
        <v>2601</v>
      </c>
      <c r="K1" s="3066" t="s">
        <v>2602</v>
      </c>
      <c r="L1" s="3066" t="s">
        <v>2603</v>
      </c>
      <c r="M1" s="3067" t="s">
        <v>2604</v>
      </c>
    </row>
    <row r="2" spans="1:13" ht="19.5" customHeight="1">
      <c r="A2" s="3069" t="s">
        <v>2605</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2606</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2607</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2608</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2609</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2610</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2611</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2612</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2613</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2614</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2615</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2616</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2617</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2618</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2619</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2620</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2621</v>
      </c>
      <c r="B18" s="3091"/>
      <c r="C18" s="3092"/>
      <c r="D18" s="3092"/>
      <c r="E18" s="3091"/>
      <c r="F18" s="3092"/>
      <c r="G18" s="3092"/>
    </row>
    <row r="19" spans="1:13" ht="19.5" customHeight="1" thickBot="1">
      <c r="A19" s="3089" t="s">
        <v>2622</v>
      </c>
      <c r="B19" s="3094" t="s">
        <v>2623</v>
      </c>
      <c r="C19" s="3094" t="s">
        <v>2624</v>
      </c>
      <c r="D19" s="3095"/>
      <c r="E19" s="3089" t="s">
        <v>2625</v>
      </c>
      <c r="F19" s="3096"/>
      <c r="G19" s="3096"/>
    </row>
    <row r="20" spans="1:13" ht="19.5" customHeight="1">
      <c r="A20" s="3826" t="s">
        <v>2605</v>
      </c>
      <c r="B20" s="3821" t="s">
        <v>2626</v>
      </c>
      <c r="C20" s="3097" t="s">
        <v>2437</v>
      </c>
      <c r="D20" s="3098"/>
      <c r="E20" s="3099">
        <v>1</v>
      </c>
      <c r="F20" s="3100" t="s">
        <v>2438</v>
      </c>
      <c r="G20" s="3100"/>
    </row>
    <row r="21" spans="1:13" ht="19.5" customHeight="1">
      <c r="A21" s="3827"/>
      <c r="B21" s="3820"/>
      <c r="C21" s="3101" t="s">
        <v>2439</v>
      </c>
      <c r="D21" s="3102"/>
      <c r="E21" s="3103">
        <v>1</v>
      </c>
      <c r="F21" s="3100" t="s">
        <v>2440</v>
      </c>
      <c r="G21" s="3100"/>
    </row>
    <row r="22" spans="1:13" ht="19.5" customHeight="1">
      <c r="A22" s="3827"/>
      <c r="B22" s="3820"/>
      <c r="C22" s="3101" t="s">
        <v>2441</v>
      </c>
      <c r="D22" s="3102"/>
      <c r="E22" s="3103">
        <v>0.9</v>
      </c>
      <c r="F22" s="3100" t="s">
        <v>2442</v>
      </c>
      <c r="G22" s="3100"/>
    </row>
    <row r="23" spans="1:13" ht="19.5" customHeight="1">
      <c r="A23" s="3827"/>
      <c r="B23" s="3820"/>
      <c r="C23" s="3101" t="s">
        <v>2443</v>
      </c>
      <c r="D23" s="3102"/>
      <c r="E23" s="3103">
        <v>0.9</v>
      </c>
      <c r="F23" s="3100" t="s">
        <v>2444</v>
      </c>
      <c r="G23" s="3100"/>
    </row>
    <row r="24" spans="1:13" ht="19.5" customHeight="1">
      <c r="A24" s="3827"/>
      <c r="B24" s="3820"/>
      <c r="C24" s="3101" t="s">
        <v>2445</v>
      </c>
      <c r="D24" s="3102"/>
      <c r="E24" s="3103">
        <v>0.8</v>
      </c>
      <c r="F24" s="3100" t="s">
        <v>2446</v>
      </c>
      <c r="G24" s="3100"/>
    </row>
    <row r="25" spans="1:13" ht="19.5" customHeight="1" thickBot="1">
      <c r="A25" s="3828"/>
      <c r="B25" s="3822"/>
      <c r="C25" s="3104" t="s">
        <v>2447</v>
      </c>
      <c r="D25" s="3105"/>
      <c r="E25" s="3106">
        <v>0.8</v>
      </c>
      <c r="F25" s="3100" t="s">
        <v>2448</v>
      </c>
      <c r="G25" s="3100"/>
    </row>
    <row r="26" spans="1:13" ht="19.5" customHeight="1" thickBot="1">
      <c r="A26" s="3107" t="s">
        <v>2627</v>
      </c>
      <c r="B26" s="3108" t="s">
        <v>2626</v>
      </c>
      <c r="C26" s="3109" t="s">
        <v>2628</v>
      </c>
      <c r="D26" s="3110"/>
      <c r="E26" s="3111">
        <v>1</v>
      </c>
      <c r="F26" s="3100" t="s">
        <v>2449</v>
      </c>
      <c r="G26" s="3100"/>
    </row>
    <row r="27" spans="1:13" ht="19.5" customHeight="1">
      <c r="A27" s="3823" t="s">
        <v>2629</v>
      </c>
      <c r="B27" s="3821" t="s">
        <v>2610</v>
      </c>
      <c r="C27" s="3097" t="s">
        <v>2450</v>
      </c>
      <c r="D27" s="3098"/>
      <c r="E27" s="3099">
        <v>1</v>
      </c>
      <c r="F27" s="3100" t="s">
        <v>2451</v>
      </c>
      <c r="G27" s="3100"/>
    </row>
    <row r="28" spans="1:13" ht="19.5" customHeight="1">
      <c r="A28" s="3824"/>
      <c r="B28" s="3820"/>
      <c r="C28" s="3101" t="s">
        <v>2452</v>
      </c>
      <c r="D28" s="3102"/>
      <c r="E28" s="3103">
        <v>1</v>
      </c>
      <c r="F28" s="3100" t="s">
        <v>2453</v>
      </c>
      <c r="G28" s="3100"/>
    </row>
    <row r="29" spans="1:13" ht="19.5" customHeight="1">
      <c r="A29" s="3824"/>
      <c r="B29" s="3820"/>
      <c r="C29" s="3101" t="s">
        <v>2454</v>
      </c>
      <c r="D29" s="3102"/>
      <c r="E29" s="3103">
        <v>0.8</v>
      </c>
      <c r="F29" s="3100" t="s">
        <v>2455</v>
      </c>
      <c r="G29" s="3100"/>
    </row>
    <row r="30" spans="1:13" ht="19.5" customHeight="1">
      <c r="A30" s="3824"/>
      <c r="B30" s="3820"/>
      <c r="C30" s="3101" t="s">
        <v>2456</v>
      </c>
      <c r="D30" s="3102"/>
      <c r="E30" s="3103">
        <v>0.8</v>
      </c>
      <c r="F30" s="3100" t="s">
        <v>2457</v>
      </c>
      <c r="G30" s="3100"/>
    </row>
    <row r="31" spans="1:13" ht="19.5" customHeight="1">
      <c r="A31" s="3824"/>
      <c r="B31" s="3820"/>
      <c r="C31" s="3101" t="s">
        <v>2458</v>
      </c>
      <c r="D31" s="3102"/>
      <c r="E31" s="3103">
        <v>0.8</v>
      </c>
      <c r="F31" s="3100" t="s">
        <v>2459</v>
      </c>
      <c r="G31" s="3100"/>
    </row>
    <row r="32" spans="1:13" ht="19.5" customHeight="1">
      <c r="A32" s="3824"/>
      <c r="B32" s="3820"/>
      <c r="C32" s="3101" t="s">
        <v>2460</v>
      </c>
      <c r="D32" s="3102"/>
      <c r="E32" s="3103">
        <v>0.7</v>
      </c>
      <c r="F32" s="3100" t="s">
        <v>2461</v>
      </c>
      <c r="G32" s="3100"/>
    </row>
    <row r="33" spans="1:7" ht="19.5" customHeight="1">
      <c r="A33" s="3824"/>
      <c r="B33" s="3820"/>
      <c r="C33" s="3101" t="s">
        <v>2462</v>
      </c>
      <c r="D33" s="3102"/>
      <c r="E33" s="3103">
        <v>0.8</v>
      </c>
      <c r="F33" s="3100" t="s">
        <v>2463</v>
      </c>
      <c r="G33" s="3100"/>
    </row>
    <row r="34" spans="1:7" ht="19.5" customHeight="1">
      <c r="A34" s="3824"/>
      <c r="B34" s="3820"/>
      <c r="C34" s="3101" t="s">
        <v>2464</v>
      </c>
      <c r="D34" s="3102"/>
      <c r="E34" s="3103">
        <v>0.6</v>
      </c>
      <c r="F34" s="3100" t="s">
        <v>2465</v>
      </c>
      <c r="G34" s="3100"/>
    </row>
    <row r="35" spans="1:7" ht="19.5" customHeight="1">
      <c r="A35" s="3824"/>
      <c r="B35" s="3820"/>
      <c r="C35" s="3101" t="s">
        <v>2466</v>
      </c>
      <c r="D35" s="3102"/>
      <c r="E35" s="3103">
        <v>0.2</v>
      </c>
      <c r="F35" s="3100" t="s">
        <v>2467</v>
      </c>
      <c r="G35" s="3100"/>
    </row>
    <row r="36" spans="1:7" ht="19.5" customHeight="1">
      <c r="A36" s="3824"/>
      <c r="B36" s="3820"/>
      <c r="C36" s="3101" t="s">
        <v>2468</v>
      </c>
      <c r="D36" s="3102"/>
      <c r="E36" s="3103">
        <v>0.2</v>
      </c>
      <c r="F36" s="3100" t="s">
        <v>2469</v>
      </c>
      <c r="G36" s="3100"/>
    </row>
    <row r="37" spans="1:7" ht="19.5" customHeight="1">
      <c r="A37" s="3824"/>
      <c r="B37" s="3818" t="s">
        <v>2630</v>
      </c>
      <c r="C37" s="3101" t="s">
        <v>2470</v>
      </c>
      <c r="D37" s="3102"/>
      <c r="E37" s="3103">
        <v>0.6</v>
      </c>
      <c r="F37" s="3100" t="s">
        <v>2471</v>
      </c>
      <c r="G37" s="3100"/>
    </row>
    <row r="38" spans="1:7" ht="19.5" customHeight="1">
      <c r="A38" s="3824"/>
      <c r="B38" s="3820"/>
      <c r="C38" s="3101" t="s">
        <v>2472</v>
      </c>
      <c r="D38" s="3102"/>
      <c r="E38" s="3103">
        <v>0.6</v>
      </c>
      <c r="F38" s="3100" t="s">
        <v>2473</v>
      </c>
      <c r="G38" s="3100"/>
    </row>
    <row r="39" spans="1:7" ht="19.5" customHeight="1" thickBot="1">
      <c r="A39" s="3825"/>
      <c r="B39" s="3822"/>
      <c r="C39" s="3104" t="s">
        <v>2474</v>
      </c>
      <c r="D39" s="3105"/>
      <c r="E39" s="3106">
        <v>0.6</v>
      </c>
      <c r="F39" s="3100" t="s">
        <v>2475</v>
      </c>
      <c r="G39" s="3100"/>
    </row>
    <row r="40" spans="1:7" ht="19.5" customHeight="1" thickBot="1">
      <c r="A40" s="3107" t="s">
        <v>2607</v>
      </c>
      <c r="B40" s="3108" t="s">
        <v>2607</v>
      </c>
      <c r="C40" s="3109" t="s">
        <v>2631</v>
      </c>
      <c r="D40" s="3110"/>
      <c r="E40" s="3111">
        <v>1</v>
      </c>
      <c r="F40" s="3100" t="s">
        <v>2476</v>
      </c>
      <c r="G40" s="3100"/>
    </row>
    <row r="41" spans="1:7" ht="19.5" customHeight="1">
      <c r="A41" s="3826" t="s">
        <v>2608</v>
      </c>
      <c r="B41" s="3821" t="s">
        <v>2632</v>
      </c>
      <c r="C41" s="3097" t="s">
        <v>2477</v>
      </c>
      <c r="D41" s="3098"/>
      <c r="E41" s="3099">
        <v>1</v>
      </c>
      <c r="F41" s="3100" t="s">
        <v>2478</v>
      </c>
      <c r="G41" s="3100"/>
    </row>
    <row r="42" spans="1:7" ht="19.5" customHeight="1">
      <c r="A42" s="3827"/>
      <c r="B42" s="3820"/>
      <c r="C42" s="3101" t="s">
        <v>2479</v>
      </c>
      <c r="D42" s="3102"/>
      <c r="E42" s="3103">
        <v>1</v>
      </c>
      <c r="F42" s="3100" t="s">
        <v>2480</v>
      </c>
      <c r="G42" s="3100"/>
    </row>
    <row r="43" spans="1:7" ht="19.5" customHeight="1">
      <c r="A43" s="3827"/>
      <c r="B43" s="3819"/>
      <c r="C43" s="3101" t="s">
        <v>2481</v>
      </c>
      <c r="D43" s="3102"/>
      <c r="E43" s="3103">
        <v>1.5</v>
      </c>
      <c r="F43" s="3100" t="s">
        <v>2482</v>
      </c>
      <c r="G43" s="3100"/>
    </row>
    <row r="44" spans="1:7" ht="19.5" customHeight="1">
      <c r="A44" s="3827"/>
      <c r="B44" s="3112" t="s">
        <v>2633</v>
      </c>
      <c r="C44" s="3101" t="s">
        <v>2634</v>
      </c>
      <c r="D44" s="3102"/>
      <c r="E44" s="3103">
        <v>2</v>
      </c>
      <c r="F44" s="3100" t="s">
        <v>2483</v>
      </c>
      <c r="G44" s="3100"/>
    </row>
    <row r="45" spans="1:7" ht="19.5" customHeight="1">
      <c r="A45" s="3827"/>
      <c r="B45" s="3818" t="s">
        <v>2635</v>
      </c>
      <c r="C45" s="3101" t="s">
        <v>2484</v>
      </c>
      <c r="D45" s="3102"/>
      <c r="E45" s="3103">
        <v>1</v>
      </c>
      <c r="F45" s="3100" t="s">
        <v>2485</v>
      </c>
      <c r="G45" s="3100"/>
    </row>
    <row r="46" spans="1:7" ht="19.5" customHeight="1">
      <c r="A46" s="3827"/>
      <c r="B46" s="3820"/>
      <c r="C46" s="3101" t="s">
        <v>2486</v>
      </c>
      <c r="D46" s="3102"/>
      <c r="E46" s="3103">
        <v>1</v>
      </c>
      <c r="F46" s="3100" t="s">
        <v>2487</v>
      </c>
      <c r="G46" s="3100"/>
    </row>
    <row r="47" spans="1:7" ht="19.5" customHeight="1">
      <c r="A47" s="3827"/>
      <c r="B47" s="3820"/>
      <c r="C47" s="3101" t="s">
        <v>2488</v>
      </c>
      <c r="D47" s="3102"/>
      <c r="E47" s="3103">
        <v>1</v>
      </c>
      <c r="F47" s="3100" t="s">
        <v>2489</v>
      </c>
      <c r="G47" s="3100"/>
    </row>
    <row r="48" spans="1:7" ht="19.5" customHeight="1">
      <c r="A48" s="3827"/>
      <c r="B48" s="3820"/>
      <c r="C48" s="3101" t="s">
        <v>2490</v>
      </c>
      <c r="D48" s="3102"/>
      <c r="E48" s="3103">
        <v>1</v>
      </c>
      <c r="F48" s="3100" t="s">
        <v>2491</v>
      </c>
      <c r="G48" s="3100"/>
    </row>
    <row r="49" spans="1:7" ht="19.5" customHeight="1">
      <c r="A49" s="3827"/>
      <c r="B49" s="3820"/>
      <c r="C49" s="3101" t="s">
        <v>2492</v>
      </c>
      <c r="D49" s="3102"/>
      <c r="E49" s="3103">
        <v>1</v>
      </c>
      <c r="F49" s="3100" t="s">
        <v>2493</v>
      </c>
      <c r="G49" s="3100"/>
    </row>
    <row r="50" spans="1:7" ht="19.5" customHeight="1">
      <c r="A50" s="3827"/>
      <c r="B50" s="3820"/>
      <c r="C50" s="3101" t="s">
        <v>2494</v>
      </c>
      <c r="D50" s="3102"/>
      <c r="E50" s="3103">
        <v>1</v>
      </c>
      <c r="F50" s="3100" t="s">
        <v>2495</v>
      </c>
      <c r="G50" s="3100"/>
    </row>
    <row r="51" spans="1:7" ht="19.5" customHeight="1" thickBot="1">
      <c r="A51" s="3828"/>
      <c r="B51" s="3822"/>
      <c r="C51" s="3104" t="s">
        <v>2496</v>
      </c>
      <c r="D51" s="3105"/>
      <c r="E51" s="3106">
        <v>1</v>
      </c>
      <c r="F51" s="3100" t="s">
        <v>2497</v>
      </c>
      <c r="G51" s="3100"/>
    </row>
    <row r="52" spans="1:7" ht="19.5" customHeight="1">
      <c r="A52" s="3113"/>
      <c r="B52" s="3113"/>
      <c r="C52" s="3113"/>
      <c r="D52" s="3113"/>
      <c r="E52" s="3113"/>
      <c r="F52" s="3113"/>
      <c r="G52" s="3113"/>
    </row>
    <row r="54" spans="1:7" ht="19.5" customHeight="1">
      <c r="A54" s="3114"/>
      <c r="B54" s="3086" t="s">
        <v>2636</v>
      </c>
      <c r="C54" s="3086" t="s">
        <v>2636</v>
      </c>
      <c r="D54" s="3086" t="s">
        <v>2636</v>
      </c>
      <c r="E54" s="3089" t="s">
        <v>2636</v>
      </c>
      <c r="F54" s="3089" t="s">
        <v>2637</v>
      </c>
      <c r="G54" s="3089" t="s">
        <v>2638</v>
      </c>
    </row>
    <row r="55" spans="1:7" ht="19.5" customHeight="1">
      <c r="A55" s="3115"/>
      <c r="B55" s="3089" t="s">
        <v>2605</v>
      </c>
      <c r="C55" s="3089" t="s">
        <v>2605</v>
      </c>
      <c r="D55" s="3089" t="s">
        <v>2605</v>
      </c>
      <c r="E55" s="3086" t="s">
        <v>2606</v>
      </c>
      <c r="F55" s="3086" t="s">
        <v>2608</v>
      </c>
      <c r="G55" s="3086" t="s">
        <v>2639</v>
      </c>
    </row>
    <row r="56" spans="1:7" ht="19.5" customHeight="1">
      <c r="A56" s="3116"/>
      <c r="B56" s="3086">
        <v>1</v>
      </c>
      <c r="C56" s="3086">
        <v>2</v>
      </c>
      <c r="D56" s="3086">
        <v>3</v>
      </c>
      <c r="E56" s="3117" t="s">
        <v>2640</v>
      </c>
      <c r="F56" s="3117" t="s">
        <v>2640</v>
      </c>
      <c r="G56" s="3117" t="s">
        <v>2640</v>
      </c>
    </row>
    <row r="57" spans="1:7" ht="19.5" customHeight="1">
      <c r="A57" s="3118" t="s">
        <v>2593</v>
      </c>
      <c r="B57" s="3086">
        <v>0.7</v>
      </c>
      <c r="C57" s="3086">
        <v>0.4</v>
      </c>
      <c r="D57" s="3086">
        <v>0.3</v>
      </c>
      <c r="E57" s="3117">
        <v>0.3</v>
      </c>
      <c r="F57" s="3086">
        <v>0.3</v>
      </c>
      <c r="G57" s="3086">
        <v>0.2</v>
      </c>
    </row>
    <row r="58" spans="1:7" ht="19.5" customHeight="1">
      <c r="A58" s="3118" t="s">
        <v>2594</v>
      </c>
      <c r="B58" s="3086">
        <v>0.7</v>
      </c>
      <c r="C58" s="3086">
        <v>0.4</v>
      </c>
      <c r="D58" s="3086">
        <v>0.3</v>
      </c>
      <c r="E58" s="3086">
        <v>0.3</v>
      </c>
      <c r="F58" s="3086">
        <v>0.3</v>
      </c>
      <c r="G58" s="3086">
        <v>0.2</v>
      </c>
    </row>
    <row r="59" spans="1:7" ht="19.5" customHeight="1">
      <c r="A59" s="3118" t="s">
        <v>2595</v>
      </c>
      <c r="B59" s="3086">
        <v>0.6</v>
      </c>
      <c r="C59" s="3086">
        <v>0.3</v>
      </c>
      <c r="D59" s="3086">
        <v>0.25</v>
      </c>
      <c r="E59" s="3086">
        <v>0.25</v>
      </c>
      <c r="F59" s="3086">
        <v>0.25</v>
      </c>
      <c r="G59" s="3086">
        <v>0.15</v>
      </c>
    </row>
    <row r="60" spans="1:7" ht="19.5" customHeight="1">
      <c r="A60" s="3118" t="s">
        <v>2596</v>
      </c>
      <c r="B60" s="3086">
        <v>0.6</v>
      </c>
      <c r="C60" s="3086">
        <v>0.3</v>
      </c>
      <c r="D60" s="3086">
        <v>0.25</v>
      </c>
      <c r="E60" s="3086">
        <v>0.25</v>
      </c>
      <c r="F60" s="3086">
        <v>0.25</v>
      </c>
      <c r="G60" s="3086">
        <v>0.15</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0.5</v>
      </c>
      <c r="C64" s="3086">
        <v>0.2</v>
      </c>
      <c r="D64" s="3086">
        <v>0.2</v>
      </c>
      <c r="E64" s="3086">
        <v>0.2</v>
      </c>
      <c r="F64" s="3086">
        <v>0.2</v>
      </c>
      <c r="G64" s="3086">
        <v>0.1</v>
      </c>
    </row>
    <row r="65" spans="1:7" ht="19.5" customHeight="1">
      <c r="A65" s="3118" t="s">
        <v>2601</v>
      </c>
      <c r="B65" s="3086">
        <v>0.5</v>
      </c>
      <c r="C65" s="3086">
        <v>0.2</v>
      </c>
      <c r="D65" s="3086">
        <v>0.2</v>
      </c>
      <c r="E65" s="3086">
        <v>0.2</v>
      </c>
      <c r="F65" s="3086">
        <v>0.2</v>
      </c>
      <c r="G65" s="3086">
        <v>0.1</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70" spans="1:7" ht="19.5" customHeight="1">
      <c r="A70" s="3119"/>
      <c r="B70" s="3120"/>
      <c r="C70" s="3120"/>
      <c r="D70" s="3120" t="s">
        <v>2641</v>
      </c>
      <c r="E70" s="3120"/>
      <c r="F70" s="3120"/>
    </row>
    <row r="71" spans="1:7" ht="19.5" customHeight="1">
      <c r="A71" s="3112" t="s">
        <v>2642</v>
      </c>
      <c r="B71" s="3112" t="s">
        <v>2643</v>
      </c>
      <c r="C71" s="3112" t="s">
        <v>2644</v>
      </c>
      <c r="D71" s="3112" t="s">
        <v>2645</v>
      </c>
      <c r="E71" s="3112" t="s">
        <v>2646</v>
      </c>
      <c r="F71" s="3112" t="s">
        <v>2647</v>
      </c>
    </row>
    <row r="72" spans="1:7" ht="13.5">
      <c r="A72" s="3112"/>
      <c r="B72" s="3112"/>
      <c r="C72" s="3112" t="s">
        <v>2648</v>
      </c>
      <c r="D72" s="3112"/>
      <c r="E72" s="3112" t="s">
        <v>2619</v>
      </c>
      <c r="F72" s="3112" t="s">
        <v>2619</v>
      </c>
    </row>
    <row r="73" spans="1:7" ht="13.5">
      <c r="A73" s="3112">
        <v>1</v>
      </c>
      <c r="B73" s="3818" t="s">
        <v>2649</v>
      </c>
      <c r="C73" s="3086" t="s">
        <v>2650</v>
      </c>
      <c r="D73" s="3086" t="s">
        <v>2651</v>
      </c>
      <c r="E73" s="3112">
        <v>0.2</v>
      </c>
      <c r="F73" s="3112">
        <v>25</v>
      </c>
    </row>
    <row r="74" spans="1:7" ht="24">
      <c r="A74" s="3112">
        <v>2</v>
      </c>
      <c r="B74" s="3820"/>
      <c r="C74" s="3086" t="s">
        <v>2652</v>
      </c>
      <c r="D74" s="3086" t="s">
        <v>2653</v>
      </c>
      <c r="E74" s="3112">
        <v>0.2</v>
      </c>
      <c r="F74" s="3112">
        <v>25</v>
      </c>
    </row>
    <row r="75" spans="1:7" ht="24">
      <c r="A75" s="3112">
        <v>3</v>
      </c>
      <c r="B75" s="3820"/>
      <c r="C75" s="3086" t="s">
        <v>2654</v>
      </c>
      <c r="D75" s="3086" t="s">
        <v>2655</v>
      </c>
      <c r="E75" s="3112">
        <v>0.2</v>
      </c>
      <c r="F75" s="3112">
        <v>25</v>
      </c>
    </row>
    <row r="76" spans="1:7" ht="13.5">
      <c r="A76" s="3112">
        <v>4</v>
      </c>
      <c r="B76" s="3820"/>
      <c r="C76" s="3086" t="s">
        <v>2656</v>
      </c>
      <c r="D76" s="3086" t="s">
        <v>2657</v>
      </c>
      <c r="E76" s="3112">
        <v>0.15</v>
      </c>
      <c r="F76" s="3112">
        <v>20</v>
      </c>
    </row>
    <row r="77" spans="1:7" ht="24">
      <c r="A77" s="3112">
        <v>5</v>
      </c>
      <c r="B77" s="3820"/>
      <c r="C77" s="3086" t="s">
        <v>2658</v>
      </c>
      <c r="D77" s="3086" t="s">
        <v>2659</v>
      </c>
      <c r="E77" s="3112">
        <v>0.15</v>
      </c>
      <c r="F77" s="3112">
        <v>20</v>
      </c>
    </row>
    <row r="78" spans="1:7" ht="24">
      <c r="A78" s="3112">
        <v>6</v>
      </c>
      <c r="B78" s="3820"/>
      <c r="C78" s="3086" t="s">
        <v>2660</v>
      </c>
      <c r="D78" s="3086" t="s">
        <v>2661</v>
      </c>
      <c r="E78" s="3112">
        <v>0.15</v>
      </c>
      <c r="F78" s="3112">
        <v>20</v>
      </c>
    </row>
    <row r="79" spans="1:7" ht="24">
      <c r="A79" s="3112">
        <v>7</v>
      </c>
      <c r="B79" s="3820"/>
      <c r="C79" s="3086" t="s">
        <v>2662</v>
      </c>
      <c r="D79" s="3086" t="s">
        <v>2663</v>
      </c>
      <c r="E79" s="3112">
        <v>0.15</v>
      </c>
      <c r="F79" s="3112">
        <v>20</v>
      </c>
    </row>
    <row r="80" spans="1:7" ht="24">
      <c r="A80" s="3112">
        <v>8</v>
      </c>
      <c r="B80" s="3820"/>
      <c r="C80" s="3086" t="s">
        <v>2664</v>
      </c>
      <c r="D80" s="3086" t="s">
        <v>2665</v>
      </c>
      <c r="E80" s="3112">
        <v>0.1</v>
      </c>
      <c r="F80" s="3112">
        <v>15</v>
      </c>
    </row>
    <row r="81" spans="1:6" ht="24">
      <c r="A81" s="3112">
        <v>9</v>
      </c>
      <c r="B81" s="3820"/>
      <c r="C81" s="3086" t="s">
        <v>2666</v>
      </c>
      <c r="D81" s="3086" t="s">
        <v>2667</v>
      </c>
      <c r="E81" s="3112">
        <v>0.1</v>
      </c>
      <c r="F81" s="3112">
        <v>15</v>
      </c>
    </row>
    <row r="82" spans="1:6" ht="24">
      <c r="A82" s="3112">
        <v>10</v>
      </c>
      <c r="B82" s="3820"/>
      <c r="C82" s="3086" t="s">
        <v>2668</v>
      </c>
      <c r="D82" s="3086" t="s">
        <v>2669</v>
      </c>
      <c r="E82" s="3112">
        <v>0.1</v>
      </c>
      <c r="F82" s="3112">
        <v>15</v>
      </c>
    </row>
    <row r="83" spans="1:6" ht="24">
      <c r="A83" s="3112">
        <v>11</v>
      </c>
      <c r="B83" s="3820"/>
      <c r="C83" s="3086" t="s">
        <v>2670</v>
      </c>
      <c r="D83" s="3086" t="s">
        <v>2671</v>
      </c>
      <c r="E83" s="3112">
        <v>0.1</v>
      </c>
      <c r="F83" s="3112">
        <v>15</v>
      </c>
    </row>
    <row r="84" spans="1:6" ht="24">
      <c r="A84" s="3112">
        <v>12</v>
      </c>
      <c r="B84" s="3820"/>
      <c r="C84" s="3086" t="s">
        <v>2672</v>
      </c>
      <c r="D84" s="3086" t="s">
        <v>2673</v>
      </c>
      <c r="E84" s="3112">
        <v>0.1</v>
      </c>
      <c r="F84" s="3112">
        <v>15</v>
      </c>
    </row>
    <row r="85" spans="1:6" ht="13.5">
      <c r="A85" s="3112">
        <v>13</v>
      </c>
      <c r="B85" s="3820"/>
      <c r="C85" s="3086" t="s">
        <v>2674</v>
      </c>
      <c r="D85" s="3086" t="s">
        <v>2675</v>
      </c>
      <c r="E85" s="3112">
        <v>0.1</v>
      </c>
      <c r="F85" s="3112">
        <v>15</v>
      </c>
    </row>
    <row r="86" spans="1:6" ht="13.5">
      <c r="A86" s="3112">
        <v>14</v>
      </c>
      <c r="B86" s="3820"/>
      <c r="C86" s="3086" t="s">
        <v>2676</v>
      </c>
      <c r="D86" s="3086" t="s">
        <v>2677</v>
      </c>
      <c r="E86" s="3112">
        <v>0.1</v>
      </c>
      <c r="F86" s="3112">
        <v>15</v>
      </c>
    </row>
    <row r="87" spans="1:6" ht="13.5">
      <c r="A87" s="3112">
        <v>15</v>
      </c>
      <c r="B87" s="3820"/>
      <c r="C87" s="3086" t="s">
        <v>2678</v>
      </c>
      <c r="D87" s="3086" t="s">
        <v>2679</v>
      </c>
      <c r="E87" s="3112">
        <v>0.1</v>
      </c>
      <c r="F87" s="3112">
        <v>15</v>
      </c>
    </row>
    <row r="88" spans="1:6" ht="24">
      <c r="A88" s="3112">
        <v>16</v>
      </c>
      <c r="B88" s="3820"/>
      <c r="C88" s="3086" t="s">
        <v>2680</v>
      </c>
      <c r="D88" s="3086" t="s">
        <v>2681</v>
      </c>
      <c r="E88" s="3112">
        <v>0.1</v>
      </c>
      <c r="F88" s="3112">
        <v>15</v>
      </c>
    </row>
    <row r="89" spans="1:6" ht="24">
      <c r="A89" s="3112">
        <v>17</v>
      </c>
      <c r="B89" s="3819"/>
      <c r="C89" s="3086" t="s">
        <v>2682</v>
      </c>
      <c r="D89" s="3086" t="s">
        <v>2683</v>
      </c>
      <c r="E89" s="3112">
        <v>0.1</v>
      </c>
      <c r="F89" s="3112">
        <v>15</v>
      </c>
    </row>
    <row r="90" spans="1:6" ht="13.5">
      <c r="A90" s="3112">
        <v>18</v>
      </c>
      <c r="B90" s="3818" t="s">
        <v>2684</v>
      </c>
      <c r="C90" s="3086" t="s">
        <v>2685</v>
      </c>
      <c r="D90" s="3086" t="s">
        <v>2686</v>
      </c>
      <c r="E90" s="3112">
        <v>0.2</v>
      </c>
      <c r="F90" s="3112">
        <v>25</v>
      </c>
    </row>
    <row r="91" spans="1:6" ht="24">
      <c r="A91" s="3112">
        <v>19</v>
      </c>
      <c r="B91" s="3820"/>
      <c r="C91" s="3086" t="s">
        <v>2687</v>
      </c>
      <c r="D91" s="3086" t="s">
        <v>2688</v>
      </c>
      <c r="E91" s="3112">
        <v>0.2</v>
      </c>
      <c r="F91" s="3112">
        <v>25</v>
      </c>
    </row>
    <row r="92" spans="1:6" ht="13.5">
      <c r="A92" s="3112">
        <v>20</v>
      </c>
      <c r="B92" s="3820"/>
      <c r="C92" s="3086" t="s">
        <v>2689</v>
      </c>
      <c r="D92" s="3086" t="s">
        <v>2690</v>
      </c>
      <c r="E92" s="3112">
        <v>0.15</v>
      </c>
      <c r="F92" s="3112">
        <v>20</v>
      </c>
    </row>
    <row r="93" spans="1:6" ht="13.5">
      <c r="A93" s="3112">
        <v>21</v>
      </c>
      <c r="B93" s="3820"/>
      <c r="C93" s="3086" t="s">
        <v>2691</v>
      </c>
      <c r="D93" s="3086" t="s">
        <v>2692</v>
      </c>
      <c r="E93" s="3112">
        <v>0.15</v>
      </c>
      <c r="F93" s="3112">
        <v>20</v>
      </c>
    </row>
    <row r="94" spans="1:6" ht="13.5">
      <c r="A94" s="3112">
        <v>22</v>
      </c>
      <c r="B94" s="3820"/>
      <c r="C94" s="3086" t="s">
        <v>2693</v>
      </c>
      <c r="D94" s="3086" t="s">
        <v>2694</v>
      </c>
      <c r="E94" s="3112">
        <v>0.15</v>
      </c>
      <c r="F94" s="3112">
        <v>20</v>
      </c>
    </row>
    <row r="95" spans="1:6" ht="36">
      <c r="A95" s="3112">
        <v>23</v>
      </c>
      <c r="B95" s="3820"/>
      <c r="C95" s="3086" t="s">
        <v>2695</v>
      </c>
      <c r="D95" s="3086" t="s">
        <v>2696</v>
      </c>
      <c r="E95" s="3112">
        <v>0.15</v>
      </c>
      <c r="F95" s="3112">
        <v>20</v>
      </c>
    </row>
    <row r="96" spans="1:6" ht="13.5">
      <c r="A96" s="3112">
        <v>24</v>
      </c>
      <c r="B96" s="3820"/>
      <c r="C96" s="3086" t="s">
        <v>2697</v>
      </c>
      <c r="D96" s="3086" t="s">
        <v>2698</v>
      </c>
      <c r="E96" s="3112">
        <v>0.1</v>
      </c>
      <c r="F96" s="3112">
        <v>15</v>
      </c>
    </row>
    <row r="97" spans="1:6" ht="13.5">
      <c r="A97" s="3112">
        <v>25</v>
      </c>
      <c r="B97" s="3820"/>
      <c r="C97" s="3086" t="s">
        <v>2699</v>
      </c>
      <c r="D97" s="3086" t="s">
        <v>2700</v>
      </c>
      <c r="E97" s="3112">
        <v>0.1</v>
      </c>
      <c r="F97" s="3112">
        <v>15</v>
      </c>
    </row>
    <row r="98" spans="1:6" ht="24">
      <c r="A98" s="3112">
        <v>26</v>
      </c>
      <c r="B98" s="3820"/>
      <c r="C98" s="3086" t="s">
        <v>2701</v>
      </c>
      <c r="D98" s="3086" t="s">
        <v>2702</v>
      </c>
      <c r="E98" s="3112">
        <v>0.1</v>
      </c>
      <c r="F98" s="3112">
        <v>15</v>
      </c>
    </row>
    <row r="99" spans="1:6" ht="24">
      <c r="A99" s="3112">
        <v>27</v>
      </c>
      <c r="B99" s="3820"/>
      <c r="C99" s="3086" t="s">
        <v>2703</v>
      </c>
      <c r="D99" s="3086" t="s">
        <v>2704</v>
      </c>
      <c r="E99" s="3112">
        <v>0.1</v>
      </c>
      <c r="F99" s="3112">
        <v>15</v>
      </c>
    </row>
    <row r="100" spans="1:6" ht="13.5">
      <c r="A100" s="3112">
        <v>28</v>
      </c>
      <c r="B100" s="3820"/>
      <c r="C100" s="3086" t="s">
        <v>2705</v>
      </c>
      <c r="D100" s="3086" t="s">
        <v>2706</v>
      </c>
      <c r="E100" s="3112">
        <v>0.1</v>
      </c>
      <c r="F100" s="3112">
        <v>15</v>
      </c>
    </row>
    <row r="101" spans="1:6" ht="13.5">
      <c r="A101" s="3112">
        <v>29</v>
      </c>
      <c r="B101" s="3820"/>
      <c r="C101" s="3086" t="s">
        <v>2707</v>
      </c>
      <c r="D101" s="3086" t="s">
        <v>2708</v>
      </c>
      <c r="E101" s="3112">
        <v>0.1</v>
      </c>
      <c r="F101" s="3112">
        <v>15</v>
      </c>
    </row>
    <row r="102" spans="1:6" ht="13.5">
      <c r="A102" s="3112">
        <v>30</v>
      </c>
      <c r="B102" s="3820"/>
      <c r="C102" s="3086" t="s">
        <v>2709</v>
      </c>
      <c r="D102" s="3086" t="s">
        <v>2710</v>
      </c>
      <c r="E102" s="3112">
        <v>0.1</v>
      </c>
      <c r="F102" s="3112">
        <v>15</v>
      </c>
    </row>
    <row r="103" spans="1:6" ht="24">
      <c r="A103" s="3112">
        <v>31</v>
      </c>
      <c r="B103" s="3820"/>
      <c r="C103" s="3086" t="s">
        <v>2711</v>
      </c>
      <c r="D103" s="3086" t="s">
        <v>2712</v>
      </c>
      <c r="E103" s="3112">
        <v>0.1</v>
      </c>
      <c r="F103" s="3112">
        <v>15</v>
      </c>
    </row>
    <row r="104" spans="1:6" ht="24">
      <c r="A104" s="3112">
        <v>32</v>
      </c>
      <c r="B104" s="3820"/>
      <c r="C104" s="3086" t="s">
        <v>2713</v>
      </c>
      <c r="D104" s="3086" t="s">
        <v>2714</v>
      </c>
      <c r="E104" s="3112">
        <v>0.1</v>
      </c>
      <c r="F104" s="3112">
        <v>15</v>
      </c>
    </row>
    <row r="105" spans="1:6" ht="24">
      <c r="A105" s="3112">
        <v>33</v>
      </c>
      <c r="B105" s="3820"/>
      <c r="C105" s="3086" t="s">
        <v>2715</v>
      </c>
      <c r="D105" s="3086" t="s">
        <v>2716</v>
      </c>
      <c r="E105" s="3112">
        <v>0.1</v>
      </c>
      <c r="F105" s="3112">
        <v>15</v>
      </c>
    </row>
    <row r="106" spans="1:6" ht="24">
      <c r="A106" s="3112">
        <v>34</v>
      </c>
      <c r="B106" s="3819"/>
      <c r="C106" s="3086" t="s">
        <v>2717</v>
      </c>
      <c r="D106" s="3086" t="s">
        <v>2718</v>
      </c>
      <c r="E106" s="3112">
        <v>0.1</v>
      </c>
      <c r="F106" s="3112">
        <v>15</v>
      </c>
    </row>
    <row r="107" spans="1:6" ht="24">
      <c r="A107" s="3112">
        <v>35</v>
      </c>
      <c r="B107" s="3818" t="s">
        <v>2719</v>
      </c>
      <c r="C107" s="3112" t="s">
        <v>2720</v>
      </c>
      <c r="D107" s="3086" t="s">
        <v>2721</v>
      </c>
      <c r="E107" s="3112">
        <v>0.15</v>
      </c>
      <c r="F107" s="3112">
        <v>20</v>
      </c>
    </row>
    <row r="108" spans="1:6" ht="13.5">
      <c r="A108" s="3112">
        <v>36</v>
      </c>
      <c r="B108" s="3820"/>
      <c r="C108" s="3112" t="s">
        <v>2722</v>
      </c>
      <c r="D108" s="3086" t="s">
        <v>2723</v>
      </c>
      <c r="E108" s="3112">
        <v>0.15</v>
      </c>
      <c r="F108" s="3112">
        <v>20</v>
      </c>
    </row>
    <row r="109" spans="1:6" ht="13.5">
      <c r="A109" s="3112">
        <v>37</v>
      </c>
      <c r="B109" s="3820"/>
      <c r="C109" s="3112" t="s">
        <v>2724</v>
      </c>
      <c r="D109" s="3086" t="s">
        <v>2725</v>
      </c>
      <c r="E109" s="3112">
        <v>0.15</v>
      </c>
      <c r="F109" s="3112">
        <v>20</v>
      </c>
    </row>
    <row r="110" spans="1:6" ht="13.5">
      <c r="A110" s="3112">
        <v>38</v>
      </c>
      <c r="B110" s="3820"/>
      <c r="C110" s="3112" t="s">
        <v>2726</v>
      </c>
      <c r="D110" s="3086" t="s">
        <v>2727</v>
      </c>
      <c r="E110" s="3112">
        <v>0.1</v>
      </c>
      <c r="F110" s="3112">
        <v>15</v>
      </c>
    </row>
    <row r="111" spans="1:6" ht="24">
      <c r="A111" s="3112">
        <v>39</v>
      </c>
      <c r="B111" s="3820"/>
      <c r="C111" s="3112" t="s">
        <v>2728</v>
      </c>
      <c r="D111" s="3086" t="s">
        <v>2729</v>
      </c>
      <c r="E111" s="3112">
        <v>0.1</v>
      </c>
      <c r="F111" s="3112">
        <v>15</v>
      </c>
    </row>
    <row r="112" spans="1:6" ht="24">
      <c r="A112" s="3112">
        <v>40</v>
      </c>
      <c r="B112" s="3819"/>
      <c r="C112" s="3112" t="s">
        <v>2730</v>
      </c>
      <c r="D112" s="3086" t="s">
        <v>2731</v>
      </c>
      <c r="E112" s="3112">
        <v>0.1</v>
      </c>
      <c r="F112" s="3112">
        <v>15</v>
      </c>
    </row>
    <row r="113" spans="1:6" ht="13.5">
      <c r="A113" s="3112">
        <v>41</v>
      </c>
      <c r="B113" s="3817" t="s">
        <v>2732</v>
      </c>
      <c r="C113" s="3112" t="s">
        <v>2733</v>
      </c>
      <c r="D113" s="3086" t="s">
        <v>2734</v>
      </c>
      <c r="E113" s="3112">
        <v>0.1</v>
      </c>
      <c r="F113" s="3112">
        <v>15</v>
      </c>
    </row>
    <row r="114" spans="1:6" ht="13.5">
      <c r="A114" s="3112">
        <v>42</v>
      </c>
      <c r="B114" s="3817"/>
      <c r="C114" s="3112" t="s">
        <v>2735</v>
      </c>
      <c r="D114" s="3086" t="s">
        <v>2736</v>
      </c>
      <c r="E114" s="3112">
        <v>0.1</v>
      </c>
      <c r="F114" s="3112">
        <v>15</v>
      </c>
    </row>
    <row r="115" spans="1:6" ht="24">
      <c r="A115" s="3112">
        <v>43</v>
      </c>
      <c r="B115" s="3817"/>
      <c r="C115" s="3112" t="s">
        <v>2737</v>
      </c>
      <c r="D115" s="3086" t="s">
        <v>2738</v>
      </c>
      <c r="E115" s="3112">
        <v>0.1</v>
      </c>
      <c r="F115" s="3112">
        <v>15</v>
      </c>
    </row>
    <row r="116" spans="1:6" ht="13.5">
      <c r="A116" s="3112">
        <v>44</v>
      </c>
      <c r="B116" s="3818" t="s">
        <v>2739</v>
      </c>
      <c r="C116" s="3112" t="s">
        <v>2740</v>
      </c>
      <c r="D116" s="3086" t="s">
        <v>2741</v>
      </c>
      <c r="E116" s="3112">
        <v>0.1</v>
      </c>
      <c r="F116" s="3112">
        <v>15</v>
      </c>
    </row>
    <row r="117" spans="1:6" ht="24">
      <c r="A117" s="3112">
        <v>45</v>
      </c>
      <c r="B117" s="3819"/>
      <c r="C117" s="3086" t="s">
        <v>2742</v>
      </c>
      <c r="D117" s="3086" t="s">
        <v>2743</v>
      </c>
      <c r="E117" s="3112">
        <v>0.1</v>
      </c>
      <c r="F117" s="3112">
        <v>15</v>
      </c>
    </row>
    <row r="118" spans="1:6" ht="24">
      <c r="A118" s="3112">
        <v>46</v>
      </c>
      <c r="B118" s="3818" t="s">
        <v>2744</v>
      </c>
      <c r="C118" s="3112" t="s">
        <v>2745</v>
      </c>
      <c r="D118" s="3086" t="s">
        <v>2746</v>
      </c>
      <c r="E118" s="3112">
        <v>0.1</v>
      </c>
      <c r="F118" s="3112">
        <v>15</v>
      </c>
    </row>
    <row r="119" spans="1:6" ht="24">
      <c r="A119" s="3112">
        <v>47</v>
      </c>
      <c r="B119" s="3819"/>
      <c r="C119" s="3112" t="s">
        <v>2747</v>
      </c>
      <c r="D119" s="3086" t="s">
        <v>2748</v>
      </c>
      <c r="E119" s="3112">
        <v>0.1</v>
      </c>
      <c r="F119" s="3112">
        <v>15</v>
      </c>
    </row>
    <row r="120" spans="1:6" ht="13.5">
      <c r="A120" s="3112">
        <v>48</v>
      </c>
      <c r="B120" s="3818" t="s">
        <v>2749</v>
      </c>
      <c r="C120" s="3112" t="s">
        <v>2750</v>
      </c>
      <c r="D120" s="3086" t="s">
        <v>2751</v>
      </c>
      <c r="E120" s="3112">
        <v>0.1</v>
      </c>
      <c r="F120" s="3112">
        <v>15</v>
      </c>
    </row>
    <row r="121" spans="1:6" ht="13.5">
      <c r="A121" s="3112">
        <v>49</v>
      </c>
      <c r="B121" s="3819"/>
      <c r="C121" s="3112" t="s">
        <v>2752</v>
      </c>
      <c r="D121" s="3086" t="s">
        <v>2753</v>
      </c>
      <c r="E121" s="3112">
        <v>0.1</v>
      </c>
      <c r="F121" s="3112">
        <v>15</v>
      </c>
    </row>
    <row r="122" spans="1:6" ht="24">
      <c r="A122" s="3112">
        <v>50</v>
      </c>
      <c r="B122" s="3817" t="s">
        <v>2754</v>
      </c>
      <c r="C122" s="3112" t="s">
        <v>2755</v>
      </c>
      <c r="D122" s="3086" t="s">
        <v>2756</v>
      </c>
      <c r="E122" s="3112">
        <v>0.1</v>
      </c>
      <c r="F122" s="3112">
        <v>15</v>
      </c>
    </row>
    <row r="123" spans="1:6" ht="24">
      <c r="A123" s="3112">
        <v>51</v>
      </c>
      <c r="B123" s="3817"/>
      <c r="C123" s="3112" t="s">
        <v>2757</v>
      </c>
      <c r="D123" s="3086" t="s">
        <v>2758</v>
      </c>
      <c r="E123" s="3112">
        <v>0.1</v>
      </c>
      <c r="F123" s="3112">
        <v>15</v>
      </c>
    </row>
    <row r="124" spans="1:6" ht="24">
      <c r="A124" s="3112">
        <v>52</v>
      </c>
      <c r="B124" s="3817" t="s">
        <v>2759</v>
      </c>
      <c r="C124" s="3112" t="s">
        <v>2760</v>
      </c>
      <c r="D124" s="3086" t="s">
        <v>2761</v>
      </c>
      <c r="E124" s="3112">
        <v>0.1</v>
      </c>
      <c r="F124" s="3112">
        <v>15</v>
      </c>
    </row>
    <row r="125" spans="1:6" ht="24">
      <c r="A125" s="3112">
        <v>53</v>
      </c>
      <c r="B125" s="3817"/>
      <c r="C125" s="3112" t="s">
        <v>2762</v>
      </c>
      <c r="D125" s="3086" t="s">
        <v>2763</v>
      </c>
      <c r="E125" s="3112">
        <v>0.1</v>
      </c>
      <c r="F125" s="3112">
        <v>15</v>
      </c>
    </row>
    <row r="126" spans="1:6" ht="13.5">
      <c r="A126" s="3112">
        <v>54</v>
      </c>
      <c r="B126" s="3112" t="s">
        <v>2764</v>
      </c>
      <c r="C126" s="3112" t="s">
        <v>2765</v>
      </c>
      <c r="D126" s="3086" t="s">
        <v>2766</v>
      </c>
      <c r="E126" s="3112">
        <v>0.1</v>
      </c>
      <c r="F126" s="3112">
        <v>15</v>
      </c>
    </row>
    <row r="127" spans="1:6" ht="13.5">
      <c r="A127" s="3112">
        <v>55</v>
      </c>
      <c r="B127" s="3817" t="s">
        <v>2767</v>
      </c>
      <c r="C127" s="3112" t="s">
        <v>2768</v>
      </c>
      <c r="D127" s="3086" t="s">
        <v>2769</v>
      </c>
      <c r="E127" s="3112">
        <v>0.1</v>
      </c>
      <c r="F127" s="3112">
        <v>15</v>
      </c>
    </row>
    <row r="128" spans="1:6" ht="13.5">
      <c r="A128" s="3112">
        <v>56</v>
      </c>
      <c r="B128" s="3817"/>
      <c r="C128" s="3112" t="s">
        <v>2770</v>
      </c>
      <c r="D128" s="3086" t="s">
        <v>2771</v>
      </c>
      <c r="E128" s="3112">
        <v>0.1</v>
      </c>
      <c r="F128" s="3112">
        <v>15</v>
      </c>
    </row>
    <row r="129" spans="1:6" ht="24">
      <c r="A129" s="3112">
        <v>57</v>
      </c>
      <c r="B129" s="3817"/>
      <c r="C129" s="3112" t="s">
        <v>2772</v>
      </c>
      <c r="D129" s="3086" t="s">
        <v>2773</v>
      </c>
      <c r="E129" s="3112">
        <v>0.1</v>
      </c>
      <c r="F129" s="3112">
        <v>15</v>
      </c>
    </row>
    <row r="130" spans="1:6" ht="24">
      <c r="A130" s="3112">
        <v>58</v>
      </c>
      <c r="B130" s="3817" t="s">
        <v>2774</v>
      </c>
      <c r="C130" s="3112" t="s">
        <v>2775</v>
      </c>
      <c r="D130" s="3086" t="s">
        <v>2776</v>
      </c>
      <c r="E130" s="3112">
        <v>0.1</v>
      </c>
      <c r="F130" s="3112">
        <v>15</v>
      </c>
    </row>
    <row r="131" spans="1:6" ht="13.5">
      <c r="A131" s="3112">
        <v>59</v>
      </c>
      <c r="B131" s="3817"/>
      <c r="C131" s="3112" t="s">
        <v>2777</v>
      </c>
      <c r="D131" s="3086" t="s">
        <v>2778</v>
      </c>
      <c r="E131" s="3112">
        <v>0.1</v>
      </c>
      <c r="F131" s="3112">
        <v>15</v>
      </c>
    </row>
    <row r="132" spans="1:6" ht="13.5">
      <c r="A132" s="3112">
        <v>60</v>
      </c>
      <c r="B132" s="3818" t="s">
        <v>2779</v>
      </c>
      <c r="C132" s="3112" t="s">
        <v>2780</v>
      </c>
      <c r="D132" s="3086" t="s">
        <v>2781</v>
      </c>
      <c r="E132" s="3112">
        <v>0.1</v>
      </c>
      <c r="F132" s="3112">
        <v>15</v>
      </c>
    </row>
    <row r="133" spans="1:6" ht="13.5">
      <c r="A133" s="3112">
        <v>61</v>
      </c>
      <c r="B133" s="3819"/>
      <c r="C133" s="3112" t="s">
        <v>2782</v>
      </c>
      <c r="D133" s="3086" t="s">
        <v>2783</v>
      </c>
      <c r="E133" s="3112">
        <v>0.1</v>
      </c>
      <c r="F133" s="3112">
        <v>15</v>
      </c>
    </row>
    <row r="134" spans="1:6" ht="24">
      <c r="A134" s="3112">
        <v>62</v>
      </c>
      <c r="B134" s="3112" t="s">
        <v>2784</v>
      </c>
      <c r="C134" s="3112" t="s">
        <v>2785</v>
      </c>
      <c r="D134" s="3086" t="s">
        <v>2786</v>
      </c>
      <c r="E134" s="3112">
        <v>0.1</v>
      </c>
      <c r="F134" s="3112">
        <v>15</v>
      </c>
    </row>
    <row r="135" spans="1:6" ht="13.5">
      <c r="A135" s="3112">
        <v>63</v>
      </c>
      <c r="B135" s="3817" t="s">
        <v>2787</v>
      </c>
      <c r="C135" s="3112" t="s">
        <v>2788</v>
      </c>
      <c r="D135" s="3086" t="s">
        <v>2789</v>
      </c>
      <c r="E135" s="3112">
        <v>0.1</v>
      </c>
      <c r="F135" s="3112">
        <v>15</v>
      </c>
    </row>
    <row r="136" spans="1:6" ht="13.5">
      <c r="A136" s="3112">
        <v>64</v>
      </c>
      <c r="B136" s="3817"/>
      <c r="C136" s="3112" t="s">
        <v>2790</v>
      </c>
      <c r="D136" s="3086" t="s">
        <v>2791</v>
      </c>
      <c r="E136" s="3112">
        <v>0.1</v>
      </c>
      <c r="F136" s="3112">
        <v>15</v>
      </c>
    </row>
    <row r="137" spans="1:6" ht="13.5">
      <c r="A137" s="3112">
        <v>65</v>
      </c>
      <c r="B137" s="3112" t="s">
        <v>2792</v>
      </c>
      <c r="C137" s="3112" t="s">
        <v>2793</v>
      </c>
      <c r="D137" s="3086" t="s">
        <v>2794</v>
      </c>
      <c r="E137" s="3112">
        <v>0.1</v>
      </c>
      <c r="F137" s="3112">
        <v>15</v>
      </c>
    </row>
    <row r="138" spans="1:6" ht="13.5">
      <c r="A138" s="3112"/>
      <c r="B138" s="3112"/>
      <c r="C138" s="3112"/>
      <c r="D138" s="3112"/>
      <c r="E138" s="3112" t="s">
        <v>2795</v>
      </c>
      <c r="F138" s="311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2796</v>
      </c>
      <c r="B1" s="3121"/>
      <c r="C1" s="3121"/>
      <c r="D1" s="3121"/>
      <c r="E1" s="3121"/>
      <c r="F1" s="3121"/>
      <c r="G1" s="3121"/>
      <c r="H1" s="3121"/>
      <c r="I1" s="3121"/>
      <c r="J1" s="3121"/>
      <c r="K1" s="3121"/>
      <c r="L1" s="3121"/>
      <c r="M1" s="3121"/>
      <c r="N1" s="749"/>
    </row>
    <row r="2" spans="1:20">
      <c r="A2" s="3122" t="s">
        <v>2797</v>
      </c>
      <c r="B2" s="3123" t="s">
        <v>2593</v>
      </c>
      <c r="C2" s="3123" t="s">
        <v>2594</v>
      </c>
      <c r="D2" s="3123" t="s">
        <v>2595</v>
      </c>
      <c r="E2" s="3123" t="s">
        <v>2596</v>
      </c>
      <c r="F2" s="3123" t="s">
        <v>2597</v>
      </c>
      <c r="G2" s="3123" t="s">
        <v>2598</v>
      </c>
      <c r="H2" s="3124" t="s">
        <v>2599</v>
      </c>
      <c r="I2" s="3124" t="s">
        <v>2600</v>
      </c>
      <c r="J2" s="3125" t="s">
        <v>2601</v>
      </c>
      <c r="K2" s="3125" t="s">
        <v>2602</v>
      </c>
      <c r="L2" s="3125" t="s">
        <v>2603</v>
      </c>
      <c r="M2" s="3126" t="s">
        <v>2604</v>
      </c>
      <c r="Q2" s="3136" t="s">
        <v>2802</v>
      </c>
      <c r="R2" s="3136" t="s">
        <v>2803</v>
      </c>
      <c r="S2" s="3136" t="s">
        <v>2804</v>
      </c>
      <c r="T2" s="3136" t="s">
        <v>2805</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2798</v>
      </c>
      <c r="B93" s="3121"/>
      <c r="C93" s="3121"/>
      <c r="D93" s="3121"/>
      <c r="E93" s="3121"/>
      <c r="F93" s="3121"/>
      <c r="G93" s="3121"/>
      <c r="H93" s="3121"/>
      <c r="I93" s="3121"/>
      <c r="J93" s="3121"/>
      <c r="K93" s="3121"/>
      <c r="L93" s="3121"/>
      <c r="M93" s="3121"/>
    </row>
    <row r="94" spans="1:20">
      <c r="A94" s="3122" t="s">
        <v>2797</v>
      </c>
      <c r="B94" s="3123" t="s">
        <v>2593</v>
      </c>
      <c r="C94" s="3123" t="s">
        <v>2594</v>
      </c>
      <c r="D94" s="3123" t="s">
        <v>2595</v>
      </c>
      <c r="E94" s="3123" t="s">
        <v>2596</v>
      </c>
      <c r="F94" s="3123" t="s">
        <v>2597</v>
      </c>
      <c r="G94" s="3123" t="s">
        <v>2598</v>
      </c>
      <c r="H94" s="3124" t="s">
        <v>2599</v>
      </c>
      <c r="I94" s="3124" t="s">
        <v>2600</v>
      </c>
      <c r="J94" s="3125" t="s">
        <v>2601</v>
      </c>
      <c r="K94" s="3125" t="s">
        <v>2602</v>
      </c>
      <c r="L94" s="3125" t="s">
        <v>2603</v>
      </c>
      <c r="M94" s="3126" t="s">
        <v>2604</v>
      </c>
      <c r="N94" s="750">
        <f>SUMPRODUCT((A95:A184=ROUNDDOWN(基准地价修正!G3,1))*(B94:M94=基准地价修正!G2)*(B95:M184))</f>
        <v>0.91190000000000004</v>
      </c>
      <c r="Q94" s="3136" t="s">
        <v>2802</v>
      </c>
      <c r="R94" s="3136" t="s">
        <v>2803</v>
      </c>
      <c r="S94" s="3136" t="s">
        <v>2804</v>
      </c>
      <c r="T94" s="3136" t="s">
        <v>2805</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2799</v>
      </c>
      <c r="B185" s="3121"/>
      <c r="C185" s="3121"/>
      <c r="D185" s="3121"/>
      <c r="E185" s="3121"/>
      <c r="F185" s="3121"/>
      <c r="G185" s="3121"/>
      <c r="H185" s="3121"/>
      <c r="I185" s="3121"/>
      <c r="J185" s="3121"/>
      <c r="K185" s="3121"/>
      <c r="L185" s="3121"/>
      <c r="M185" s="3121"/>
    </row>
    <row r="186" spans="1:20">
      <c r="A186" s="3122" t="s">
        <v>2797</v>
      </c>
      <c r="B186" s="3123" t="s">
        <v>2593</v>
      </c>
      <c r="C186" s="3123" t="s">
        <v>2594</v>
      </c>
      <c r="D186" s="3123" t="s">
        <v>2595</v>
      </c>
      <c r="E186" s="3123" t="s">
        <v>2596</v>
      </c>
      <c r="F186" s="3123" t="s">
        <v>2597</v>
      </c>
      <c r="G186" s="3123" t="s">
        <v>2598</v>
      </c>
      <c r="H186" s="3124" t="s">
        <v>2599</v>
      </c>
      <c r="I186" s="3124" t="s">
        <v>2600</v>
      </c>
      <c r="J186" s="3125" t="s">
        <v>2601</v>
      </c>
      <c r="K186" s="3125" t="s">
        <v>2602</v>
      </c>
      <c r="L186" s="3125" t="s">
        <v>2603</v>
      </c>
      <c r="M186" s="3126" t="s">
        <v>2604</v>
      </c>
      <c r="Q186" s="3136" t="s">
        <v>2802</v>
      </c>
      <c r="R186" s="3136" t="s">
        <v>2803</v>
      </c>
      <c r="S186" s="3136" t="s">
        <v>2804</v>
      </c>
      <c r="T186" s="3136" t="s">
        <v>2805</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2800</v>
      </c>
      <c r="B277" s="3121"/>
      <c r="C277" s="3121"/>
      <c r="D277" s="3121"/>
      <c r="E277" s="3121"/>
      <c r="F277" s="3121"/>
      <c r="G277" s="3121"/>
      <c r="H277" s="3121"/>
      <c r="I277" s="3121"/>
      <c r="J277" s="3121"/>
      <c r="K277" s="3121"/>
      <c r="L277" s="3121"/>
      <c r="M277" s="3121"/>
    </row>
    <row r="278" spans="1:21">
      <c r="A278" s="3122" t="s">
        <v>2797</v>
      </c>
      <c r="B278" s="3123" t="s">
        <v>2593</v>
      </c>
      <c r="C278" s="3123" t="s">
        <v>2594</v>
      </c>
      <c r="D278" s="3123" t="s">
        <v>2595</v>
      </c>
      <c r="E278" s="3123" t="s">
        <v>2596</v>
      </c>
      <c r="F278" s="3123" t="s">
        <v>2597</v>
      </c>
      <c r="G278" s="3123" t="s">
        <v>2598</v>
      </c>
      <c r="H278" s="3124" t="s">
        <v>2599</v>
      </c>
      <c r="I278" s="3124" t="s">
        <v>2600</v>
      </c>
      <c r="J278" s="3125" t="s">
        <v>2601</v>
      </c>
      <c r="K278" s="3125" t="s">
        <v>2602</v>
      </c>
      <c r="L278" s="3125" t="s">
        <v>2603</v>
      </c>
      <c r="M278" s="3126" t="s">
        <v>2604</v>
      </c>
      <c r="Q278" s="3136" t="s">
        <v>2802</v>
      </c>
      <c r="R278" s="3136" t="s">
        <v>2803</v>
      </c>
      <c r="S278" s="3136" t="s">
        <v>2806</v>
      </c>
      <c r="T278" s="3136" t="s">
        <v>2807</v>
      </c>
      <c r="U278" s="3136" t="s">
        <v>2805</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2801</v>
      </c>
      <c r="B369" s="3134"/>
      <c r="C369" s="3134"/>
      <c r="D369" s="3134"/>
      <c r="E369" s="3134"/>
      <c r="F369" s="3134"/>
      <c r="G369" s="3134"/>
      <c r="H369" s="3134"/>
      <c r="I369" s="3134"/>
      <c r="J369" s="3134"/>
      <c r="K369" s="3134"/>
      <c r="L369" s="3134"/>
      <c r="M369" s="3134"/>
    </row>
    <row r="370" spans="1:20">
      <c r="A370" s="3122" t="s">
        <v>2797</v>
      </c>
      <c r="B370" s="3123" t="s">
        <v>2593</v>
      </c>
      <c r="C370" s="3123" t="s">
        <v>2594</v>
      </c>
      <c r="D370" s="3123" t="s">
        <v>2595</v>
      </c>
      <c r="E370" s="3123" t="s">
        <v>2596</v>
      </c>
      <c r="F370" s="3123" t="s">
        <v>2597</v>
      </c>
      <c r="G370" s="3123" t="s">
        <v>2598</v>
      </c>
      <c r="H370" s="3124" t="s">
        <v>2599</v>
      </c>
      <c r="I370" s="3124" t="s">
        <v>2600</v>
      </c>
      <c r="J370" s="3125" t="s">
        <v>2601</v>
      </c>
      <c r="K370" s="3125" t="s">
        <v>2602</v>
      </c>
      <c r="L370" s="3125" t="s">
        <v>2603</v>
      </c>
      <c r="M370" s="3126" t="s">
        <v>2604</v>
      </c>
      <c r="N370" s="750">
        <f>SUMPRODUCT((A371:A460=ROUNDDOWN(基准地价修正!G3,1))*(B370:M370=基准地价修正!G2)*(B371:M460))</f>
        <v>0.86370000000000002</v>
      </c>
      <c r="Q370" s="3136" t="s">
        <v>2802</v>
      </c>
      <c r="R370" s="3136" t="s">
        <v>2803</v>
      </c>
      <c r="S370" s="3136" t="s">
        <v>2804</v>
      </c>
      <c r="T370" s="3136" t="s">
        <v>2805</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65863</v>
      </c>
      <c r="C2" s="2" t="s">
        <v>106</v>
      </c>
      <c r="D2" s="199"/>
      <c r="E2" s="199"/>
      <c r="F2" s="199"/>
      <c r="G2" s="199"/>
    </row>
    <row r="3" spans="1:7" s="200" customFormat="1" ht="18" customHeight="1" thickBot="1">
      <c r="A3" s="203" t="s">
        <v>58</v>
      </c>
      <c r="B3" s="204">
        <f ca="1">ROUND(B2*10000/'数据-汇总表'!E3,0)</f>
        <v>14574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904</v>
      </c>
      <c r="D10" s="845">
        <f>'数据-汇总表'!E6</f>
        <v>45192.95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904</v>
      </c>
      <c r="D19" s="849">
        <f>'数据-汇总表'!E3</f>
        <v>45192.95</v>
      </c>
      <c r="E19" s="211">
        <f>'数据-取费表'!B31</f>
        <v>200</v>
      </c>
      <c r="F19" s="231"/>
      <c r="G19" s="1" t="s">
        <v>436</v>
      </c>
    </row>
    <row r="20" spans="1:7" s="214" customFormat="1" ht="13.5" customHeight="1">
      <c r="A20" s="777" t="s">
        <v>419</v>
      </c>
      <c r="B20" s="210" t="s">
        <v>77</v>
      </c>
      <c r="C20" s="232">
        <f>ROUND((C5+C19)*F20,0)</f>
        <v>645</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1488</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62</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4432</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4432</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30189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27116</v>
      </c>
      <c r="D34" s="217"/>
      <c r="E34" s="220"/>
      <c r="F34" s="257">
        <f>IF('数据-取费表'!B24=0,1,'数据-取费表'!N16)</f>
        <v>1</v>
      </c>
      <c r="G34" s="219" t="s">
        <v>89</v>
      </c>
    </row>
    <row r="35" spans="1:7" ht="13.5" customHeight="1">
      <c r="A35" s="780" t="s">
        <v>351</v>
      </c>
      <c r="B35" s="215" t="s">
        <v>33</v>
      </c>
      <c r="C35" s="220">
        <f>ROUND(C34*F35,0)</f>
        <v>1627</v>
      </c>
      <c r="D35" s="220"/>
      <c r="E35" s="220"/>
      <c r="F35" s="259">
        <f>'数据-取费表'!B33</f>
        <v>0.06</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904</v>
      </c>
      <c r="D37" s="217">
        <f>'数据-汇总表'!E3</f>
        <v>45192.95</v>
      </c>
      <c r="E37" s="249">
        <f>'数据-取费表'!B35</f>
        <v>200</v>
      </c>
      <c r="F37" s="259"/>
      <c r="G37" s="261" t="s">
        <v>92</v>
      </c>
    </row>
    <row r="38" spans="1:7" ht="13.5" customHeight="1">
      <c r="A38" s="780" t="s">
        <v>354</v>
      </c>
      <c r="B38" s="215" t="s">
        <v>36</v>
      </c>
      <c r="C38" s="220">
        <f>ROUND(C34*F38,0)</f>
        <v>542</v>
      </c>
      <c r="D38" s="220"/>
      <c r="E38" s="220"/>
      <c r="F38" s="259">
        <f>'数据-取费表'!B36</f>
        <v>0.02</v>
      </c>
      <c r="G38" s="219" t="s">
        <v>90</v>
      </c>
    </row>
    <row r="39" spans="1:7" s="214" customFormat="1" ht="13.5" customHeight="1">
      <c r="A39" s="777" t="s">
        <v>338</v>
      </c>
      <c r="B39" s="210" t="s">
        <v>77</v>
      </c>
      <c r="C39" s="232">
        <f>ROUND(C33*F20,0)</f>
        <v>906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1041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1011</v>
      </c>
      <c r="D42" s="238"/>
      <c r="E42" s="238"/>
      <c r="F42" s="239"/>
      <c r="G42" s="3692" t="s">
        <v>94</v>
      </c>
    </row>
    <row r="43" spans="1:7" ht="13.5" customHeight="1">
      <c r="A43" s="780" t="s">
        <v>347</v>
      </c>
      <c r="B43" s="215" t="s">
        <v>426</v>
      </c>
      <c r="C43" s="238">
        <f ca="1">ROUND(IF('数据-取费表'!B22&lt;=1,C39*F22*'数据-取费表'!B21/2,C39*(POWER((1+F22),'数据-取费表'!B21/2)-1)),0)</f>
        <v>30</v>
      </c>
      <c r="D43" s="238"/>
      <c r="E43" s="238"/>
      <c r="F43" s="239"/>
      <c r="G43" s="3693"/>
    </row>
    <row r="44" spans="1:7" ht="13.5" customHeight="1">
      <c r="A44" s="780" t="s">
        <v>348</v>
      </c>
      <c r="B44" s="215" t="s">
        <v>428</v>
      </c>
      <c r="C44" s="238">
        <f ca="1">ROUND(IF('数据-取费表'!B22&lt;=1,C40*F22*'数据-取费表'!B21/2,C40*(POWER((1+F22),'数据-取费表'!B21/2)-1)),4)</f>
        <v>1E-3</v>
      </c>
      <c r="D44" s="238"/>
      <c r="E44" s="238"/>
      <c r="F44" s="239"/>
      <c r="G44" s="3694"/>
    </row>
    <row r="45" spans="1:7" s="214" customFormat="1" ht="13.5" customHeight="1">
      <c r="A45" s="777" t="s">
        <v>341</v>
      </c>
      <c r="B45" s="244" t="s">
        <v>85</v>
      </c>
      <c r="C45" s="245">
        <f>C46</f>
        <v>6219</v>
      </c>
      <c r="D45" s="235">
        <f>C47</f>
        <v>6.0000000000000001E-3</v>
      </c>
      <c r="E45" s="236" t="s">
        <v>102</v>
      </c>
      <c r="F45" s="246"/>
      <c r="G45" s="247" t="s">
        <v>434</v>
      </c>
    </row>
    <row r="46" spans="1:7" s="214" customFormat="1" ht="13.5" customHeight="1">
      <c r="A46" s="780" t="s">
        <v>349</v>
      </c>
      <c r="B46" s="248" t="s">
        <v>427</v>
      </c>
      <c r="C46" s="249">
        <f>ROUND((C33+C39)*F27,0)</f>
        <v>6219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42164</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34996</v>
      </c>
      <c r="D51" s="232"/>
      <c r="E51" s="232"/>
      <c r="F51" s="264"/>
      <c r="G51" s="234" t="s">
        <v>37</v>
      </c>
    </row>
    <row r="52" spans="1:7" s="208" customFormat="1" ht="16.5" thickBot="1">
      <c r="A52" s="265" t="s">
        <v>38</v>
      </c>
      <c r="B52" s="266"/>
      <c r="C52" s="267">
        <f ca="1">C31+C51</f>
        <v>65863</v>
      </c>
      <c r="D52" s="266"/>
      <c r="E52" s="266"/>
      <c r="F52" s="266"/>
      <c r="G52" s="268"/>
    </row>
    <row r="55" spans="1:7" ht="15">
      <c r="B55" s="270" t="s">
        <v>39</v>
      </c>
      <c r="C55" s="271"/>
    </row>
    <row r="56" spans="1:7">
      <c r="B56" s="273" t="s">
        <v>40</v>
      </c>
      <c r="C56" s="274">
        <f ca="1">ROUND(C51/C52,3)</f>
        <v>0.53100000000000003</v>
      </c>
    </row>
    <row r="57" spans="1:7">
      <c r="B57" s="273" t="s">
        <v>41</v>
      </c>
      <c r="C57" s="275">
        <f ca="1">1-C56</f>
        <v>0.46899999999999997</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31" t="s">
        <v>2837</v>
      </c>
      <c r="B1" s="3831"/>
      <c r="C1" s="3831"/>
      <c r="D1" s="3831"/>
      <c r="E1" s="3831"/>
      <c r="F1" s="3831"/>
      <c r="G1" s="3832"/>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829" t="s">
        <v>2864</v>
      </c>
      <c r="B3" s="3224"/>
      <c r="C3" s="3225" t="s">
        <v>2809</v>
      </c>
      <c r="D3" s="3225" t="s">
        <v>2865</v>
      </c>
      <c r="E3" s="3225" t="s">
        <v>2811</v>
      </c>
      <c r="F3" s="3225" t="s">
        <v>2866</v>
      </c>
      <c r="G3" s="3225" t="s">
        <v>2629</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830"/>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33" t="s">
        <v>3179</v>
      </c>
      <c r="B1" s="3833"/>
    </row>
    <row r="2" spans="1:7" ht="14.25" thickBot="1">
      <c r="A2" s="3249"/>
      <c r="B2" s="3249"/>
    </row>
    <row r="3" spans="1:7" ht="14.25" thickBot="1">
      <c r="A3" s="3249"/>
      <c r="B3" s="3249"/>
      <c r="C3" s="3250" t="s">
        <v>2809</v>
      </c>
      <c r="D3" s="3250" t="s">
        <v>2865</v>
      </c>
      <c r="E3" s="3250" t="s">
        <v>2811</v>
      </c>
      <c r="F3" s="3250" t="s">
        <v>2866</v>
      </c>
      <c r="G3" s="3250" t="s">
        <v>2629</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34" t="s">
        <v>3230</v>
      </c>
      <c r="B1" s="3834"/>
      <c r="C1" s="3834"/>
      <c r="D1" s="3834"/>
      <c r="E1" s="3834"/>
      <c r="F1" s="3835"/>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45531</v>
      </c>
      <c r="B1" s="3204" t="s">
        <v>3368</v>
      </c>
      <c r="C1" s="3205"/>
      <c r="D1" s="3205"/>
      <c r="E1" s="3205"/>
      <c r="F1" s="3205"/>
      <c r="G1" s="3205"/>
      <c r="H1" s="3205"/>
      <c r="I1" s="3205"/>
      <c r="J1" s="3159"/>
      <c r="K1" s="3205" t="s">
        <v>454</v>
      </c>
      <c r="L1" s="3205"/>
      <c r="M1" s="3205"/>
      <c r="N1" s="3205"/>
      <c r="O1" s="3205"/>
      <c r="P1" s="3205"/>
      <c r="Q1" s="3159"/>
      <c r="R1" s="3836" t="s">
        <v>456</v>
      </c>
      <c r="S1" s="3837"/>
      <c r="T1" s="3837"/>
      <c r="U1" s="3837"/>
      <c r="V1" s="3837"/>
      <c r="W1" s="3837"/>
      <c r="X1" s="3159"/>
      <c r="Y1" s="3836" t="s">
        <v>457</v>
      </c>
      <c r="Z1" s="3837"/>
      <c r="AA1" s="3837"/>
      <c r="AB1" s="3837"/>
      <c r="AC1" s="3837"/>
      <c r="AD1" s="3837"/>
    </row>
    <row r="2" spans="1:30" s="3137" customFormat="1" ht="14.25" thickBot="1">
      <c r="B2" s="3138"/>
      <c r="C2" s="3139"/>
      <c r="D2" s="3140" t="s">
        <v>2808</v>
      </c>
      <c r="E2" s="3141" t="s">
        <v>2809</v>
      </c>
      <c r="F2" s="3141" t="s">
        <v>2810</v>
      </c>
      <c r="G2" s="3141" t="s">
        <v>2811</v>
      </c>
      <c r="H2" s="3141" t="s">
        <v>2812</v>
      </c>
      <c r="I2" s="3141" t="s">
        <v>2629</v>
      </c>
      <c r="J2" s="3142"/>
      <c r="K2" s="3140" t="s">
        <v>2808</v>
      </c>
      <c r="L2" s="3141" t="s">
        <v>2809</v>
      </c>
      <c r="M2" s="3141" t="s">
        <v>2810</v>
      </c>
      <c r="N2" s="3141" t="s">
        <v>2811</v>
      </c>
      <c r="O2" s="3141" t="s">
        <v>2813</v>
      </c>
      <c r="P2" s="3141" t="s">
        <v>2629</v>
      </c>
      <c r="Q2" s="3142"/>
      <c r="R2" s="3140" t="s">
        <v>2808</v>
      </c>
      <c r="S2" s="3141" t="s">
        <v>2809</v>
      </c>
      <c r="T2" s="3141" t="s">
        <v>2810</v>
      </c>
      <c r="U2" s="3141" t="s">
        <v>2814</v>
      </c>
      <c r="V2" s="3141" t="s">
        <v>2815</v>
      </c>
      <c r="W2" s="3141" t="s">
        <v>2629</v>
      </c>
      <c r="X2" s="3142"/>
      <c r="Y2" s="3140" t="s">
        <v>2808</v>
      </c>
      <c r="Z2" s="3141" t="s">
        <v>2809</v>
      </c>
      <c r="AA2" s="3141" t="s">
        <v>2810</v>
      </c>
      <c r="AB2" s="3141" t="s">
        <v>2816</v>
      </c>
      <c r="AC2" s="3141" t="s">
        <v>2815</v>
      </c>
      <c r="AD2" s="3141" t="s">
        <v>2629</v>
      </c>
    </row>
    <row r="3" spans="1:30" s="3155" customFormat="1" ht="12.75">
      <c r="A3" s="3143" t="s">
        <v>2817</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3374</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3375</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3377</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3372</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3371</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3367</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3366</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3365</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3361</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3352</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2818</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2819</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2820</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2821</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2822</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2" t="s">
        <v>3363</v>
      </c>
    </row>
    <row r="22" spans="1:30" s="3003" customFormat="1">
      <c r="I22" s="3202" t="s">
        <v>2823</v>
      </c>
    </row>
    <row r="23" spans="1:30" s="3003" customFormat="1"/>
    <row r="24" spans="1:30" s="3203" customFormat="1" ht="12.75">
      <c r="B24" s="3204" t="s">
        <v>3369</v>
      </c>
      <c r="C24" s="3205"/>
      <c r="D24" s="3205"/>
      <c r="E24" s="3205"/>
      <c r="F24" s="3205"/>
      <c r="G24" s="3205"/>
      <c r="H24" s="3205"/>
      <c r="I24" s="3205"/>
      <c r="J24" s="3159"/>
      <c r="K24" s="3205" t="s">
        <v>2824</v>
      </c>
      <c r="L24" s="3205"/>
      <c r="M24" s="3205"/>
      <c r="N24" s="3205"/>
      <c r="O24" s="3205"/>
      <c r="P24" s="3205"/>
      <c r="Q24" s="3159"/>
      <c r="R24" s="3836" t="s">
        <v>2825</v>
      </c>
      <c r="S24" s="3837"/>
      <c r="T24" s="3837"/>
      <c r="U24" s="3837"/>
      <c r="V24" s="3837"/>
      <c r="W24" s="3837"/>
      <c r="X24" s="3159"/>
      <c r="Y24" s="3836" t="s">
        <v>2826</v>
      </c>
      <c r="Z24" s="3837"/>
      <c r="AA24" s="3837"/>
      <c r="AB24" s="3837"/>
      <c r="AC24" s="3837"/>
      <c r="AD24" s="3837"/>
    </row>
    <row r="25" spans="1:30" s="3137" customFormat="1" ht="14.25" thickBot="1">
      <c r="B25" s="3138"/>
      <c r="C25" s="3139"/>
      <c r="D25" s="3140" t="s">
        <v>2827</v>
      </c>
      <c r="E25" s="3141" t="s">
        <v>2828</v>
      </c>
      <c r="F25" s="3141" t="s">
        <v>2829</v>
      </c>
      <c r="G25" s="3141" t="s">
        <v>2830</v>
      </c>
      <c r="H25" s="3141"/>
      <c r="I25" s="3141" t="s">
        <v>2831</v>
      </c>
      <c r="J25" s="3142"/>
      <c r="K25" s="3140" t="s">
        <v>2827</v>
      </c>
      <c r="L25" s="3141" t="s">
        <v>2828</v>
      </c>
      <c r="M25" s="3141" t="s">
        <v>2829</v>
      </c>
      <c r="N25" s="3141" t="s">
        <v>2830</v>
      </c>
      <c r="O25" s="3141"/>
      <c r="P25" s="3141" t="s">
        <v>2831</v>
      </c>
      <c r="Q25" s="3142"/>
      <c r="R25" s="3140" t="s">
        <v>2827</v>
      </c>
      <c r="S25" s="3141" t="s">
        <v>2828</v>
      </c>
      <c r="T25" s="3141" t="s">
        <v>2829</v>
      </c>
      <c r="U25" s="3141" t="s">
        <v>2830</v>
      </c>
      <c r="V25" s="3141"/>
      <c r="W25" s="3141" t="s">
        <v>2831</v>
      </c>
      <c r="X25" s="3142"/>
      <c r="Y25" s="3140" t="s">
        <v>2827</v>
      </c>
      <c r="Z25" s="3141" t="s">
        <v>2828</v>
      </c>
      <c r="AA25" s="3141" t="s">
        <v>2829</v>
      </c>
      <c r="AB25" s="3141" t="s">
        <v>2830</v>
      </c>
      <c r="AC25" s="3141"/>
      <c r="AD25" s="3141" t="s">
        <v>2831</v>
      </c>
    </row>
    <row r="26" spans="1:30" s="3155" customFormat="1" ht="12.75">
      <c r="A26" s="3143" t="s">
        <v>2832</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5" t="s">
        <v>3374</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3375</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3376</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3373</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3371</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3370</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3366</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3365</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3362</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3352</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2833</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2834</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2835</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2836</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2822</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2" t="s">
        <v>3364</v>
      </c>
    </row>
  </sheetData>
  <sheetProtection password="CEE9" sheet="1" objects="1" scenarios="1" formatCells="0" formatColumns="0" formatRows="0"/>
  <mergeCells count="4">
    <mergeCell ref="R24:W24"/>
    <mergeCell ref="Y24:AD24"/>
    <mergeCell ref="R1:W1"/>
    <mergeCell ref="Y1:AD1"/>
  </mergeCells>
  <phoneticPr fontId="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4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4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4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45495</v>
      </c>
      <c r="D13" s="2816">
        <v>3.35</v>
      </c>
      <c r="E13" s="2816">
        <f>D13</f>
        <v>3.35</v>
      </c>
      <c r="F13" s="2816">
        <f>D13</f>
        <v>3.35</v>
      </c>
      <c r="G13" s="2816">
        <f>D13</f>
        <v>3.35</v>
      </c>
      <c r="H13" s="2816">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45342</v>
      </c>
      <c r="D14" s="2811">
        <v>3.45</v>
      </c>
      <c r="E14" s="2811">
        <f>D14</f>
        <v>3.45</v>
      </c>
      <c r="F14" s="2811">
        <f>D14</f>
        <v>3.45</v>
      </c>
      <c r="G14" s="2811">
        <f>D14</f>
        <v>3.45</v>
      </c>
      <c r="H14" s="2811">
        <v>3.95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45159</v>
      </c>
      <c r="D15" s="2811">
        <v>3.45</v>
      </c>
      <c r="E15" s="2811">
        <f>D15</f>
        <v>3.45</v>
      </c>
      <c r="F15" s="2811">
        <f>D15</f>
        <v>3.45</v>
      </c>
      <c r="G15" s="2811">
        <f>D15</f>
        <v>3.45</v>
      </c>
      <c r="H15" s="2811">
        <v>4.2</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45097</v>
      </c>
      <c r="D16" s="2811">
        <v>3.55</v>
      </c>
      <c r="E16" s="2811">
        <f>D16</f>
        <v>3.55</v>
      </c>
      <c r="F16" s="2811">
        <f>D16</f>
        <v>3.55</v>
      </c>
      <c r="G16" s="2811">
        <f>D16</f>
        <v>3.55</v>
      </c>
      <c r="H16" s="2811">
        <v>4.2</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44795</v>
      </c>
      <c r="D17" s="2811">
        <v>3.65</v>
      </c>
      <c r="E17" s="2811">
        <v>3.65</v>
      </c>
      <c r="F17" s="2811">
        <v>3.65</v>
      </c>
      <c r="G17" s="2811">
        <v>3.65</v>
      </c>
      <c r="H17" s="2811">
        <v>4.3</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2">
        <v>44701</v>
      </c>
      <c r="D18" s="2811">
        <v>3.7</v>
      </c>
      <c r="E18" s="2811">
        <f>D18</f>
        <v>3.7</v>
      </c>
      <c r="F18" s="2811">
        <f>D18</f>
        <v>3.7</v>
      </c>
      <c r="G18" s="2811">
        <f>D18</f>
        <v>3.7</v>
      </c>
      <c r="H18" s="2811">
        <v>4.45</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0"/>
      <c r="C19" s="2812">
        <v>44581</v>
      </c>
      <c r="D19" s="2811">
        <v>3.7</v>
      </c>
      <c r="E19" s="2811">
        <f>D19</f>
        <v>3.7</v>
      </c>
      <c r="F19" s="2811">
        <f>D19</f>
        <v>3.7</v>
      </c>
      <c r="G19" s="2811">
        <f>D19</f>
        <v>3.7</v>
      </c>
      <c r="H19" s="2811">
        <v>4.5999999999999996</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44550</v>
      </c>
      <c r="D20" s="2811">
        <v>3.8</v>
      </c>
      <c r="E20" s="2811">
        <f>D20</f>
        <v>3.8</v>
      </c>
      <c r="F20" s="2811">
        <f>D20</f>
        <v>3.8</v>
      </c>
      <c r="G20" s="2811">
        <f>D20</f>
        <v>3.8</v>
      </c>
      <c r="H20" s="2811">
        <v>4.6500000000000004</v>
      </c>
      <c r="I20" s="2811"/>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43941</v>
      </c>
      <c r="D21" s="2811">
        <v>3.85</v>
      </c>
      <c r="E21" s="2811">
        <v>3.85</v>
      </c>
      <c r="F21" s="2811">
        <v>3.85</v>
      </c>
      <c r="G21" s="2811">
        <v>3.85</v>
      </c>
      <c r="H21" s="2811">
        <v>4.6500000000000004</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43881</v>
      </c>
      <c r="D22" s="2811">
        <v>4.05</v>
      </c>
      <c r="E22" s="2811">
        <v>4.05</v>
      </c>
      <c r="F22" s="2811">
        <v>4.05</v>
      </c>
      <c r="G22" s="2811">
        <v>4.05</v>
      </c>
      <c r="H22" s="2811">
        <v>4.75</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1"/>
      <c r="C23" s="2812">
        <v>43789</v>
      </c>
      <c r="D23" s="2811">
        <v>4.1500000000000004</v>
      </c>
      <c r="E23" s="2811">
        <v>4.1500000000000004</v>
      </c>
      <c r="F23" s="2811">
        <v>4.1500000000000004</v>
      </c>
      <c r="G23" s="2811">
        <v>4.1500000000000004</v>
      </c>
      <c r="H23" s="2811">
        <v>4.8</v>
      </c>
      <c r="I23" s="2811"/>
      <c r="J23" s="2811"/>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1"/>
      <c r="C24" s="2812">
        <v>43728</v>
      </c>
      <c r="D24" s="2811">
        <v>4.2</v>
      </c>
      <c r="E24" s="2811">
        <v>4.2</v>
      </c>
      <c r="F24" s="2811">
        <v>4.2</v>
      </c>
      <c r="G24" s="2811">
        <v>4.2</v>
      </c>
      <c r="H24" s="2811">
        <v>4.8499999999999996</v>
      </c>
      <c r="I24" s="2811"/>
      <c r="J24" s="281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0" t="s">
        <v>2307</v>
      </c>
      <c r="C25" s="2813">
        <v>43697</v>
      </c>
      <c r="D25" s="2814">
        <v>4.25</v>
      </c>
      <c r="E25" s="2814">
        <v>4.25</v>
      </c>
      <c r="F25" s="2814">
        <v>4.25</v>
      </c>
      <c r="G25" s="2814">
        <v>4.25</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8"/>
      <c r="C26" s="2819">
        <v>42301</v>
      </c>
      <c r="D26" s="2820">
        <v>4.3499999999999996</v>
      </c>
      <c r="E26" s="2820">
        <v>4.3499999999999996</v>
      </c>
      <c r="F26" s="2820">
        <v>4.75</v>
      </c>
      <c r="G26" s="2820">
        <v>4.75</v>
      </c>
      <c r="H26" s="2820">
        <v>4.9000000000000004</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7" t="str">
        <f>IF(项目基本情况!B9="房地产市场价值","估价结果一览表","结果表-2")</f>
        <v>结果表-2</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房地产价值</v>
      </c>
      <c r="I2" s="3528"/>
    </row>
    <row r="3" spans="1:9" ht="15">
      <c r="A3" s="3523"/>
      <c r="B3" s="3523"/>
      <c r="C3" s="3523"/>
      <c r="D3" s="854" t="s">
        <v>925</v>
      </c>
      <c r="E3" s="854" t="s">
        <v>931</v>
      </c>
      <c r="F3" s="854" t="s">
        <v>925</v>
      </c>
      <c r="G3" s="854" t="s">
        <v>926</v>
      </c>
      <c r="H3" s="854" t="s">
        <v>925</v>
      </c>
      <c r="I3" s="854" t="s">
        <v>926</v>
      </c>
    </row>
    <row r="4" spans="1:9" ht="45">
      <c r="A4" s="1505" t="str">
        <f>项目基本情况!S2</f>
        <v>北京市西城区堂子胡同9号-4层9-1等[20]套全部商业、配套、车库房地产</v>
      </c>
      <c r="B4" s="854">
        <f>项目基本情况!C17</f>
        <v>45192.95</v>
      </c>
      <c r="C4" s="854">
        <f>项目基本情况!C18</f>
        <v>4420.58</v>
      </c>
      <c r="D4" s="854">
        <f ca="1">结果表!D118</f>
        <v>166745</v>
      </c>
      <c r="E4" s="854">
        <f ca="1">结果表!E118</f>
        <v>36897</v>
      </c>
      <c r="F4" s="854">
        <f ca="1">结果表!F118</f>
        <v>35370</v>
      </c>
      <c r="G4" s="854">
        <f ca="1">结果表!G118</f>
        <v>7826</v>
      </c>
      <c r="H4" s="854">
        <f ca="1">结果表!H118</f>
        <v>202115</v>
      </c>
      <c r="I4" s="854">
        <f ca="1">结果表!I118</f>
        <v>44723</v>
      </c>
    </row>
    <row r="5" spans="1:9" ht="30" customHeight="1">
      <c r="A5" s="3523" t="s">
        <v>927</v>
      </c>
      <c r="B5" s="3523"/>
      <c r="C5" s="3523"/>
      <c r="D5" s="3523" t="str">
        <f ca="1">结果表!D119</f>
        <v>壹拾陆亿陆仟柒佰肆拾伍万元整</v>
      </c>
      <c r="E5" s="3523"/>
      <c r="F5" s="3523" t="str">
        <f ca="1">结果表!F119</f>
        <v>叁亿伍仟叁佰柒拾万元整</v>
      </c>
      <c r="G5" s="3523"/>
      <c r="H5" s="3523" t="str">
        <f ca="1">结果表!H119</f>
        <v>贰拾亿贰仟壹佰壹拾伍万元整</v>
      </c>
      <c r="I5" s="3523"/>
    </row>
    <row r="6" spans="1:9" ht="15.75">
      <c r="A6" s="3522" t="str">
        <f>结果表!A120</f>
        <v>估价师知悉的法定优先受偿款</v>
      </c>
      <c r="B6" s="3522"/>
      <c r="C6" s="3522"/>
      <c r="D6" s="3522">
        <f>结果表!D120</f>
        <v>0</v>
      </c>
      <c r="E6" s="3522"/>
      <c r="F6" s="3522"/>
      <c r="G6" s="3522"/>
      <c r="H6" s="3522"/>
      <c r="I6" s="3522"/>
    </row>
    <row r="7" spans="1:9" ht="15">
      <c r="A7" s="3523" t="s">
        <v>927</v>
      </c>
      <c r="B7" s="3523"/>
      <c r="C7" s="3523"/>
      <c r="D7" s="3524" t="str">
        <f>结果表!D121</f>
        <v>零元整</v>
      </c>
      <c r="E7" s="3525"/>
      <c r="F7" s="3525"/>
      <c r="G7" s="3525"/>
      <c r="H7" s="3525"/>
      <c r="I7" s="3526"/>
    </row>
    <row r="8" spans="1:9" ht="15.75">
      <c r="A8" s="3522" t="str">
        <f>结果表!A122</f>
        <v>房地产抵押价值</v>
      </c>
      <c r="B8" s="3522"/>
      <c r="C8" s="3522"/>
      <c r="D8" s="3522">
        <f ca="1">结果表!D122</f>
        <v>202115</v>
      </c>
      <c r="E8" s="3522"/>
      <c r="F8" s="3522"/>
      <c r="G8" s="3522"/>
      <c r="H8" s="3522"/>
      <c r="I8" s="3522"/>
    </row>
    <row r="9" spans="1:9" ht="15">
      <c r="A9" s="3523" t="s">
        <v>927</v>
      </c>
      <c r="B9" s="3523"/>
      <c r="C9" s="3523"/>
      <c r="D9" s="3523" t="str">
        <f ca="1">结果表!D123</f>
        <v>贰拾亿贰仟壹佰壹拾伍万元整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927</v>
      </c>
      <c r="B11" s="3523"/>
      <c r="C11" s="3523"/>
      <c r="D11" s="3523" t="e">
        <f>结果表!D125</f>
        <v>#VALUE!</v>
      </c>
      <c r="E11" s="3523"/>
      <c r="F11" s="3523"/>
      <c r="G11" s="3523"/>
      <c r="H11" s="3523"/>
      <c r="I11" s="3523"/>
    </row>
    <row r="12" spans="1:9" ht="15.75">
      <c r="A12" s="3522" t="str">
        <f>结果表!A126</f>
        <v/>
      </c>
      <c r="B12" s="3522"/>
      <c r="C12" s="3522"/>
      <c r="D12" s="3522" t="str">
        <f>结果表!D126</f>
        <v>——</v>
      </c>
      <c r="E12" s="3522"/>
      <c r="F12" s="3522"/>
      <c r="G12" s="3522"/>
      <c r="H12" s="3522"/>
      <c r="I12" s="3522"/>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5" t="s">
        <v>949</v>
      </c>
      <c r="B1" s="3535"/>
      <c r="C1" s="3535"/>
      <c r="D1" s="3535"/>
    </row>
    <row r="2" spans="1:4" ht="18">
      <c r="A2" s="3536" t="s">
        <v>933</v>
      </c>
      <c r="B2" s="3536"/>
      <c r="C2" s="3536"/>
      <c r="D2" s="353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6" t="s">
        <v>939</v>
      </c>
      <c r="B6" s="3536"/>
      <c r="C6" s="3536"/>
      <c r="D6" s="353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7"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29" t="str">
        <f>IF(项目基本情况!B8="抵押","4.本次评估估价师所知悉的法定优先受偿款情况说明如下：","——")</f>
        <v>4.本次评估估价师所知悉的法定优先受偿款情况说明如下：</v>
      </c>
      <c r="B14" s="3534"/>
      <c r="C14" s="3534"/>
      <c r="D14" s="3534"/>
    </row>
    <row r="15" spans="1:4" ht="42" customHeight="1">
      <c r="A15" s="35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29"/>
      <c r="C15" s="3529"/>
      <c r="D15" s="3529"/>
    </row>
    <row r="16" spans="1:4" ht="30" customHeight="1">
      <c r="A16" s="3531" t="s">
        <v>943</v>
      </c>
      <c r="B16" s="3531"/>
      <c r="C16" s="3531"/>
      <c r="D16" s="3531"/>
    </row>
    <row r="17" spans="1:4" ht="144" customHeight="1">
      <c r="A17" s="3531" t="s">
        <v>944</v>
      </c>
      <c r="B17" s="3531"/>
      <c r="C17" s="3531"/>
      <c r="D17" s="3531"/>
    </row>
    <row r="18" spans="1:4" ht="15.75" customHeight="1">
      <c r="A18" s="3529" t="str">
        <f>IF(项目基本情况!B8="抵押",结果表!K120,"——")</f>
        <v>故，本次评估不存在估价师知悉的法定优先受偿款</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945</v>
      </c>
      <c r="B22" s="3533"/>
      <c r="C22" s="3533"/>
      <c r="D22" s="353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3" t="s">
        <v>956</v>
      </c>
      <c r="B15" s="3538" t="s">
        <v>109</v>
      </c>
      <c r="C15" s="3539"/>
    </row>
    <row r="16" spans="1:7" ht="13.5">
      <c r="A16" s="3544"/>
      <c r="B16" s="3538" t="s">
        <v>42</v>
      </c>
      <c r="C16" s="3539"/>
    </row>
    <row r="17" spans="1:3" ht="13.5">
      <c r="A17" s="3544"/>
      <c r="B17" s="3541" t="s">
        <v>957</v>
      </c>
      <c r="C17" s="1532" t="s">
        <v>956</v>
      </c>
    </row>
    <row r="18" spans="1:3" ht="13.5">
      <c r="A18" s="3544"/>
      <c r="B18" s="3541"/>
      <c r="C18" s="1532" t="s">
        <v>958</v>
      </c>
    </row>
    <row r="19" spans="1:3" ht="13.5">
      <c r="A19" s="3544"/>
      <c r="B19" s="3541"/>
      <c r="C19" s="1532" t="s">
        <v>959</v>
      </c>
    </row>
    <row r="20" spans="1:3" ht="13.5">
      <c r="A20" s="3545"/>
      <c r="B20" s="3540" t="s">
        <v>960</v>
      </c>
      <c r="C20" s="3539"/>
    </row>
    <row r="21" spans="1:3" ht="13.5">
      <c r="A21" s="1533" t="s">
        <v>961</v>
      </c>
      <c r="B21" s="1534"/>
      <c r="C21" s="1535"/>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32" t="s">
        <v>967</v>
      </c>
    </row>
    <row r="26" spans="1:3" ht="13.5">
      <c r="A26" s="3542"/>
      <c r="B26" s="3541"/>
      <c r="C26" s="1532" t="s">
        <v>968</v>
      </c>
    </row>
    <row r="27" spans="1:3" ht="13.5">
      <c r="A27" s="3542"/>
      <c r="B27" s="3541"/>
      <c r="C27" s="1532" t="s">
        <v>969</v>
      </c>
    </row>
    <row r="28" spans="1:3" ht="13.5">
      <c r="A28" s="3542"/>
      <c r="B28" s="3541"/>
      <c r="C28" s="1532" t="s">
        <v>970</v>
      </c>
    </row>
    <row r="29" spans="1:3" ht="13.5">
      <c r="A29" s="3542"/>
      <c r="B29" s="3541"/>
      <c r="C29" s="1532" t="s">
        <v>971</v>
      </c>
    </row>
    <row r="30" spans="1:3" ht="13.5">
      <c r="A30" s="3542"/>
      <c r="B30" s="3541"/>
      <c r="C30" s="1532" t="s">
        <v>972</v>
      </c>
    </row>
    <row r="31" spans="1:3" ht="13.5">
      <c r="A31" s="3542"/>
      <c r="B31" s="3541"/>
      <c r="C31" s="1532" t="s">
        <v>973</v>
      </c>
    </row>
    <row r="32" spans="1:3" ht="13.5">
      <c r="A32" s="3542"/>
      <c r="B32" s="3541"/>
      <c r="C32" s="1532" t="s">
        <v>974</v>
      </c>
    </row>
    <row r="33" spans="1:3" ht="13.5">
      <c r="A33" s="3542"/>
      <c r="B33" s="354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6" t="s">
        <v>2160</v>
      </c>
      <c r="B17" s="3546"/>
      <c r="C17" s="3546"/>
      <c r="D17" s="3546"/>
      <c r="E17" s="3546"/>
      <c r="F17" s="3546"/>
      <c r="G17" s="3546"/>
      <c r="H17" s="3546"/>
    </row>
    <row r="18" spans="1:8" ht="24" customHeight="1">
      <c r="A18" s="3547" t="s">
        <v>2161</v>
      </c>
      <c r="B18" s="3547"/>
      <c r="C18" s="3547"/>
      <c r="D18" s="2343"/>
      <c r="E18" s="3548" t="s">
        <v>2162</v>
      </c>
      <c r="F18" s="3547"/>
      <c r="G18" s="354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大宗案例</vt:lpstr>
      <vt:lpstr>2022年大宗</vt:lpstr>
      <vt:lpstr>收益法</vt:lpstr>
      <vt:lpstr>成本法</vt:lpstr>
      <vt:lpstr>基准地价修正</vt:lpstr>
      <vt:lpstr>比较法-商业</vt:lpstr>
      <vt:lpstr>收益法-车库</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2024-09-04T06:36:58Z</dcterms:modified>
</cp:coreProperties>
</file>