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主表" sheetId="1" r:id="rId1"/>
    <sheet name="成新率" sheetId="2" r:id="rId2"/>
    <sheet name="利润率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F24" i="1" l="1"/>
  <c r="B24" i="1"/>
  <c r="E24" i="1"/>
  <c r="E25" i="1" l="1"/>
  <c r="D17" i="1" s="1"/>
  <c r="D18" i="1" s="1"/>
  <c r="E21" i="1"/>
  <c r="E20" i="1"/>
  <c r="J21" i="2"/>
  <c r="J20" i="2"/>
  <c r="B5" i="1"/>
  <c r="C30" i="2"/>
  <c r="C27" i="2"/>
  <c r="C2" i="2"/>
  <c r="D17" i="2"/>
  <c r="D18" i="2"/>
  <c r="D19" i="2"/>
  <c r="D20" i="2"/>
  <c r="D21" i="2"/>
  <c r="D22" i="2"/>
  <c r="D23" i="2"/>
  <c r="D24" i="2"/>
  <c r="D25" i="2"/>
  <c r="D16" i="2"/>
  <c r="D14" i="2"/>
  <c r="F14" i="2"/>
  <c r="D4" i="2"/>
  <c r="D5" i="2"/>
  <c r="D6" i="2"/>
  <c r="D7" i="2"/>
  <c r="D8" i="2"/>
  <c r="D9" i="2"/>
  <c r="D10" i="2"/>
  <c r="D11" i="2"/>
  <c r="D12" i="2"/>
  <c r="D13" i="2"/>
  <c r="D3" i="2"/>
  <c r="C17" i="2" l="1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16" i="2"/>
  <c r="E16" i="2" s="1"/>
  <c r="C3" i="2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E2" i="2"/>
  <c r="C26" i="2" l="1"/>
  <c r="C15" i="2"/>
  <c r="E15" i="2" l="1"/>
  <c r="E30" i="2" l="1"/>
  <c r="F30" i="2" s="1"/>
  <c r="D10" i="1"/>
  <c r="D5" i="1" l="1"/>
  <c r="D8" i="1" s="1"/>
  <c r="D9" i="1" s="1"/>
  <c r="B8" i="1"/>
  <c r="D11" i="1" l="1"/>
  <c r="D12" i="1" s="1"/>
  <c r="D13" i="1" s="1"/>
  <c r="D14" i="1" l="1"/>
  <c r="D16" i="1" l="1"/>
  <c r="E19" i="1" l="1"/>
  <c r="E18" i="1"/>
  <c r="D19" i="1"/>
</calcChain>
</file>

<file path=xl/sharedStrings.xml><?xml version="1.0" encoding="utf-8"?>
<sst xmlns="http://schemas.openxmlformats.org/spreadsheetml/2006/main" count="66" uniqueCount="64">
  <si>
    <t>项    目</t>
  </si>
  <si>
    <t>重置全新价</t>
  </si>
  <si>
    <t>重置成新价</t>
  </si>
  <si>
    <t>估算测算</t>
    <phoneticPr fontId="1" type="noConversion"/>
  </si>
  <si>
    <t>依据</t>
    <phoneticPr fontId="1" type="noConversion"/>
  </si>
  <si>
    <t>来源</t>
    <phoneticPr fontId="1" type="noConversion"/>
  </si>
  <si>
    <t>建安费用-主体结构</t>
    <phoneticPr fontId="1" type="noConversion"/>
  </si>
  <si>
    <t>建安费用-新增工程</t>
    <phoneticPr fontId="1" type="noConversion"/>
  </si>
  <si>
    <t>说明</t>
    <phoneticPr fontId="1" type="noConversion"/>
  </si>
  <si>
    <t>金额、费率、系数</t>
    <phoneticPr fontId="1" type="noConversion"/>
  </si>
  <si>
    <t>通行标准</t>
    <phoneticPr fontId="1" type="noConversion"/>
  </si>
  <si>
    <t>1-3年期利率</t>
    <phoneticPr fontId="1" type="noConversion"/>
  </si>
  <si>
    <t>加： 管理费用</t>
    <phoneticPr fontId="1" type="noConversion"/>
  </si>
  <si>
    <t>调整成新率</t>
    <phoneticPr fontId="1" type="noConversion"/>
  </si>
  <si>
    <t>重置价格系数调整后</t>
    <phoneticPr fontId="1" type="noConversion"/>
  </si>
  <si>
    <t>结构及前期开发成本小计</t>
    <phoneticPr fontId="1" type="noConversion"/>
  </si>
  <si>
    <t>开发成本合计</t>
    <phoneticPr fontId="1" type="noConversion"/>
  </si>
  <si>
    <t xml:space="preserve">        贷款利息</t>
    <phoneticPr fontId="1" type="noConversion"/>
  </si>
  <si>
    <t xml:space="preserve">       开发利润</t>
    <phoneticPr fontId="1" type="noConversion"/>
  </si>
  <si>
    <t xml:space="preserve">       销售税费</t>
    <phoneticPr fontId="1" type="noConversion"/>
  </si>
  <si>
    <t>简易征收税率</t>
    <phoneticPr fontId="1" type="noConversion"/>
  </si>
  <si>
    <t>？</t>
    <phoneticPr fontId="1" type="noConversion"/>
  </si>
  <si>
    <t>是否通告标准？</t>
    <phoneticPr fontId="1" type="noConversion"/>
  </si>
  <si>
    <t>原2012年估价报告系数为1.5，经咨询造价师认为略高，建议调整1.3</t>
    <phoneticPr fontId="1" type="noConversion"/>
  </si>
  <si>
    <t>我集团内部造价公司，可出正式报告</t>
    <phoneticPr fontId="1" type="noConversion"/>
  </si>
  <si>
    <t>监理费</t>
    <phoneticPr fontId="1" type="noConversion"/>
  </si>
  <si>
    <t>设计费</t>
    <phoneticPr fontId="1" type="noConversion"/>
  </si>
  <si>
    <t>项目</t>
    <phoneticPr fontId="1" type="noConversion"/>
  </si>
  <si>
    <t>估算金额</t>
    <phoneticPr fontId="1" type="noConversion"/>
  </si>
  <si>
    <t>合计</t>
    <phoneticPr fontId="1" type="noConversion"/>
  </si>
  <si>
    <t>小计</t>
    <phoneticPr fontId="1" type="noConversion"/>
  </si>
  <si>
    <t>小计</t>
    <phoneticPr fontId="1" type="noConversion"/>
  </si>
  <si>
    <t>开办费（10%）</t>
    <phoneticPr fontId="1" type="noConversion"/>
  </si>
  <si>
    <t>不可预见（5%）</t>
    <phoneticPr fontId="1" type="noConversion"/>
  </si>
  <si>
    <t>建安总计</t>
    <phoneticPr fontId="1" type="noConversion"/>
  </si>
  <si>
    <t>成新率</t>
    <phoneticPr fontId="1" type="noConversion"/>
  </si>
  <si>
    <t>工程类</t>
    <phoneticPr fontId="1" type="noConversion"/>
  </si>
  <si>
    <t>配套咨询服务类</t>
    <phoneticPr fontId="1" type="noConversion"/>
  </si>
  <si>
    <t>《建设工程施工合同》（屋面防水工程）</t>
    <phoneticPr fontId="1" type="noConversion"/>
  </si>
  <si>
    <t>《消防改造工程施工承包合同》</t>
    <phoneticPr fontId="1" type="noConversion"/>
  </si>
  <si>
    <t>《拆除工程合同》</t>
    <phoneticPr fontId="1" type="noConversion"/>
  </si>
  <si>
    <t>《空调和空气净化系统工程建设工程施工合同》</t>
    <phoneticPr fontId="1" type="noConversion"/>
  </si>
  <si>
    <t>《安防工程项目施工合同》</t>
    <phoneticPr fontId="1" type="noConversion"/>
  </si>
  <si>
    <t>《厨房设备采购合同》</t>
    <phoneticPr fontId="1" type="noConversion"/>
  </si>
  <si>
    <t>《加固工程建设工程施工合同》</t>
    <phoneticPr fontId="1" type="noConversion"/>
  </si>
  <si>
    <t>《一卡通（速通门）系统项目施工合同》及补充协议</t>
    <phoneticPr fontId="1" type="noConversion"/>
  </si>
  <si>
    <t>《一卡通（门禁）系统工程施工合同》及补充协议</t>
    <phoneticPr fontId="1" type="noConversion"/>
  </si>
  <si>
    <t>《电梯采购项目合同》</t>
    <phoneticPr fontId="1" type="noConversion"/>
  </si>
  <si>
    <t>《停车场管理系统工程合同》及补充协议</t>
    <phoneticPr fontId="1" type="noConversion"/>
  </si>
  <si>
    <t>恒丰银行北京办事处模块化机房及UPS集成合同</t>
    <phoneticPr fontId="1" type="noConversion"/>
  </si>
  <si>
    <t>《建设工程设计合同》（加固设计工程）</t>
    <phoneticPr fontId="1" type="noConversion"/>
  </si>
  <si>
    <t>《消防工程设计合同》</t>
    <phoneticPr fontId="1" type="noConversion"/>
  </si>
  <si>
    <t>《装修设计合同》</t>
    <phoneticPr fontId="1" type="noConversion"/>
  </si>
  <si>
    <t>《视频安防、机房、弱电专业建设工程设计合同》</t>
    <phoneticPr fontId="1" type="noConversion"/>
  </si>
  <si>
    <t>《建设工程设计合同》（屋面防水设计）</t>
    <phoneticPr fontId="1" type="noConversion"/>
  </si>
  <si>
    <t>《建设工程监理合同》及补充协议</t>
    <phoneticPr fontId="1" type="noConversion"/>
  </si>
  <si>
    <t>《建设工程监理合同》框架协议及补充协议</t>
    <phoneticPr fontId="1" type="noConversion"/>
  </si>
  <si>
    <t>《委托结构检测合同》</t>
    <phoneticPr fontId="1" type="noConversion"/>
  </si>
  <si>
    <t>《全过程控制建设工程造价咨询合同》</t>
    <phoneticPr fontId="1" type="noConversion"/>
  </si>
  <si>
    <t>《建设工程造价咨询合同》</t>
    <phoneticPr fontId="1" type="noConversion"/>
  </si>
  <si>
    <t>《建设工程施工合同》（装修工程）</t>
    <phoneticPr fontId="1" type="noConversion"/>
  </si>
  <si>
    <t>观察成新</t>
    <phoneticPr fontId="1" type="noConversion"/>
  </si>
  <si>
    <t>直线折旧</t>
    <phoneticPr fontId="1" type="noConversion"/>
  </si>
  <si>
    <t>装修期按两年计算（16-18）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</si>
</sst>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#,##0.0000_);[Red]\(#,##0.0000\)"/>
    <numFmt numFmtId="178" formatCode="0_ "/>
    <numFmt numFmtId="179" formatCode="0.00_ "/>
    <numFmt numFmtId="180" formatCode="0.0%"/>
    <numFmt numFmtId="181" formatCode="#,##0_);[Red]\(#,##0\)"/>
    <numFmt numFmtId="182" formatCode="0.000%"/>
    <numFmt numFmtId="183" formatCode="0.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华文楷体"/>
      <family val="3"/>
      <charset val="134"/>
    </font>
    <font>
      <sz val="16"/>
      <color theme="1"/>
      <name val="华文楷体"/>
      <family val="3"/>
      <charset val="134"/>
    </font>
    <font>
      <b/>
      <sz val="12"/>
      <color theme="1"/>
      <name val="华文楷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6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10" fontId="0" fillId="2" borderId="0" xfId="0" applyNumberFormat="1" applyFill="1"/>
    <xf numFmtId="176" fontId="2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0" fillId="0" borderId="1" xfId="0" applyNumberFormat="1" applyBorder="1"/>
    <xf numFmtId="177" fontId="2" fillId="0" borderId="0" xfId="0" applyNumberFormat="1" applyFont="1" applyBorder="1"/>
    <xf numFmtId="179" fontId="0" fillId="0" borderId="0" xfId="0" applyNumberFormat="1"/>
    <xf numFmtId="180" fontId="2" fillId="0" borderId="0" xfId="0" applyNumberFormat="1" applyFont="1" applyBorder="1"/>
    <xf numFmtId="176" fontId="7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9" fillId="0" borderId="1" xfId="0" applyFont="1" applyBorder="1"/>
    <xf numFmtId="10" fontId="9" fillId="0" borderId="1" xfId="0" applyNumberFormat="1" applyFont="1" applyBorder="1"/>
    <xf numFmtId="176" fontId="9" fillId="0" borderId="1" xfId="0" applyNumberFormat="1" applyFont="1" applyBorder="1"/>
    <xf numFmtId="176" fontId="0" fillId="0" borderId="0" xfId="0" applyNumberFormat="1"/>
    <xf numFmtId="181" fontId="2" fillId="0" borderId="1" xfId="0" applyNumberFormat="1" applyFont="1" applyBorder="1" applyAlignment="1">
      <alignment horizontal="center" vertical="center" wrapText="1"/>
    </xf>
    <xf numFmtId="181" fontId="2" fillId="0" borderId="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/>
    <xf numFmtId="180" fontId="2" fillId="3" borderId="1" xfId="0" applyNumberFormat="1" applyFont="1" applyFill="1" applyBorder="1" applyAlignment="1">
      <alignment horizontal="center" vertical="center" wrapText="1"/>
    </xf>
    <xf numFmtId="182" fontId="2" fillId="0" borderId="0" xfId="0" applyNumberFormat="1" applyFont="1" applyBorder="1"/>
    <xf numFmtId="183" fontId="2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topLeftCell="A13" zoomScale="120" zoomScaleNormal="120" workbookViewId="0">
      <selection activeCell="D19" sqref="D19"/>
    </sheetView>
  </sheetViews>
  <sheetFormatPr defaultColWidth="9" defaultRowHeight="17.25" x14ac:dyDescent="0.3"/>
  <cols>
    <col min="1" max="1" width="26.125" style="5" customWidth="1"/>
    <col min="2" max="2" width="17.875" style="6" customWidth="1"/>
    <col min="3" max="3" width="17.25" style="1" customWidth="1"/>
    <col min="4" max="4" width="12.75" style="26" customWidth="1"/>
    <col min="5" max="5" width="13.5" style="26" customWidth="1"/>
    <col min="6" max="6" width="40.75" style="1" customWidth="1"/>
    <col min="7" max="16384" width="9" style="1"/>
  </cols>
  <sheetData>
    <row r="3" spans="1:6" s="7" customFormat="1" ht="23.1" customHeight="1" x14ac:dyDescent="0.15">
      <c r="A3" s="44" t="s">
        <v>0</v>
      </c>
      <c r="B3" s="43" t="s">
        <v>4</v>
      </c>
      <c r="C3" s="43"/>
      <c r="D3" s="46" t="s">
        <v>3</v>
      </c>
      <c r="E3" s="47"/>
      <c r="F3" s="45" t="s">
        <v>8</v>
      </c>
    </row>
    <row r="4" spans="1:6" s="7" customFormat="1" ht="23.1" customHeight="1" x14ac:dyDescent="0.15">
      <c r="A4" s="44"/>
      <c r="B4" s="8" t="s">
        <v>9</v>
      </c>
      <c r="C4" s="9" t="s">
        <v>5</v>
      </c>
      <c r="D4" s="48"/>
      <c r="E4" s="49"/>
      <c r="F4" s="45"/>
    </row>
    <row r="5" spans="1:6" s="7" customFormat="1" ht="23.1" customHeight="1" x14ac:dyDescent="0.15">
      <c r="A5" s="10" t="s">
        <v>6</v>
      </c>
      <c r="B5" s="23">
        <f>ROUND(成新率!C27,2)</f>
        <v>16730.939999999999</v>
      </c>
      <c r="C5" s="12"/>
      <c r="D5" s="57">
        <f>B5</f>
        <v>16730.939999999999</v>
      </c>
      <c r="E5" s="58"/>
      <c r="F5" s="13"/>
    </row>
    <row r="6" spans="1:6" s="7" customFormat="1" ht="24.6" customHeight="1" x14ac:dyDescent="0.15">
      <c r="A6" s="10" t="s">
        <v>25</v>
      </c>
      <c r="B6" s="19">
        <v>0.01</v>
      </c>
      <c r="C6" s="13"/>
      <c r="D6" s="57">
        <v>0</v>
      </c>
      <c r="E6" s="58"/>
      <c r="F6" s="16"/>
    </row>
    <row r="7" spans="1:6" s="7" customFormat="1" ht="23.1" customHeight="1" x14ac:dyDescent="0.15">
      <c r="A7" s="10" t="s">
        <v>26</v>
      </c>
      <c r="B7" s="11">
        <v>400</v>
      </c>
      <c r="C7" s="14"/>
      <c r="D7" s="57">
        <v>0</v>
      </c>
      <c r="E7" s="58"/>
      <c r="F7" s="13"/>
    </row>
    <row r="8" spans="1:6" s="7" customFormat="1" ht="23.1" customHeight="1" x14ac:dyDescent="0.15">
      <c r="A8" s="12" t="s">
        <v>15</v>
      </c>
      <c r="B8" s="11">
        <f>SUM(B5:B7)</f>
        <v>17130.949999999997</v>
      </c>
      <c r="C8" s="14"/>
      <c r="D8" s="57">
        <f>D5+D6+D7</f>
        <v>16730.939999999999</v>
      </c>
      <c r="E8" s="58"/>
      <c r="F8" s="13"/>
    </row>
    <row r="9" spans="1:6" s="7" customFormat="1" ht="35.25" customHeight="1" x14ac:dyDescent="0.15">
      <c r="A9" s="15" t="s">
        <v>14</v>
      </c>
      <c r="B9" s="12">
        <v>1</v>
      </c>
      <c r="C9" s="12"/>
      <c r="D9" s="57">
        <f>D8*B9</f>
        <v>16730.939999999999</v>
      </c>
      <c r="E9" s="58"/>
      <c r="F9" s="16" t="s">
        <v>23</v>
      </c>
    </row>
    <row r="10" spans="1:6" s="7" customFormat="1" ht="35.25" customHeight="1" x14ac:dyDescent="0.15">
      <c r="A10" s="10" t="s">
        <v>7</v>
      </c>
      <c r="B10" s="11">
        <v>0</v>
      </c>
      <c r="C10" s="12"/>
      <c r="D10" s="57">
        <f>B10</f>
        <v>0</v>
      </c>
      <c r="E10" s="58"/>
      <c r="F10" s="16" t="s">
        <v>24</v>
      </c>
    </row>
    <row r="11" spans="1:6" s="7" customFormat="1" ht="23.1" customHeight="1" x14ac:dyDescent="0.15">
      <c r="A11" s="9" t="s">
        <v>16</v>
      </c>
      <c r="B11" s="13"/>
      <c r="C11" s="13"/>
      <c r="D11" s="59">
        <f>D9+D10</f>
        <v>16730.939999999999</v>
      </c>
      <c r="E11" s="60"/>
      <c r="F11" s="13"/>
    </row>
    <row r="12" spans="1:6" s="7" customFormat="1" ht="23.1" customHeight="1" x14ac:dyDescent="0.15">
      <c r="A12" s="61" t="s">
        <v>12</v>
      </c>
      <c r="B12" s="14">
        <v>0.02</v>
      </c>
      <c r="C12" s="14" t="s">
        <v>10</v>
      </c>
      <c r="D12" s="38">
        <f>ROUND(D11*B12,2)</f>
        <v>334.62</v>
      </c>
      <c r="E12" s="36">
        <v>0</v>
      </c>
      <c r="F12" s="13"/>
    </row>
    <row r="13" spans="1:6" s="7" customFormat="1" ht="23.1" customHeight="1" x14ac:dyDescent="0.15">
      <c r="A13" s="61" t="s">
        <v>17</v>
      </c>
      <c r="B13" s="14">
        <v>4.7500000000000001E-2</v>
      </c>
      <c r="C13" s="12" t="s">
        <v>11</v>
      </c>
      <c r="D13" s="38">
        <f>ROUND((D5+D12)*((1+B13)^1-1),2)</f>
        <v>810.61</v>
      </c>
      <c r="E13" s="18"/>
      <c r="F13" s="13" t="s">
        <v>63</v>
      </c>
    </row>
    <row r="14" spans="1:6" s="7" customFormat="1" ht="23.1" customHeight="1" x14ac:dyDescent="0.15">
      <c r="A14" s="61" t="s">
        <v>18</v>
      </c>
      <c r="B14" s="14">
        <v>0</v>
      </c>
      <c r="C14" s="14" t="s">
        <v>21</v>
      </c>
      <c r="D14" s="38">
        <f>ROUND((D11+D12)*B14,2)</f>
        <v>0</v>
      </c>
      <c r="E14" s="18"/>
      <c r="F14" s="13" t="s">
        <v>22</v>
      </c>
    </row>
    <row r="15" spans="1:6" s="7" customFormat="1" ht="23.1" customHeight="1" x14ac:dyDescent="0.15">
      <c r="A15" s="61" t="s">
        <v>19</v>
      </c>
      <c r="B15" s="14">
        <v>0</v>
      </c>
      <c r="C15" s="14" t="s">
        <v>20</v>
      </c>
      <c r="D15" s="38">
        <v>0</v>
      </c>
      <c r="E15" s="36">
        <v>0</v>
      </c>
      <c r="F15" s="13"/>
    </row>
    <row r="16" spans="1:6" s="7" customFormat="1" ht="23.1" customHeight="1" x14ac:dyDescent="0.15">
      <c r="A16" s="12" t="s">
        <v>1</v>
      </c>
      <c r="B16" s="11"/>
      <c r="C16" s="12"/>
      <c r="D16" s="56">
        <f>ROUND((D9+D12+D13+D14)/(1-E15),2)</f>
        <v>17876.169999999998</v>
      </c>
      <c r="E16" s="18"/>
      <c r="F16" s="13"/>
    </row>
    <row r="17" spans="1:7" s="7" customFormat="1" ht="23.1" customHeight="1" x14ac:dyDescent="0.15">
      <c r="A17" s="17" t="s">
        <v>13</v>
      </c>
      <c r="B17" s="11"/>
      <c r="C17" s="12"/>
      <c r="D17" s="40">
        <f>E25</f>
        <v>0.88500000000000001</v>
      </c>
      <c r="E17" s="18"/>
      <c r="F17" s="13"/>
    </row>
    <row r="18" spans="1:7" s="7" customFormat="1" ht="23.1" customHeight="1" x14ac:dyDescent="0.15">
      <c r="A18" s="12" t="s">
        <v>2</v>
      </c>
      <c r="B18" s="11"/>
      <c r="C18" s="12"/>
      <c r="D18" s="38">
        <f>ROUND(D16*D17,2)</f>
        <v>15820.41</v>
      </c>
      <c r="E18" s="36">
        <f>ROUND(D18/F18*10000,0)</f>
        <v>3425</v>
      </c>
      <c r="F18" s="13">
        <v>46189.05</v>
      </c>
    </row>
    <row r="19" spans="1:7" s="7" customFormat="1" ht="23.1" customHeight="1" x14ac:dyDescent="0.15">
      <c r="A19" s="2"/>
      <c r="B19" s="3"/>
      <c r="C19" s="4"/>
      <c r="D19" s="3">
        <f>D18-D11</f>
        <v>-910.52999999999884</v>
      </c>
      <c r="E19" s="37">
        <f>ROUND(D18/F19*10000,0)</f>
        <v>5060</v>
      </c>
      <c r="F19" s="7">
        <v>31263.11</v>
      </c>
    </row>
    <row r="20" spans="1:7" x14ac:dyDescent="0.3">
      <c r="E20" s="26">
        <f>300000000/F18</f>
        <v>6495.0459037369246</v>
      </c>
    </row>
    <row r="21" spans="1:7" x14ac:dyDescent="0.3">
      <c r="E21" s="26">
        <f>300000000/F19</f>
        <v>9595.9742968629798</v>
      </c>
    </row>
    <row r="22" spans="1:7" x14ac:dyDescent="0.3">
      <c r="B22" s="39">
        <v>43191</v>
      </c>
    </row>
    <row r="23" spans="1:7" x14ac:dyDescent="0.3">
      <c r="B23" s="39">
        <v>44180</v>
      </c>
      <c r="D23" s="1" t="s">
        <v>61</v>
      </c>
      <c r="E23" s="42">
        <v>0.5</v>
      </c>
      <c r="F23" s="41">
        <v>0.95</v>
      </c>
    </row>
    <row r="24" spans="1:7" x14ac:dyDescent="0.3">
      <c r="B24" s="6">
        <f>B23-B22</f>
        <v>989</v>
      </c>
      <c r="D24" s="1" t="s">
        <v>62</v>
      </c>
      <c r="E24" s="42">
        <f>1-E23</f>
        <v>0.5</v>
      </c>
      <c r="F24" s="41">
        <f>1-B24/B25</f>
        <v>0.81949260814017155</v>
      </c>
      <c r="G24" s="1">
        <v>15</v>
      </c>
    </row>
    <row r="25" spans="1:7" x14ac:dyDescent="0.3">
      <c r="B25" s="6">
        <f>G24*365+4</f>
        <v>5479</v>
      </c>
      <c r="D25" s="1"/>
      <c r="E25" s="26">
        <f>ROUND(E23*F23+E24*F24,3)</f>
        <v>0.88500000000000001</v>
      </c>
      <c r="F25" s="26"/>
    </row>
  </sheetData>
  <mergeCells count="11">
    <mergeCell ref="D11:E11"/>
    <mergeCell ref="D5:E5"/>
    <mergeCell ref="D6:E6"/>
    <mergeCell ref="D7:E7"/>
    <mergeCell ref="D8:E8"/>
    <mergeCell ref="D9:E9"/>
    <mergeCell ref="B3:C3"/>
    <mergeCell ref="A3:A4"/>
    <mergeCell ref="F3:F4"/>
    <mergeCell ref="D3:E4"/>
    <mergeCell ref="D10:E1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20" zoomScaleNormal="120" workbookViewId="0">
      <selection activeCell="I19" sqref="I19:L21"/>
    </sheetView>
  </sheetViews>
  <sheetFormatPr defaultRowHeight="13.5" x14ac:dyDescent="0.15"/>
  <cols>
    <col min="2" max="2" width="24.875" customWidth="1"/>
    <col min="3" max="3" width="16.5" style="35" customWidth="1"/>
    <col min="4" max="4" width="9.5" bestFit="1" customWidth="1"/>
    <col min="5" max="5" width="9.25" customWidth="1"/>
    <col min="6" max="6" width="12.25" customWidth="1"/>
  </cols>
  <sheetData>
    <row r="1" spans="1:6" x14ac:dyDescent="0.15">
      <c r="A1" s="20" t="s">
        <v>27</v>
      </c>
      <c r="B1" s="20"/>
      <c r="C1" s="25" t="s">
        <v>28</v>
      </c>
      <c r="D1" s="20" t="s">
        <v>35</v>
      </c>
    </row>
    <row r="2" spans="1:6" x14ac:dyDescent="0.15">
      <c r="A2" s="51" t="s">
        <v>36</v>
      </c>
      <c r="B2" s="31" t="s">
        <v>60</v>
      </c>
      <c r="C2" s="24">
        <f>ROUND(F2/10000,2)</f>
        <v>10496.51</v>
      </c>
      <c r="D2" s="21">
        <v>0.96</v>
      </c>
      <c r="E2" s="27">
        <f>C2*D2</f>
        <v>10076.649600000001</v>
      </c>
      <c r="F2" s="29">
        <v>104965148.09999999</v>
      </c>
    </row>
    <row r="3" spans="1:6" ht="22.5" x14ac:dyDescent="0.15">
      <c r="A3" s="51"/>
      <c r="B3" s="31" t="s">
        <v>38</v>
      </c>
      <c r="C3" s="24">
        <f t="shared" ref="C3:C14" si="0">ROUND(F3/10000,4)</f>
        <v>160.27099999999999</v>
      </c>
      <c r="D3" s="21">
        <f>$D$2</f>
        <v>0.96</v>
      </c>
      <c r="E3" s="27">
        <f t="shared" ref="E3:E14" si="1">C3*D3</f>
        <v>153.86015999999998</v>
      </c>
      <c r="F3" s="29">
        <v>1602709.93</v>
      </c>
    </row>
    <row r="4" spans="1:6" x14ac:dyDescent="0.15">
      <c r="A4" s="51"/>
      <c r="B4" s="31" t="s">
        <v>39</v>
      </c>
      <c r="C4" s="24">
        <f t="shared" si="0"/>
        <v>1398.4589000000001</v>
      </c>
      <c r="D4" s="21">
        <f t="shared" ref="D4:D25" si="2">$D$2</f>
        <v>0.96</v>
      </c>
      <c r="E4" s="27">
        <f t="shared" si="1"/>
        <v>1342.520544</v>
      </c>
      <c r="F4" s="29">
        <v>13984588.859999999</v>
      </c>
    </row>
    <row r="5" spans="1:6" x14ac:dyDescent="0.15">
      <c r="A5" s="51"/>
      <c r="B5" s="31" t="s">
        <v>40</v>
      </c>
      <c r="C5" s="24">
        <f t="shared" si="0"/>
        <v>530.85590000000002</v>
      </c>
      <c r="D5" s="21">
        <f t="shared" si="2"/>
        <v>0.96</v>
      </c>
      <c r="E5" s="27">
        <f t="shared" si="1"/>
        <v>509.62166400000001</v>
      </c>
      <c r="F5" s="29">
        <v>5308559.25</v>
      </c>
    </row>
    <row r="6" spans="1:6" ht="22.5" x14ac:dyDescent="0.15">
      <c r="A6" s="51"/>
      <c r="B6" s="31" t="s">
        <v>41</v>
      </c>
      <c r="C6" s="24">
        <f t="shared" si="0"/>
        <v>1986.9553000000001</v>
      </c>
      <c r="D6" s="21">
        <f t="shared" si="2"/>
        <v>0.96</v>
      </c>
      <c r="E6" s="27">
        <f t="shared" si="1"/>
        <v>1907.4770880000001</v>
      </c>
      <c r="F6" s="29">
        <v>19869552.98</v>
      </c>
    </row>
    <row r="7" spans="1:6" x14ac:dyDescent="0.15">
      <c r="A7" s="51"/>
      <c r="B7" s="31" t="s">
        <v>42</v>
      </c>
      <c r="C7" s="24">
        <f t="shared" si="0"/>
        <v>280.38830000000002</v>
      </c>
      <c r="D7" s="21">
        <f t="shared" si="2"/>
        <v>0.96</v>
      </c>
      <c r="E7" s="27">
        <f t="shared" si="1"/>
        <v>269.17276800000002</v>
      </c>
      <c r="F7" s="29">
        <v>2803883.14</v>
      </c>
    </row>
    <row r="8" spans="1:6" x14ac:dyDescent="0.15">
      <c r="A8" s="51"/>
      <c r="B8" s="31" t="s">
        <v>43</v>
      </c>
      <c r="C8" s="24">
        <f t="shared" si="0"/>
        <v>101.524</v>
      </c>
      <c r="D8" s="21">
        <f t="shared" si="2"/>
        <v>0.96</v>
      </c>
      <c r="E8" s="27">
        <f t="shared" si="1"/>
        <v>97.463039999999992</v>
      </c>
      <c r="F8" s="29">
        <v>1015240.275</v>
      </c>
    </row>
    <row r="9" spans="1:6" x14ac:dyDescent="0.15">
      <c r="A9" s="51"/>
      <c r="B9" s="31" t="s">
        <v>44</v>
      </c>
      <c r="C9" s="24">
        <f t="shared" si="0"/>
        <v>656.96839999999997</v>
      </c>
      <c r="D9" s="21">
        <f t="shared" si="2"/>
        <v>0.96</v>
      </c>
      <c r="E9" s="27">
        <f t="shared" si="1"/>
        <v>630.68966399999999</v>
      </c>
      <c r="F9" s="29">
        <v>6569683.96</v>
      </c>
    </row>
    <row r="10" spans="1:6" ht="22.5" x14ac:dyDescent="0.15">
      <c r="A10" s="51"/>
      <c r="B10" s="31" t="s">
        <v>45</v>
      </c>
      <c r="C10" s="24">
        <f t="shared" si="0"/>
        <v>28.1768</v>
      </c>
      <c r="D10" s="21">
        <f t="shared" si="2"/>
        <v>0.96</v>
      </c>
      <c r="E10" s="27">
        <f t="shared" si="1"/>
        <v>27.049727999999998</v>
      </c>
      <c r="F10" s="29">
        <v>281768.49</v>
      </c>
    </row>
    <row r="11" spans="1:6" ht="22.5" x14ac:dyDescent="0.15">
      <c r="A11" s="51"/>
      <c r="B11" s="31" t="s">
        <v>46</v>
      </c>
      <c r="C11" s="24">
        <f t="shared" si="0"/>
        <v>0</v>
      </c>
      <c r="D11" s="21">
        <f t="shared" si="2"/>
        <v>0.96</v>
      </c>
      <c r="E11" s="27">
        <f t="shared" si="1"/>
        <v>0</v>
      </c>
      <c r="F11" s="29">
        <v>0</v>
      </c>
    </row>
    <row r="12" spans="1:6" x14ac:dyDescent="0.15">
      <c r="A12" s="51"/>
      <c r="B12" s="31" t="s">
        <v>47</v>
      </c>
      <c r="C12" s="24">
        <f t="shared" si="0"/>
        <v>99.110399999999998</v>
      </c>
      <c r="D12" s="21">
        <f t="shared" si="2"/>
        <v>0.96</v>
      </c>
      <c r="E12" s="27">
        <f t="shared" si="1"/>
        <v>95.145983999999999</v>
      </c>
      <c r="F12" s="29">
        <v>991104</v>
      </c>
    </row>
    <row r="13" spans="1:6" ht="22.5" x14ac:dyDescent="0.15">
      <c r="A13" s="51"/>
      <c r="B13" s="31" t="s">
        <v>48</v>
      </c>
      <c r="C13" s="24">
        <f t="shared" si="0"/>
        <v>46.402299999999997</v>
      </c>
      <c r="D13" s="21">
        <f t="shared" si="2"/>
        <v>0.96</v>
      </c>
      <c r="E13" s="27">
        <f t="shared" si="1"/>
        <v>44.546207999999993</v>
      </c>
      <c r="F13" s="29">
        <v>464023.25</v>
      </c>
    </row>
    <row r="14" spans="1:6" ht="22.5" x14ac:dyDescent="0.15">
      <c r="A14" s="51"/>
      <c r="B14" s="31" t="s">
        <v>49</v>
      </c>
      <c r="C14" s="24">
        <f t="shared" si="0"/>
        <v>34.043999999999997</v>
      </c>
      <c r="D14" s="21">
        <f t="shared" si="2"/>
        <v>0.96</v>
      </c>
      <c r="E14" s="27">
        <f t="shared" si="1"/>
        <v>32.682239999999993</v>
      </c>
      <c r="F14" s="30">
        <f>680880*0.5</f>
        <v>340440</v>
      </c>
    </row>
    <row r="15" spans="1:6" x14ac:dyDescent="0.15">
      <c r="A15" s="51"/>
      <c r="B15" s="32" t="s">
        <v>30</v>
      </c>
      <c r="C15" s="34">
        <f>SUM(C2:C14)</f>
        <v>15819.665299999999</v>
      </c>
      <c r="D15" s="33"/>
      <c r="E15" s="27">
        <f t="shared" ref="E15:E25" si="3">C15*D15</f>
        <v>0</v>
      </c>
    </row>
    <row r="16" spans="1:6" ht="22.5" x14ac:dyDescent="0.15">
      <c r="A16" s="53" t="s">
        <v>37</v>
      </c>
      <c r="B16" s="31" t="s">
        <v>50</v>
      </c>
      <c r="C16" s="24">
        <f>ROUND(F16/10000,4)</f>
        <v>33.149299999999997</v>
      </c>
      <c r="D16" s="21">
        <f t="shared" si="2"/>
        <v>0.96</v>
      </c>
      <c r="E16" s="27">
        <f t="shared" si="3"/>
        <v>31.823327999999997</v>
      </c>
      <c r="F16" s="29">
        <v>331493.36</v>
      </c>
    </row>
    <row r="17" spans="1:12" x14ac:dyDescent="0.15">
      <c r="A17" s="54"/>
      <c r="B17" s="31" t="s">
        <v>51</v>
      </c>
      <c r="C17" s="24">
        <f t="shared" ref="C17:C25" si="4">ROUND(F17/10000,4)</f>
        <v>23.039000000000001</v>
      </c>
      <c r="D17" s="21">
        <f t="shared" si="2"/>
        <v>0.96</v>
      </c>
      <c r="E17" s="27">
        <f t="shared" si="3"/>
        <v>22.117440000000002</v>
      </c>
      <c r="F17" s="29">
        <v>230389.95</v>
      </c>
    </row>
    <row r="18" spans="1:12" x14ac:dyDescent="0.15">
      <c r="A18" s="54"/>
      <c r="B18" s="31" t="s">
        <v>52</v>
      </c>
      <c r="C18" s="24">
        <f t="shared" si="4"/>
        <v>230.9453</v>
      </c>
      <c r="D18" s="21">
        <f t="shared" si="2"/>
        <v>0.96</v>
      </c>
      <c r="E18" s="27">
        <f t="shared" si="3"/>
        <v>221.70748799999998</v>
      </c>
      <c r="F18" s="29">
        <v>2309452.5</v>
      </c>
    </row>
    <row r="19" spans="1:12" ht="22.5" x14ac:dyDescent="0.3">
      <c r="A19" s="54"/>
      <c r="B19" s="31" t="s">
        <v>53</v>
      </c>
      <c r="C19" s="24">
        <f t="shared" si="4"/>
        <v>15.8454</v>
      </c>
      <c r="D19" s="21">
        <f t="shared" si="2"/>
        <v>0.96</v>
      </c>
      <c r="E19" s="27">
        <f t="shared" si="3"/>
        <v>15.211583999999998</v>
      </c>
      <c r="F19" s="29">
        <v>158453.57391933334</v>
      </c>
      <c r="I19" s="1" t="s">
        <v>61</v>
      </c>
      <c r="J19" s="28">
        <v>0.5</v>
      </c>
      <c r="K19" s="26">
        <v>0.95</v>
      </c>
      <c r="L19" s="1"/>
    </row>
    <row r="20" spans="1:12" ht="22.5" x14ac:dyDescent="0.3">
      <c r="A20" s="54"/>
      <c r="B20" s="31" t="s">
        <v>54</v>
      </c>
      <c r="C20" s="24">
        <f t="shared" si="4"/>
        <v>9.0152000000000001</v>
      </c>
      <c r="D20" s="21">
        <f t="shared" si="2"/>
        <v>0.96</v>
      </c>
      <c r="E20" s="27">
        <f t="shared" si="3"/>
        <v>8.6545919999999992</v>
      </c>
      <c r="F20" s="29">
        <v>90152.43</v>
      </c>
      <c r="I20" s="1" t="s">
        <v>62</v>
      </c>
      <c r="J20" s="28">
        <f>1-J19</f>
        <v>0.5</v>
      </c>
      <c r="K20" s="26">
        <v>0.8</v>
      </c>
      <c r="L20" s="1">
        <v>10</v>
      </c>
    </row>
    <row r="21" spans="1:12" ht="17.25" x14ac:dyDescent="0.3">
      <c r="A21" s="54"/>
      <c r="B21" s="31" t="s">
        <v>55</v>
      </c>
      <c r="C21" s="24">
        <f t="shared" si="4"/>
        <v>288.18860000000001</v>
      </c>
      <c r="D21" s="21">
        <f t="shared" si="2"/>
        <v>0.96</v>
      </c>
      <c r="E21" s="27">
        <f t="shared" si="3"/>
        <v>276.66105599999997</v>
      </c>
      <c r="F21" s="29">
        <v>2881885.6860711998</v>
      </c>
      <c r="I21" s="1"/>
      <c r="J21" s="26">
        <f>ROUND(J19*K19+J20*K20,3)</f>
        <v>0.875</v>
      </c>
      <c r="K21" s="26"/>
      <c r="L21" s="1"/>
    </row>
    <row r="22" spans="1:12" ht="22.5" x14ac:dyDescent="0.3">
      <c r="A22" s="54"/>
      <c r="B22" s="31" t="s">
        <v>56</v>
      </c>
      <c r="C22" s="24">
        <f t="shared" si="4"/>
        <v>25.008199999999999</v>
      </c>
      <c r="D22" s="21">
        <f t="shared" si="2"/>
        <v>0.96</v>
      </c>
      <c r="E22" s="27">
        <f t="shared" si="3"/>
        <v>24.007871999999999</v>
      </c>
      <c r="F22" s="29">
        <v>250081.98</v>
      </c>
      <c r="I22" s="1"/>
      <c r="J22" s="26"/>
      <c r="K22" s="26"/>
      <c r="L22" s="1"/>
    </row>
    <row r="23" spans="1:12" x14ac:dyDescent="0.15">
      <c r="A23" s="54"/>
      <c r="B23" s="31" t="s">
        <v>57</v>
      </c>
      <c r="C23" s="24">
        <f t="shared" si="4"/>
        <v>69.283600000000007</v>
      </c>
      <c r="D23" s="21">
        <f t="shared" si="2"/>
        <v>0.96</v>
      </c>
      <c r="E23" s="27">
        <f t="shared" si="3"/>
        <v>66.512256000000008</v>
      </c>
      <c r="F23" s="29">
        <v>692835.75</v>
      </c>
    </row>
    <row r="24" spans="1:12" ht="22.5" x14ac:dyDescent="0.15">
      <c r="A24" s="54"/>
      <c r="B24" s="31" t="s">
        <v>58</v>
      </c>
      <c r="C24" s="24">
        <f t="shared" si="4"/>
        <v>47.419699999999999</v>
      </c>
      <c r="D24" s="21">
        <f t="shared" si="2"/>
        <v>0.96</v>
      </c>
      <c r="E24" s="27">
        <f t="shared" si="3"/>
        <v>45.522911999999998</v>
      </c>
      <c r="F24" s="29">
        <v>474196.86</v>
      </c>
    </row>
    <row r="25" spans="1:12" x14ac:dyDescent="0.15">
      <c r="A25" s="54"/>
      <c r="B25" s="31" t="s">
        <v>59</v>
      </c>
      <c r="C25" s="24">
        <f t="shared" si="4"/>
        <v>169.37610000000001</v>
      </c>
      <c r="D25" s="21">
        <f t="shared" si="2"/>
        <v>0.96</v>
      </c>
      <c r="E25" s="27">
        <f t="shared" si="3"/>
        <v>162.601056</v>
      </c>
      <c r="F25" s="29">
        <v>1693760.55</v>
      </c>
    </row>
    <row r="26" spans="1:12" x14ac:dyDescent="0.15">
      <c r="A26" s="55"/>
      <c r="B26" s="32" t="s">
        <v>31</v>
      </c>
      <c r="C26" s="34">
        <f>SUM(C16:C25)</f>
        <v>911.27040000000011</v>
      </c>
      <c r="D26" s="21"/>
      <c r="E26" s="27"/>
    </row>
    <row r="27" spans="1:12" x14ac:dyDescent="0.15">
      <c r="A27" s="52" t="s">
        <v>29</v>
      </c>
      <c r="B27" s="52"/>
      <c r="C27" s="34">
        <f>C15+C26</f>
        <v>16730.935699999998</v>
      </c>
      <c r="D27" s="21"/>
      <c r="E27" s="27"/>
    </row>
    <row r="28" spans="1:12" x14ac:dyDescent="0.15">
      <c r="A28" s="50" t="s">
        <v>32</v>
      </c>
      <c r="B28" s="50"/>
      <c r="C28" s="25">
        <v>0</v>
      </c>
      <c r="D28" s="21"/>
      <c r="E28" s="27"/>
    </row>
    <row r="29" spans="1:12" x14ac:dyDescent="0.15">
      <c r="A29" s="50" t="s">
        <v>33</v>
      </c>
      <c r="B29" s="50"/>
      <c r="C29" s="25">
        <v>0</v>
      </c>
      <c r="D29" s="21"/>
      <c r="E29" s="27"/>
    </row>
    <row r="30" spans="1:12" x14ac:dyDescent="0.15">
      <c r="A30" s="50" t="s">
        <v>34</v>
      </c>
      <c r="B30" s="50"/>
      <c r="C30" s="25">
        <f>C27+C28+C29</f>
        <v>16730.935699999998</v>
      </c>
      <c r="D30" s="21"/>
      <c r="E30" s="27">
        <f>SUM(E2:E29)</f>
        <v>16061.698272000003</v>
      </c>
      <c r="F30" s="22">
        <f>E30/C27</f>
        <v>0.9600000000000003</v>
      </c>
    </row>
  </sheetData>
  <mergeCells count="6">
    <mergeCell ref="A29:B29"/>
    <mergeCell ref="A30:B30"/>
    <mergeCell ref="A2:A15"/>
    <mergeCell ref="A27:B27"/>
    <mergeCell ref="A28:B28"/>
    <mergeCell ref="A16:A2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主表</vt:lpstr>
      <vt:lpstr>成新率</vt:lpstr>
      <vt:lpstr>利润率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2022-01-12T11:05:42Z</dcterms:modified>
</cp:coreProperties>
</file>