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 sheetId="81" r:id="rId46"/>
    <sheet name="租约" sheetId="77" r:id="rId47"/>
    <sheet name="市场租约" sheetId="80" r:id="rId48"/>
    <sheet name="案例" sheetId="78"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6" i="81" l="1"/>
  <c r="C25" i="81"/>
  <c r="C24" i="81"/>
  <c r="C23" i="81"/>
  <c r="C22" i="81"/>
  <c r="C21" i="81"/>
  <c r="C20" i="81"/>
  <c r="C19" i="81"/>
  <c r="C18" i="81"/>
  <c r="C17" i="81"/>
  <c r="C16" i="81"/>
  <c r="C15" i="81"/>
  <c r="C14" i="81"/>
  <c r="C13" i="81"/>
  <c r="C12" i="81"/>
  <c r="C11" i="81"/>
  <c r="C10" i="81"/>
  <c r="C9" i="81"/>
  <c r="C8" i="81"/>
  <c r="C7" i="81"/>
  <c r="C6" i="81"/>
  <c r="C5" i="81"/>
  <c r="C4" i="81"/>
  <c r="C3" i="81"/>
  <c r="C2" i="81"/>
  <c r="AJ6" i="1" l="1"/>
  <c r="L36" i="1"/>
  <c r="L35" i="1"/>
  <c r="G19" i="6" l="1"/>
  <c r="F19" i="6"/>
  <c r="C27" i="81" l="1"/>
  <c r="E47" i="33"/>
  <c r="R47" i="33" s="1"/>
  <c r="R48" i="33" s="1"/>
  <c r="G47" i="33"/>
  <c r="T47" i="33"/>
  <c r="T48" i="33" s="1"/>
  <c r="I47" i="33"/>
  <c r="V47" i="33" s="1"/>
  <c r="V48" i="33"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7" i="9"/>
  <c r="D17" i="9"/>
  <c r="B2" i="49"/>
  <c r="B16" i="49" s="1"/>
  <c r="E4" i="4" s="1"/>
  <c r="B5" i="62" s="1"/>
  <c r="B73" i="72" s="1"/>
  <c r="F70" i="15"/>
  <c r="F52" i="15"/>
  <c r="R47" i="79"/>
  <c r="R48" i="79"/>
  <c r="T47" i="79"/>
  <c r="T48" i="79"/>
  <c r="R49" i="79"/>
  <c r="C49" i="79"/>
  <c r="B2" i="80"/>
  <c r="B3" i="80"/>
  <c r="B4" i="80"/>
  <c r="B5" i="80"/>
  <c r="E2" i="80"/>
  <c r="A7" i="80"/>
  <c r="F49" i="15"/>
  <c r="AD6" i="1"/>
  <c r="AA6" i="1"/>
  <c r="C7" i="80"/>
  <c r="E7" i="80" s="1"/>
  <c r="G7" i="80" s="1"/>
  <c r="I7" i="80" s="1"/>
  <c r="K7" i="80" s="1"/>
  <c r="M7" i="80" s="1"/>
  <c r="Z6" i="1" s="1"/>
  <c r="C12" i="80"/>
  <c r="D12" i="80"/>
  <c r="AF6" i="1"/>
  <c r="Y6" i="1"/>
  <c r="C19" i="77"/>
  <c r="D19" i="77"/>
  <c r="G2" i="77"/>
  <c r="I2" i="77"/>
  <c r="K2" i="77"/>
  <c r="M2" i="77"/>
  <c r="E2" i="77"/>
  <c r="C2" i="77"/>
  <c r="A2" i="77"/>
  <c r="B3" i="77"/>
  <c r="D5" i="80"/>
  <c r="D4" i="80"/>
  <c r="D3" i="80"/>
  <c r="D2"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G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3" i="79"/>
  <c r="G36" i="33"/>
  <c r="I36" i="33"/>
  <c r="E36" i="33"/>
  <c r="N6" i="1"/>
  <c r="C36" i="33"/>
  <c r="C33" i="33"/>
  <c r="I7" i="33"/>
  <c r="G7" i="33"/>
  <c r="E7" i="33"/>
  <c r="D3" i="4"/>
  <c r="B2" i="1"/>
  <c r="G19" i="43"/>
  <c r="M20" i="43"/>
  <c r="C19" i="43"/>
  <c r="I20" i="43"/>
  <c r="C20" i="43"/>
  <c r="C24" i="43"/>
  <c r="G17" i="43"/>
  <c r="H17" i="43"/>
  <c r="I17" i="43"/>
  <c r="J17" i="43"/>
  <c r="C16" i="43"/>
  <c r="C5" i="43"/>
  <c r="C39" i="43"/>
  <c r="G39" i="43"/>
  <c r="C38" i="43"/>
  <c r="G38" i="43"/>
  <c r="C37" i="43"/>
  <c r="G37" i="43"/>
  <c r="D5" i="43"/>
  <c r="C36" i="43"/>
  <c r="G36" i="43"/>
  <c r="C35" i="43"/>
  <c r="G35" i="43"/>
  <c r="C34" i="43"/>
  <c r="G34" i="43"/>
  <c r="J53" i="67"/>
  <c r="M47" i="15"/>
  <c r="J50" i="15"/>
  <c r="J51" i="15"/>
  <c r="I5" i="3"/>
  <c r="I4" i="6" s="1"/>
  <c r="G3" i="43" s="1"/>
  <c r="C33" i="43"/>
  <c r="G33" i="43"/>
  <c r="I33" i="43"/>
  <c r="E33" i="43"/>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A37" i="3" s="1"/>
  <c r="BD37" i="3"/>
  <c r="BE37" i="3"/>
  <c r="BF37" i="3"/>
  <c r="BG37" i="3"/>
  <c r="BH37" i="3"/>
  <c r="BI37" i="3"/>
  <c r="BJ37" i="3"/>
  <c r="BK37" i="3"/>
  <c r="BM37" i="3"/>
  <c r="BN37" i="3"/>
  <c r="BO37" i="3"/>
  <c r="BP37" i="3"/>
  <c r="BQ37" i="3"/>
  <c r="BR37" i="3"/>
  <c r="BS37" i="3"/>
  <c r="BT37" i="3"/>
  <c r="BL37"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G5" i="3" s="1"/>
  <c r="B3" i="3" s="1"/>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25" i="31"/>
  <c r="Q25"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c r="E20" i="6"/>
  <c r="E21" i="6"/>
  <c r="K8" i="1"/>
  <c r="M8" i="1" s="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s="1"/>
  <c r="E65" i="39"/>
  <c r="G30" i="6"/>
  <c r="G31" i="6"/>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4" i="49"/>
  <c r="E7" i="49"/>
  <c r="E22" i="49"/>
  <c r="D23" i="15"/>
  <c r="D22" i="15"/>
  <c r="E6" i="49"/>
  <c r="B5" i="49"/>
  <c r="B13" i="49"/>
  <c r="E16" i="49"/>
  <c r="B11" i="49"/>
  <c r="E8" i="49"/>
  <c r="E21" i="49"/>
  <c r="E10" i="49"/>
  <c r="E9" i="49"/>
  <c r="E5" i="49"/>
  <c r="B6" i="49"/>
  <c r="B4" i="49"/>
  <c r="B8" i="49"/>
  <c r="E4" i="49"/>
  <c r="E11" i="49"/>
  <c r="AQ13" i="1"/>
  <c r="O6" i="1"/>
  <c r="O16" i="1" s="1"/>
  <c r="P6" i="1"/>
  <c r="F30" i="68"/>
  <c r="C30" i="68"/>
  <c r="F30" i="11"/>
  <c r="C48" i="11"/>
  <c r="F28" i="67"/>
  <c r="C28" i="67"/>
  <c r="F31" i="12"/>
  <c r="F52" i="9"/>
  <c r="C31" i="12"/>
  <c r="M18" i="67"/>
  <c r="F32" i="67"/>
  <c r="F60" i="67"/>
  <c r="F30" i="69"/>
  <c r="C48" i="69"/>
  <c r="F32" i="15"/>
  <c r="F60" i="15"/>
  <c r="M18" i="15"/>
  <c r="F28" i="15"/>
  <c r="E63" i="39"/>
  <c r="T11" i="1"/>
  <c r="AQ9" i="1"/>
  <c r="AR11" i="1"/>
  <c r="E59" i="40"/>
  <c r="D68" i="39"/>
  <c r="D70" i="39"/>
  <c r="C28" i="15"/>
  <c r="E30" i="6"/>
  <c r="K15" i="1"/>
  <c r="T9" i="1"/>
  <c r="T13" i="1"/>
  <c r="E53" i="3"/>
  <c r="E125" i="3"/>
  <c r="E175" i="3"/>
  <c r="E217" i="3"/>
  <c r="E319" i="3"/>
  <c r="E366" i="3"/>
  <c r="E530" i="3"/>
  <c r="E526" i="3"/>
  <c r="E501" i="3"/>
  <c r="E553" i="3"/>
  <c r="E343" i="3"/>
  <c r="E268" i="3"/>
  <c r="E153" i="3"/>
  <c r="E282" i="3"/>
  <c r="E305" i="3"/>
  <c r="E322" i="3"/>
  <c r="E426" i="3"/>
  <c r="N6" i="3"/>
  <c r="E508" i="3"/>
  <c r="AJ6" i="3"/>
  <c r="E328" i="3"/>
  <c r="C48" i="68"/>
  <c r="C77" i="9"/>
  <c r="C74" i="9"/>
  <c r="C30" i="69"/>
  <c r="S7" i="1"/>
  <c r="AQ7" i="1"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J22" i="43"/>
  <c r="E329" i="3"/>
  <c r="E347" i="3"/>
  <c r="E539" i="3"/>
  <c r="E583" i="3"/>
  <c r="E545" i="3"/>
  <c r="AA6" i="3"/>
  <c r="E567" i="3"/>
  <c r="X6" i="3"/>
  <c r="E5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AC6" i="3"/>
  <c r="P7" i="1"/>
  <c r="I38" i="43"/>
  <c r="T11" i="43"/>
  <c r="V11" i="43"/>
  <c r="T16" i="43"/>
  <c r="V16" i="43"/>
  <c r="T14" i="43"/>
  <c r="V14" i="43"/>
  <c r="T12" i="43"/>
  <c r="V12" i="43"/>
  <c r="T9" i="43"/>
  <c r="V9" i="43"/>
  <c r="T3" i="43"/>
  <c r="V3" i="43" s="1"/>
  <c r="T8" i="43"/>
  <c r="V8" i="43"/>
  <c r="T15" i="43"/>
  <c r="V15" i="43"/>
  <c r="T13" i="43"/>
  <c r="V13" i="43"/>
  <c r="T10" i="43"/>
  <c r="V10" i="43"/>
  <c r="T6" i="43"/>
  <c r="V6" i="43" s="1"/>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8"/>
  <c r="F1" i="67"/>
  <c r="Q52" i="67"/>
  <c r="E37" i="43"/>
  <c r="AA7" i="36"/>
  <c r="R36" i="36"/>
  <c r="E36" i="36"/>
  <c r="E40" i="36"/>
  <c r="F40" i="36"/>
  <c r="AC11" i="37"/>
  <c r="W11" i="37"/>
  <c r="AB7" i="37"/>
  <c r="T42" i="37"/>
  <c r="G42" i="37"/>
  <c r="G46" i="37"/>
  <c r="H46" i="37"/>
  <c r="W11" i="34"/>
  <c r="AC11" i="34"/>
  <c r="AB7" i="36"/>
  <c r="T36" i="36"/>
  <c r="E38" i="43"/>
  <c r="R7" i="1"/>
  <c r="C13" i="12"/>
  <c r="P16" i="1"/>
  <c r="C11" i="12" s="1"/>
  <c r="C12" i="12" s="1"/>
  <c r="F34" i="11"/>
  <c r="F11" i="12"/>
  <c r="C23" i="12" s="1"/>
  <c r="F34" i="68"/>
  <c r="C36" i="68"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C15"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E42" i="40"/>
  <c r="E46" i="40" s="1"/>
  <c r="F46" i="40" s="1"/>
  <c r="AE7" i="1"/>
  <c r="AE8" i="1"/>
  <c r="H109" i="9"/>
  <c r="H110" i="9"/>
  <c r="D18" i="53"/>
  <c r="B35" i="72" s="1"/>
  <c r="D124" i="9"/>
  <c r="D16" i="53"/>
  <c r="B34" i="72"/>
  <c r="D10" i="52"/>
  <c r="H14" i="74"/>
  <c r="D17" i="53"/>
  <c r="B36" i="72"/>
  <c r="D125" i="9"/>
  <c r="D11" i="52"/>
  <c r="B7" i="74"/>
  <c r="J7" i="33"/>
  <c r="W7" i="33"/>
  <c r="F7" i="33"/>
  <c r="S7" i="33"/>
  <c r="H7" i="33"/>
  <c r="AB7" i="33"/>
  <c r="G48" i="33"/>
  <c r="G52" i="33" s="1"/>
  <c r="H52" i="33" s="1"/>
  <c r="AA7" i="33"/>
  <c r="U7" i="33"/>
  <c r="AC7" i="33"/>
  <c r="I48" i="33"/>
  <c r="I52" i="33" s="1"/>
  <c r="J52" i="33" s="1"/>
  <c r="E48" i="33"/>
  <c r="G53" i="33"/>
  <c r="H53" i="33" s="1"/>
  <c r="E53" i="33"/>
  <c r="F53" i="33" s="1"/>
  <c r="E52" i="33"/>
  <c r="F52" i="33" s="1"/>
  <c r="I53" i="33"/>
  <c r="J53" i="33" s="1"/>
  <c r="J7" i="39"/>
  <c r="AC7" i="39"/>
  <c r="V47" i="39"/>
  <c r="I47" i="39" s="1"/>
  <c r="F7" i="39"/>
  <c r="S7" i="39"/>
  <c r="H7" i="39"/>
  <c r="AB7" i="39"/>
  <c r="T47" i="39"/>
  <c r="G47" i="39" s="1"/>
  <c r="W7" i="39"/>
  <c r="U7" i="39"/>
  <c r="AA7" i="39"/>
  <c r="R47" i="39"/>
  <c r="R48" i="39" s="1"/>
  <c r="C47" i="39" s="1"/>
  <c r="H112" i="9"/>
  <c r="D21" i="53"/>
  <c r="B39" i="72"/>
  <c r="H111" i="9"/>
  <c r="D126" i="9"/>
  <c r="D19" i="53"/>
  <c r="D59" i="9"/>
  <c r="M55" i="9"/>
  <c r="B38" i="72"/>
  <c r="D20" i="53"/>
  <c r="B40" i="72"/>
  <c r="I14" i="74"/>
  <c r="B8" i="74"/>
  <c r="D127" i="9"/>
  <c r="D13" i="52"/>
  <c r="D12" i="52"/>
  <c r="AD3" i="71"/>
  <c r="P21" i="43"/>
  <c r="P22" i="43"/>
  <c r="P23" i="43"/>
  <c r="B71" i="39"/>
  <c r="P24" i="43"/>
  <c r="B66" i="40"/>
  <c r="P25" i="43"/>
  <c r="D7" i="73"/>
  <c r="F6" i="73"/>
  <c r="AO7" i="1"/>
  <c r="AO11" i="1"/>
  <c r="B13" i="76"/>
  <c r="D2" i="37"/>
  <c r="B8" i="76"/>
  <c r="D35" i="9"/>
  <c r="D5" i="73"/>
  <c r="M8" i="67"/>
  <c r="B10" i="76"/>
  <c r="AO8" i="1"/>
  <c r="B9" i="76"/>
  <c r="B11" i="76"/>
  <c r="D34" i="9"/>
  <c r="M26" i="67"/>
  <c r="F3" i="73"/>
  <c r="D2" i="33"/>
  <c r="AO9" i="1"/>
  <c r="M6" i="15"/>
  <c r="D2" i="79"/>
  <c r="D2" i="21"/>
  <c r="M22" i="15"/>
  <c r="F5" i="73"/>
  <c r="E10" i="76"/>
  <c r="E9" i="76"/>
  <c r="E2" i="69"/>
  <c r="E12" i="76"/>
  <c r="L48" i="15"/>
  <c r="D2" i="36"/>
  <c r="L48" i="67"/>
  <c r="F36" i="15"/>
  <c r="F16" i="67"/>
  <c r="M9" i="67"/>
  <c r="F37" i="15"/>
  <c r="F8" i="67"/>
  <c r="M24" i="15"/>
  <c r="M23" i="15"/>
  <c r="F35" i="67"/>
  <c r="F7" i="73"/>
  <c r="E11" i="76"/>
  <c r="M21" i="67"/>
  <c r="F9" i="67"/>
  <c r="F9" i="15"/>
  <c r="M28" i="67"/>
  <c r="M22" i="67"/>
  <c r="C76" i="67"/>
  <c r="F38" i="67"/>
  <c r="F13" i="67"/>
  <c r="F4" i="73"/>
  <c r="F43" i="67"/>
  <c r="F26" i="15"/>
  <c r="AO12" i="1"/>
  <c r="M6" i="67"/>
  <c r="E13" i="76"/>
  <c r="L47" i="67"/>
  <c r="M27" i="67"/>
  <c r="F6" i="67"/>
  <c r="F41" i="15"/>
  <c r="F7" i="67"/>
  <c r="F42" i="67"/>
  <c r="B7" i="76"/>
  <c r="F41" i="67"/>
  <c r="F13" i="15"/>
  <c r="F38" i="15"/>
  <c r="F36" i="67"/>
  <c r="M26" i="15"/>
  <c r="M23" i="67"/>
  <c r="C76" i="15"/>
  <c r="E8" i="76"/>
  <c r="D2" i="35"/>
  <c r="AO10" i="1"/>
  <c r="D4" i="73"/>
  <c r="F8" i="15"/>
  <c r="E7" i="76"/>
  <c r="M9" i="15"/>
  <c r="J15" i="67"/>
  <c r="M28" i="15"/>
  <c r="F42" i="15"/>
  <c r="M29" i="67"/>
  <c r="D6" i="73"/>
  <c r="E2" i="68"/>
  <c r="M24" i="67"/>
  <c r="F37" i="67"/>
  <c r="F40" i="15"/>
  <c r="F26" i="67"/>
  <c r="L47" i="15"/>
  <c r="M8" i="15"/>
  <c r="B12" i="76"/>
  <c r="D2" i="34"/>
  <c r="AO13" i="1"/>
  <c r="F40" i="67"/>
  <c r="J15" i="15"/>
  <c r="D3" i="73"/>
  <c r="F16" i="15"/>
  <c r="C18" i="9" l="1"/>
  <c r="D18" i="9" s="1"/>
  <c r="B23" i="49"/>
  <c r="R49" i="33"/>
  <c r="E16" i="6"/>
  <c r="E57" i="40"/>
  <c r="E62" i="39"/>
  <c r="AZ37" i="3"/>
  <c r="AZ5" i="3" s="1"/>
  <c r="E3" i="6" s="1"/>
  <c r="BA5" i="3"/>
  <c r="E47" i="39"/>
  <c r="E51" i="39" s="1"/>
  <c r="F51" i="39" s="1"/>
  <c r="I47" i="40"/>
  <c r="J47" i="40" s="1"/>
  <c r="I46" i="40"/>
  <c r="J46" i="40" s="1"/>
  <c r="E51" i="40"/>
  <c r="E56" i="39"/>
  <c r="B5" i="77"/>
  <c r="E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E410" i="3"/>
  <c r="AY6" i="3"/>
  <c r="C23" i="43"/>
  <c r="C21" i="43" s="1"/>
  <c r="C29" i="43" s="1"/>
  <c r="F22" i="43"/>
  <c r="L101" i="43"/>
  <c r="H101" i="43"/>
  <c r="I101" i="43"/>
  <c r="AH11" i="43"/>
  <c r="AH13" i="43" s="1"/>
  <c r="AD11" i="43"/>
  <c r="AD13" i="43" s="1"/>
  <c r="Z11" i="43"/>
  <c r="Z13" i="43" s="1"/>
  <c r="S5" i="43"/>
  <c r="T5" i="43" s="1"/>
  <c r="V5" i="43" s="1"/>
  <c r="E22" i="43"/>
  <c r="K101" i="43"/>
  <c r="F101" i="43"/>
  <c r="N101" i="43"/>
  <c r="G101" i="43"/>
  <c r="J101" i="43"/>
  <c r="N104" i="46"/>
  <c r="M101" i="43"/>
  <c r="E101" i="43"/>
  <c r="S2" i="43"/>
  <c r="T2" i="43" s="1"/>
  <c r="V2" i="43" s="1"/>
  <c r="AJ11" i="43"/>
  <c r="AJ13" i="43" s="1"/>
  <c r="AF11" i="43"/>
  <c r="AF13" i="43" s="1"/>
  <c r="AB11" i="43"/>
  <c r="AB13" i="43" s="1"/>
  <c r="Z7" i="43"/>
  <c r="AI11" i="43"/>
  <c r="AI13" i="43" s="1"/>
  <c r="AG11" i="43"/>
  <c r="AG13" i="43" s="1"/>
  <c r="AE11" i="43"/>
  <c r="AE13" i="43" s="1"/>
  <c r="AC11" i="43"/>
  <c r="AC13" i="43" s="1"/>
  <c r="AA11" i="43"/>
  <c r="AA13" i="43" s="1"/>
  <c r="Y11" i="43"/>
  <c r="Y13" i="43" s="1"/>
  <c r="S4" i="43"/>
  <c r="T4" i="43" s="1"/>
  <c r="V4" i="43" s="1"/>
  <c r="S7" i="43"/>
  <c r="T7" i="43" s="1"/>
  <c r="V7" i="43" s="1"/>
  <c r="D19" i="12"/>
  <c r="C19" i="12" s="1"/>
  <c r="D9" i="69"/>
  <c r="C9" i="69" s="1"/>
  <c r="E66" i="39"/>
  <c r="D9" i="68"/>
  <c r="E56" i="40"/>
  <c r="I51" i="39"/>
  <c r="J51" i="39" s="1"/>
  <c r="C43" i="40"/>
  <c r="C42" i="40"/>
  <c r="G52" i="39"/>
  <c r="H52" i="39" s="1"/>
  <c r="G51" i="39"/>
  <c r="H51" i="39" s="1"/>
  <c r="E52" i="39"/>
  <c r="F52" i="39" s="1"/>
  <c r="G47" i="40"/>
  <c r="H47" i="40" s="1"/>
  <c r="G46" i="40"/>
  <c r="H46" i="40" s="1"/>
  <c r="E47" i="40"/>
  <c r="F47" i="40" s="1"/>
  <c r="C48" i="39"/>
  <c r="C36" i="11"/>
  <c r="C30" i="43"/>
  <c r="E30" i="43" s="1"/>
  <c r="C27" i="43" s="1"/>
  <c r="E29" i="43"/>
  <c r="C26" i="43" s="1"/>
  <c r="D101" i="43"/>
  <c r="H22" i="43"/>
  <c r="G22" i="43"/>
  <c r="B113" i="43"/>
  <c r="C101" i="43"/>
  <c r="B9" i="49"/>
  <c r="C4" i="4" s="1"/>
  <c r="K4" i="4" s="1"/>
  <c r="B46" i="48" s="1"/>
  <c r="B4" i="72" s="1"/>
  <c r="F69" i="67"/>
  <c r="J20" i="67"/>
  <c r="B2" i="35"/>
  <c r="B3" i="35" s="1"/>
  <c r="B2" i="36"/>
  <c r="B3" i="36" s="1"/>
  <c r="B8" i="70"/>
  <c r="F70" i="67"/>
  <c r="F65" i="67"/>
  <c r="Q71" i="15"/>
  <c r="F50" i="67"/>
  <c r="M7" i="67"/>
  <c r="J6" i="67" s="1"/>
  <c r="F51" i="67"/>
  <c r="C49" i="67" s="1"/>
  <c r="B12" i="70"/>
  <c r="B9" i="70"/>
  <c r="J53" i="15"/>
  <c r="J60" i="15"/>
  <c r="Q48" i="15" s="1"/>
  <c r="L56" i="15"/>
  <c r="L60" i="15"/>
  <c r="I54" i="15"/>
  <c r="J57" i="15"/>
  <c r="J55" i="15" s="1"/>
  <c r="J58" i="15" s="1"/>
  <c r="Q50" i="15" s="1"/>
  <c r="J59" i="15"/>
  <c r="L46" i="15"/>
  <c r="L57" i="15"/>
  <c r="F68" i="67"/>
  <c r="M59" i="67"/>
  <c r="L59" i="67"/>
  <c r="N59" i="67"/>
  <c r="L58" i="67"/>
  <c r="M59" i="15"/>
  <c r="L59" i="15"/>
  <c r="L58" i="15"/>
  <c r="N59" i="15"/>
  <c r="L56" i="67"/>
  <c r="I54" i="67"/>
  <c r="J57" i="67"/>
  <c r="J55" i="67" s="1"/>
  <c r="J58" i="67" s="1"/>
  <c r="Q50" i="67" s="1"/>
  <c r="Q71" i="67"/>
  <c r="B11" i="70"/>
  <c r="I1" i="73"/>
  <c r="B39" i="1" s="1"/>
  <c r="F69" i="15"/>
  <c r="F65" i="15"/>
  <c r="C27" i="15"/>
  <c r="F51" i="15"/>
  <c r="B7" i="70"/>
  <c r="F63" i="67"/>
  <c r="C62" i="67" s="1"/>
  <c r="C34" i="67"/>
  <c r="F64" i="67"/>
  <c r="C27" i="67"/>
  <c r="B13" i="70"/>
  <c r="E20" i="43"/>
  <c r="F66" i="15"/>
  <c r="F66" i="67"/>
  <c r="F71" i="67"/>
  <c r="C6" i="67"/>
  <c r="B10" i="70"/>
  <c r="F68" i="15"/>
  <c r="F64" i="15"/>
  <c r="C16" i="67"/>
  <c r="G1" i="73"/>
  <c r="C17" i="67"/>
  <c r="C14" i="67"/>
  <c r="I52" i="39" l="1"/>
  <c r="J52" i="39" s="1"/>
  <c r="C49" i="33"/>
  <c r="C48" i="33"/>
  <c r="B4" i="62"/>
  <c r="B71" i="72" s="1"/>
  <c r="B40" i="1"/>
  <c r="F25" i="12" s="1"/>
  <c r="M18" i="9"/>
  <c r="B118" i="9" s="1"/>
  <c r="B14" i="74" s="1"/>
  <c r="B1" i="74" s="1"/>
  <c r="D3" i="21"/>
  <c r="B2" i="21" s="1"/>
  <c r="B3" i="21" s="1"/>
  <c r="D19" i="11"/>
  <c r="C19" i="11" s="1"/>
  <c r="C20" i="11" s="1"/>
  <c r="C17" i="4"/>
  <c r="B4" i="52" s="1"/>
  <c r="B43" i="72" s="1"/>
  <c r="L18" i="9"/>
  <c r="D3" i="37"/>
  <c r="B2" i="37" s="1"/>
  <c r="B3" i="37" s="1"/>
  <c r="D3" i="34"/>
  <c r="B2" i="34" s="1"/>
  <c r="B3" i="34" s="1"/>
  <c r="E6" i="6"/>
  <c r="D37" i="11"/>
  <c r="C37" i="11" s="1"/>
  <c r="D14" i="12"/>
  <c r="E104" i="43"/>
  <c r="E107" i="43"/>
  <c r="E105" i="43"/>
  <c r="E102" i="43"/>
  <c r="E106" i="43"/>
  <c r="E103" i="43"/>
  <c r="E109" i="43"/>
  <c r="G105" i="43"/>
  <c r="G102" i="43"/>
  <c r="G107" i="43"/>
  <c r="G104" i="43"/>
  <c r="G106" i="43"/>
  <c r="G103" i="43"/>
  <c r="G109" i="43"/>
  <c r="F104" i="43"/>
  <c r="F107" i="43"/>
  <c r="F106" i="43"/>
  <c r="F103" i="43"/>
  <c r="F109" i="43"/>
  <c r="F102" i="43"/>
  <c r="F105" i="43"/>
  <c r="H107" i="43"/>
  <c r="H106" i="43"/>
  <c r="H105" i="43"/>
  <c r="H109" i="43"/>
  <c r="H102" i="43"/>
  <c r="H103" i="43"/>
  <c r="H104"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452" i="3"/>
  <c r="AY433" i="3"/>
  <c r="AY513"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463" i="3"/>
  <c r="AY420" i="3"/>
  <c r="AY401" i="3"/>
  <c r="AY549"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8" i="77"/>
  <c r="K8" i="77"/>
  <c r="C8" i="77"/>
  <c r="E8" i="77"/>
  <c r="I8" i="77"/>
  <c r="M8" i="77"/>
  <c r="A8" i="77"/>
  <c r="B9" i="77" s="1"/>
  <c r="B10" i="77" s="1"/>
  <c r="U6" i="1" s="1"/>
  <c r="M109" i="43"/>
  <c r="M104" i="43"/>
  <c r="M107" i="43"/>
  <c r="M105" i="43"/>
  <c r="M102" i="43"/>
  <c r="M106" i="43"/>
  <c r="M103" i="43"/>
  <c r="J104" i="43"/>
  <c r="J103" i="43"/>
  <c r="J106" i="43"/>
  <c r="J109" i="43"/>
  <c r="J105" i="43"/>
  <c r="J107" i="43"/>
  <c r="J102" i="43"/>
  <c r="N102" i="43"/>
  <c r="N103" i="43"/>
  <c r="N106" i="43"/>
  <c r="N107" i="43"/>
  <c r="N109" i="43"/>
  <c r="N105" i="43"/>
  <c r="N104" i="43"/>
  <c r="K103" i="43"/>
  <c r="K102" i="43"/>
  <c r="K105" i="43"/>
  <c r="K109" i="43"/>
  <c r="K107" i="43"/>
  <c r="K104" i="43"/>
  <c r="K106" i="43"/>
  <c r="I109" i="43"/>
  <c r="I104" i="43"/>
  <c r="I107" i="43"/>
  <c r="I105" i="43"/>
  <c r="I102" i="43"/>
  <c r="I106" i="43"/>
  <c r="I103" i="43"/>
  <c r="L109" i="43"/>
  <c r="L106" i="43"/>
  <c r="L107" i="43"/>
  <c r="L103" i="43"/>
  <c r="L102" i="43"/>
  <c r="L105" i="43"/>
  <c r="L104" i="43"/>
  <c r="D3" i="79"/>
  <c r="B2" i="79" s="1"/>
  <c r="K6" i="1"/>
  <c r="D3" i="33"/>
  <c r="B2" i="33" s="1"/>
  <c r="F27" i="6"/>
  <c r="F31" i="6" s="1"/>
  <c r="C9" i="68"/>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103" i="43"/>
  <c r="C105" i="43"/>
  <c r="C107" i="43"/>
  <c r="C102" i="43"/>
  <c r="C104" i="43"/>
  <c r="C106" i="43"/>
  <c r="C109" i="43"/>
  <c r="D22" i="43"/>
  <c r="D103" i="43"/>
  <c r="D105" i="43"/>
  <c r="D107" i="43"/>
  <c r="D102" i="43"/>
  <c r="D104" i="43"/>
  <c r="D106" i="43"/>
  <c r="D109" i="43"/>
  <c r="B2" i="43"/>
  <c r="B60" i="39"/>
  <c r="F60" i="39" s="1"/>
  <c r="B56" i="39"/>
  <c r="F56" i="39" s="1"/>
  <c r="F66" i="39" s="1"/>
  <c r="B2" i="39" s="1"/>
  <c r="B3" i="39" s="1"/>
  <c r="B59" i="39"/>
  <c r="F59" i="39" s="1"/>
  <c r="B65" i="39"/>
  <c r="F65" i="39" s="1"/>
  <c r="B57" i="39"/>
  <c r="F57" i="39" s="1"/>
  <c r="B62" i="39"/>
  <c r="F62" i="39" s="1"/>
  <c r="B61" i="39"/>
  <c r="F61" i="39" s="1"/>
  <c r="B58" i="39"/>
  <c r="F58" i="39" s="1"/>
  <c r="B64" i="39"/>
  <c r="F64" i="39" s="1"/>
  <c r="B63" i="39"/>
  <c r="F63" i="39" s="1"/>
  <c r="B57" i="40"/>
  <c r="F57" i="40" s="1"/>
  <c r="B58" i="40"/>
  <c r="F58" i="40" s="1"/>
  <c r="B59" i="40"/>
  <c r="F59" i="40" s="1"/>
  <c r="B52" i="40"/>
  <c r="F52" i="40" s="1"/>
  <c r="B56" i="40"/>
  <c r="F56" i="40" s="1"/>
  <c r="B51" i="40"/>
  <c r="F51" i="40" s="1"/>
  <c r="B54" i="40"/>
  <c r="F54" i="40" s="1"/>
  <c r="B53" i="40"/>
  <c r="F53" i="40" s="1"/>
  <c r="B55" i="40"/>
  <c r="F55" i="40" s="1"/>
  <c r="B60" i="40"/>
  <c r="F60" i="40" s="1"/>
  <c r="C18" i="67"/>
  <c r="C15" i="67"/>
  <c r="Q74" i="15"/>
  <c r="Q61" i="15"/>
  <c r="Q73" i="67"/>
  <c r="Q60" i="67"/>
  <c r="Q61" i="67"/>
  <c r="Q74" i="67"/>
  <c r="Q66" i="15"/>
  <c r="Q57" i="15"/>
  <c r="N17" i="43"/>
  <c r="O17" i="43"/>
  <c r="P17" i="43"/>
  <c r="M17" i="43"/>
  <c r="M11" i="67"/>
  <c r="J10" i="67" s="1"/>
  <c r="J5" i="67" s="1"/>
  <c r="F11" i="15"/>
  <c r="M11" i="15"/>
  <c r="F11" i="67"/>
  <c r="Q73" i="15"/>
  <c r="Q60" i="15"/>
  <c r="F24" i="15"/>
  <c r="C24" i="15" s="1"/>
  <c r="F22" i="11"/>
  <c r="F22" i="68"/>
  <c r="Q52" i="15"/>
  <c r="F1" i="15"/>
  <c r="F6" i="15"/>
  <c r="F43" i="15"/>
  <c r="AE6" i="1"/>
  <c r="F7" i="15"/>
  <c r="M29" i="15"/>
  <c r="B6" i="76"/>
  <c r="F22" i="69" l="1"/>
  <c r="F24" i="67"/>
  <c r="C24" i="67" s="1"/>
  <c r="R24" i="31"/>
  <c r="B3" i="33"/>
  <c r="E27" i="6"/>
  <c r="K19" i="6" s="1"/>
  <c r="S6" i="1" s="1"/>
  <c r="E6" i="70" s="1"/>
  <c r="E2" i="70" s="1"/>
  <c r="C8" i="74"/>
  <c r="C7" i="74"/>
  <c r="D17" i="12"/>
  <c r="C17" i="12" s="1"/>
  <c r="C14" i="12"/>
  <c r="C16" i="12" s="1"/>
  <c r="D10" i="68"/>
  <c r="D10" i="11"/>
  <c r="C10" i="11" s="1"/>
  <c r="D20" i="12"/>
  <c r="C20" i="12" s="1"/>
  <c r="C18" i="12" s="1"/>
  <c r="D10" i="69"/>
  <c r="M7" i="15"/>
  <c r="J6" i="15" s="1"/>
  <c r="J10" i="15" s="1"/>
  <c r="J5" i="15" s="1"/>
  <c r="F50" i="15"/>
  <c r="C49" i="15" s="1"/>
  <c r="C53" i="15" s="1"/>
  <c r="C48" i="15" s="1"/>
  <c r="F71" i="15"/>
  <c r="C6" i="15"/>
  <c r="C10" i="15" s="1"/>
  <c r="C5" i="15" s="1"/>
  <c r="H16" i="1"/>
  <c r="M6" i="1"/>
  <c r="G16" i="1"/>
  <c r="Q16" i="1"/>
  <c r="K16" i="1"/>
  <c r="C34" i="69"/>
  <c r="K20" i="6"/>
  <c r="M20" i="6" s="1"/>
  <c r="I20" i="6" s="1"/>
  <c r="S20" i="6" s="1"/>
  <c r="K24" i="6"/>
  <c r="M24" i="6" s="1"/>
  <c r="I24" i="6" s="1"/>
  <c r="S24" i="6" s="1"/>
  <c r="K26" i="6"/>
  <c r="M26" i="6" s="1"/>
  <c r="I26" i="6" s="1"/>
  <c r="S26" i="6" s="1"/>
  <c r="K22" i="6"/>
  <c r="M22" i="6" s="1"/>
  <c r="I22" i="6" s="1"/>
  <c r="S22" i="6" s="1"/>
  <c r="K23" i="6"/>
  <c r="M23" i="6" s="1"/>
  <c r="I23" i="6" s="1"/>
  <c r="S23" i="6" s="1"/>
  <c r="E31" i="6"/>
  <c r="K21" i="6"/>
  <c r="M21" i="6" s="1"/>
  <c r="I21" i="6" s="1"/>
  <c r="S21" i="6" s="1"/>
  <c r="K25" i="6"/>
  <c r="M25" i="6" s="1"/>
  <c r="I25" i="6" s="1"/>
  <c r="S25" i="6" s="1"/>
  <c r="M19" i="9"/>
  <c r="C118" i="9" s="1"/>
  <c r="C14" i="74" s="1"/>
  <c r="B2" i="74" s="1"/>
  <c r="D25" i="6"/>
  <c r="D15" i="6"/>
  <c r="D22" i="6"/>
  <c r="D21" i="6"/>
  <c r="D24" i="6"/>
  <c r="D20" i="6"/>
  <c r="D5" i="6"/>
  <c r="D12" i="6"/>
  <c r="D11" i="6"/>
  <c r="D13" i="6"/>
  <c r="D28" i="6"/>
  <c r="E61" i="40"/>
  <c r="F61" i="40" s="1"/>
  <c r="B2" i="40" s="1"/>
  <c r="B3" i="40" s="1"/>
  <c r="H22" i="6"/>
  <c r="D19" i="6"/>
  <c r="D26" i="6"/>
  <c r="C18" i="4"/>
  <c r="D8" i="6"/>
  <c r="D23" i="6"/>
  <c r="D14" i="6"/>
  <c r="D6" i="6"/>
  <c r="D9" i="6"/>
  <c r="D10" i="6"/>
  <c r="L19" i="9"/>
  <c r="D29" i="6"/>
  <c r="H25" i="6"/>
  <c r="R25" i="6" s="1"/>
  <c r="H21" i="6"/>
  <c r="B2" i="76"/>
  <c r="B3" i="43"/>
  <c r="C115" i="43"/>
  <c r="D113" i="43" s="1"/>
  <c r="C19" i="67"/>
  <c r="C20" i="67" s="1"/>
  <c r="C26" i="67" s="1"/>
  <c r="AG6" i="1"/>
  <c r="J26" i="67"/>
  <c r="J29" i="67" s="1"/>
  <c r="J18" i="67"/>
  <c r="J24" i="67"/>
  <c r="C23" i="68"/>
  <c r="C26" i="68"/>
  <c r="D22" i="68" s="1"/>
  <c r="C44" i="68"/>
  <c r="D41" i="68" s="1"/>
  <c r="C26" i="69"/>
  <c r="D22" i="69" s="1"/>
  <c r="C44" i="69"/>
  <c r="D41" i="69" s="1"/>
  <c r="C26" i="12"/>
  <c r="D25" i="12" s="1"/>
  <c r="C53" i="67"/>
  <c r="C48" i="67" s="1"/>
  <c r="C10" i="67"/>
  <c r="C5" i="67" s="1"/>
  <c r="C44" i="11"/>
  <c r="D41" i="11" s="1"/>
  <c r="C23" i="11"/>
  <c r="C24" i="11"/>
  <c r="C26" i="11"/>
  <c r="D22" i="11" s="1"/>
  <c r="C25" i="11"/>
  <c r="E6" i="76"/>
  <c r="C16" i="15"/>
  <c r="M27" i="15"/>
  <c r="C17" i="15"/>
  <c r="S24" i="31" l="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H23" i="6"/>
  <c r="M19" i="6"/>
  <c r="C38" i="15"/>
  <c r="C32" i="15"/>
  <c r="J19" i="15"/>
  <c r="J18" i="15"/>
  <c r="J24" i="15"/>
  <c r="H24" i="6"/>
  <c r="R24" i="6" s="1"/>
  <c r="C10" i="69"/>
  <c r="C8" i="69" s="1"/>
  <c r="C5" i="69" s="1"/>
  <c r="C23" i="69" s="1"/>
  <c r="D19" i="69"/>
  <c r="C21" i="12"/>
  <c r="C10" i="68"/>
  <c r="D19" i="68"/>
  <c r="R23" i="6"/>
  <c r="R21" i="6"/>
  <c r="H26" i="6"/>
  <c r="R26" i="6" s="1"/>
  <c r="D16" i="6"/>
  <c r="H20" i="6"/>
  <c r="R20" i="6" s="1"/>
  <c r="D30" i="6"/>
  <c r="R22" i="6"/>
  <c r="C35" i="69"/>
  <c r="C38" i="69"/>
  <c r="F27" i="69"/>
  <c r="F28" i="12"/>
  <c r="F27" i="11"/>
  <c r="F27" i="68"/>
  <c r="M16" i="1"/>
  <c r="I19" i="6"/>
  <c r="M27" i="6"/>
  <c r="A7" i="51"/>
  <c r="B7" i="72" s="1"/>
  <c r="C4" i="52"/>
  <c r="B45" i="72" s="1"/>
  <c r="A10" i="51"/>
  <c r="B9" i="72" s="1"/>
  <c r="D27" i="6"/>
  <c r="D7" i="74"/>
  <c r="D8" i="74"/>
  <c r="H10" i="40"/>
  <c r="J10" i="40"/>
  <c r="H10" i="39"/>
  <c r="F10" i="39"/>
  <c r="J10" i="39"/>
  <c r="F10" i="40"/>
  <c r="K27" i="6"/>
  <c r="AQ6" i="1"/>
  <c r="T6" i="1"/>
  <c r="S16" i="1"/>
  <c r="AR6" i="1"/>
  <c r="E2" i="76"/>
  <c r="B3" i="76" s="1"/>
  <c r="C60" i="15"/>
  <c r="C66" i="15"/>
  <c r="C23" i="67"/>
  <c r="C29" i="67" s="1"/>
  <c r="C22" i="11"/>
  <c r="C38" i="67"/>
  <c r="C32" i="67"/>
  <c r="C60" i="67"/>
  <c r="C66" i="67"/>
  <c r="C14" i="15"/>
  <c r="C61" i="15"/>
  <c r="C33" i="15"/>
  <c r="S22" i="31" l="1"/>
  <c r="D37" i="68"/>
  <c r="C37" i="68" s="1"/>
  <c r="C19" i="68"/>
  <c r="C22" i="12"/>
  <c r="C27" i="12" s="1"/>
  <c r="C25" i="12" s="1"/>
  <c r="C19" i="69"/>
  <c r="D37" i="69"/>
  <c r="C37" i="69" s="1"/>
  <c r="C33" i="69" s="1"/>
  <c r="C18" i="15"/>
  <c r="C15" i="15"/>
  <c r="S10" i="40"/>
  <c r="AA10" i="40"/>
  <c r="AA10" i="39"/>
  <c r="S10" i="39"/>
  <c r="W10" i="40"/>
  <c r="AC10" i="40"/>
  <c r="D31" i="6"/>
  <c r="N16" i="1"/>
  <c r="C34" i="11"/>
  <c r="L16" i="1"/>
  <c r="C34" i="68"/>
  <c r="C47" i="11"/>
  <c r="D45" i="11" s="1"/>
  <c r="C29" i="11"/>
  <c r="D27" i="11" s="1"/>
  <c r="C28" i="11"/>
  <c r="C27" i="11" s="1"/>
  <c r="C47" i="69"/>
  <c r="D45" i="69" s="1"/>
  <c r="C29" i="69"/>
  <c r="D27" i="69" s="1"/>
  <c r="T16" i="1"/>
  <c r="W10" i="39"/>
  <c r="AC10" i="39"/>
  <c r="AB10" i="39"/>
  <c r="U10" i="39"/>
  <c r="U10" i="40"/>
  <c r="AB10" i="40"/>
  <c r="S19" i="6"/>
  <c r="S27" i="6" s="1"/>
  <c r="I27" i="6"/>
  <c r="H19" i="6"/>
  <c r="C29" i="68"/>
  <c r="D27" i="68" s="1"/>
  <c r="C47" i="68"/>
  <c r="D45" i="68" s="1"/>
  <c r="C29" i="12"/>
  <c r="D28" i="12" s="1"/>
  <c r="C30" i="12"/>
  <c r="C28" i="12" s="1"/>
  <c r="J14" i="67"/>
  <c r="C13" i="67"/>
  <c r="C33" i="67"/>
  <c r="C31" i="67" s="1"/>
  <c r="J19" i="67"/>
  <c r="J17" i="67" s="1"/>
  <c r="Q49" i="67"/>
  <c r="C57" i="67"/>
  <c r="C36" i="67"/>
  <c r="J59" i="67"/>
  <c r="J60" i="67" s="1"/>
  <c r="B29" i="81" l="1"/>
  <c r="R22" i="31"/>
  <c r="B21" i="31" s="1"/>
  <c r="C19" i="15"/>
  <c r="C39" i="69"/>
  <c r="C46" i="69" s="1"/>
  <c r="C45" i="69" s="1"/>
  <c r="C42" i="69"/>
  <c r="C31" i="11"/>
  <c r="C24" i="69"/>
  <c r="C20" i="69"/>
  <c r="C24" i="68"/>
  <c r="C20" i="68"/>
  <c r="C35" i="68"/>
  <c r="C38" i="68"/>
  <c r="C32" i="12"/>
  <c r="B2" i="12" s="1"/>
  <c r="B3" i="12" s="1"/>
  <c r="R19" i="6"/>
  <c r="H27" i="6"/>
  <c r="F50" i="69"/>
  <c r="F50" i="68"/>
  <c r="F50" i="11"/>
  <c r="C38" i="11"/>
  <c r="C35" i="11"/>
  <c r="I6" i="6"/>
  <c r="I5" i="6"/>
  <c r="C20" i="15"/>
  <c r="C23" i="15" s="1"/>
  <c r="Q48" i="67"/>
  <c r="L46" i="67"/>
  <c r="C61" i="67"/>
  <c r="C59" i="67" s="1"/>
  <c r="C64" i="67"/>
  <c r="Q70" i="67"/>
  <c r="C75" i="67"/>
  <c r="C56" i="67"/>
  <c r="C65" i="67" s="1"/>
  <c r="C37" i="67"/>
  <c r="C30" i="67" s="1"/>
  <c r="C39" i="67" s="1"/>
  <c r="J22" i="67"/>
  <c r="J13" i="67"/>
  <c r="J23" i="67" s="1"/>
  <c r="C20" i="9"/>
  <c r="C103" i="9" l="1"/>
  <c r="D3" i="81"/>
  <c r="D5" i="81"/>
  <c r="D7" i="81"/>
  <c r="D9" i="81"/>
  <c r="D11" i="81"/>
  <c r="D13" i="81"/>
  <c r="D15" i="81"/>
  <c r="D17" i="81"/>
  <c r="D19" i="81"/>
  <c r="D21" i="81"/>
  <c r="D23" i="81"/>
  <c r="D25" i="81"/>
  <c r="D2" i="81"/>
  <c r="D4" i="81"/>
  <c r="D6" i="81"/>
  <c r="D8" i="81"/>
  <c r="D10" i="81"/>
  <c r="D12" i="81"/>
  <c r="D14" i="81"/>
  <c r="D16" i="81"/>
  <c r="D18" i="81"/>
  <c r="D20" i="81"/>
  <c r="D22" i="81"/>
  <c r="D24" i="81"/>
  <c r="D26" i="81"/>
  <c r="C33" i="68"/>
  <c r="C39" i="68" s="1"/>
  <c r="C43" i="68" s="1"/>
  <c r="C43" i="69"/>
  <c r="C41" i="69" s="1"/>
  <c r="C49" i="69" s="1"/>
  <c r="C51" i="69" s="1"/>
  <c r="C26" i="15"/>
  <c r="C29" i="15" s="1"/>
  <c r="Q49" i="15" s="1"/>
  <c r="C33" i="11"/>
  <c r="C42" i="11" s="1"/>
  <c r="C25" i="68"/>
  <c r="C22" i="68" s="1"/>
  <c r="C28" i="68"/>
  <c r="C27" i="68" s="1"/>
  <c r="C25" i="69"/>
  <c r="C22" i="69" s="1"/>
  <c r="C28" i="69"/>
  <c r="C27" i="69" s="1"/>
  <c r="C42" i="68"/>
  <c r="C39" i="11"/>
  <c r="C43" i="11" s="1"/>
  <c r="R6" i="1"/>
  <c r="R27" i="6"/>
  <c r="J16" i="67"/>
  <c r="J25" i="67" s="1"/>
  <c r="C40" i="67"/>
  <c r="Q69" i="67"/>
  <c r="Q68" i="67" s="1"/>
  <c r="C80" i="67"/>
  <c r="C79" i="67" s="1"/>
  <c r="C58" i="67"/>
  <c r="C67" i="67" s="1"/>
  <c r="C68" i="67" s="1"/>
  <c r="L51" i="67"/>
  <c r="M21" i="15"/>
  <c r="F35" i="15"/>
  <c r="D27" i="81" l="1"/>
  <c r="C57" i="15"/>
  <c r="C64" i="15" s="1"/>
  <c r="J14" i="15"/>
  <c r="J22" i="15" s="1"/>
  <c r="C13" i="15"/>
  <c r="C75" i="15" s="1"/>
  <c r="C36" i="15"/>
  <c r="C31" i="69"/>
  <c r="C52" i="69" s="1"/>
  <c r="B2" i="69" s="1"/>
  <c r="B3" i="69" s="1"/>
  <c r="C41" i="11"/>
  <c r="C41" i="68"/>
  <c r="C46" i="11"/>
  <c r="C45" i="11" s="1"/>
  <c r="C49" i="11" s="1"/>
  <c r="C51" i="11" s="1"/>
  <c r="C31" i="68"/>
  <c r="J20" i="15"/>
  <c r="J17" i="15" s="1"/>
  <c r="F63" i="15"/>
  <c r="C62" i="15" s="1"/>
  <c r="C59" i="15" s="1"/>
  <c r="C34" i="15"/>
  <c r="C31" i="15" s="1"/>
  <c r="C37" i="15"/>
  <c r="R16" i="1"/>
  <c r="C46" i="68"/>
  <c r="C45" i="68" s="1"/>
  <c r="Q67" i="67"/>
  <c r="L57" i="67"/>
  <c r="L60" i="67" s="1"/>
  <c r="C45" i="67"/>
  <c r="C46" i="67" s="1"/>
  <c r="C71" i="67"/>
  <c r="Q65" i="67"/>
  <c r="Q47" i="67"/>
  <c r="Q53" i="67" s="1"/>
  <c r="D2" i="67"/>
  <c r="Q56" i="67"/>
  <c r="C43" i="67"/>
  <c r="C83" i="67"/>
  <c r="C82" i="67" s="1"/>
  <c r="J13" i="15" l="1"/>
  <c r="J23" i="15" s="1"/>
  <c r="J16" i="15" s="1"/>
  <c r="J25" i="15" s="1"/>
  <c r="J26" i="15" s="1"/>
  <c r="J29" i="15" s="1"/>
  <c r="Q70" i="15"/>
  <c r="C56" i="15"/>
  <c r="C65" i="15" s="1"/>
  <c r="C58" i="15" s="1"/>
  <c r="C67" i="15" s="1"/>
  <c r="C68" i="15" s="1"/>
  <c r="C71" i="15" s="1"/>
  <c r="C49" i="68"/>
  <c r="C51" i="68" s="1"/>
  <c r="C52" i="68" s="1"/>
  <c r="B2" i="68" s="1"/>
  <c r="B3" i="68" s="1"/>
  <c r="C57" i="69"/>
  <c r="C56" i="69" s="1"/>
  <c r="C52" i="11"/>
  <c r="B2" i="11" s="1"/>
  <c r="B3" i="11" s="1"/>
  <c r="C30" i="15"/>
  <c r="C39" i="15" s="1"/>
  <c r="C80" i="15" s="1"/>
  <c r="C79" i="15" s="1"/>
  <c r="B3" i="67"/>
  <c r="B2" i="67"/>
  <c r="Q66" i="67"/>
  <c r="Q75" i="67" s="1"/>
  <c r="Q57" i="67"/>
  <c r="Q62" i="67" s="1"/>
  <c r="C56" i="11" l="1"/>
  <c r="C57" i="11" s="1"/>
  <c r="C40" i="15"/>
  <c r="Q69" i="15"/>
  <c r="Q68" i="15" s="1"/>
  <c r="C57" i="68"/>
  <c r="C56" i="68" s="1"/>
  <c r="L51" i="15"/>
  <c r="Q67" i="15" l="1"/>
  <c r="B2" i="15"/>
  <c r="Q47" i="15"/>
  <c r="Q53" i="15" s="1"/>
  <c r="C43" i="15"/>
  <c r="Q65" i="15"/>
  <c r="Q75" i="15" s="1"/>
  <c r="Q56" i="15"/>
  <c r="Q62" i="15" s="1"/>
  <c r="C83" i="15"/>
  <c r="C82" i="15" s="1"/>
  <c r="C46" i="15"/>
  <c r="F20" i="31"/>
  <c r="D19" i="9"/>
  <c r="AO6" i="1"/>
  <c r="B20" i="31" l="1"/>
  <c r="D102" i="9"/>
  <c r="D21" i="9"/>
  <c r="B6" i="70"/>
  <c r="B2" i="70" s="1"/>
  <c r="B3" i="70" s="1"/>
  <c r="B3" i="15"/>
  <c r="D20" i="9"/>
  <c r="C19" i="9"/>
  <c r="G20" i="9" l="1"/>
  <c r="D103" i="9"/>
  <c r="G19" i="9"/>
  <c r="C21" i="9"/>
  <c r="D22" i="9"/>
  <c r="C102" i="9"/>
  <c r="G21" i="9" l="1"/>
  <c r="B28" i="81"/>
  <c r="C32" i="9"/>
  <c r="E2" i="81" l="1"/>
  <c r="E4" i="81"/>
  <c r="E6" i="81"/>
  <c r="E8" i="81"/>
  <c r="E10" i="81"/>
  <c r="F10" i="81" s="1"/>
  <c r="E12" i="81"/>
  <c r="E14" i="81"/>
  <c r="E16" i="81"/>
  <c r="E18" i="81"/>
  <c r="F18" i="81" s="1"/>
  <c r="E20" i="81"/>
  <c r="E22" i="81"/>
  <c r="E24" i="81"/>
  <c r="E26" i="81"/>
  <c r="F26" i="81" s="1"/>
  <c r="E3" i="81"/>
  <c r="E5" i="81"/>
  <c r="F5" i="81" s="1"/>
  <c r="E7" i="81"/>
  <c r="E9" i="81"/>
  <c r="F9" i="81" s="1"/>
  <c r="E11" i="81"/>
  <c r="E13" i="81"/>
  <c r="F13" i="81" s="1"/>
  <c r="E15" i="81"/>
  <c r="E17" i="81"/>
  <c r="F17" i="81" s="1"/>
  <c r="E19" i="81"/>
  <c r="E21" i="81"/>
  <c r="E23" i="81"/>
  <c r="E25" i="81"/>
  <c r="F25" i="81" s="1"/>
  <c r="F4" i="81"/>
  <c r="F12" i="81"/>
  <c r="F20" i="81"/>
  <c r="F3" i="81"/>
  <c r="F7" i="81"/>
  <c r="F11" i="81"/>
  <c r="F15" i="81"/>
  <c r="F19" i="81"/>
  <c r="F23" i="81"/>
  <c r="F6" i="81"/>
  <c r="F14" i="81"/>
  <c r="F22" i="81"/>
  <c r="F21" i="81"/>
  <c r="F8" i="81"/>
  <c r="F16" i="81"/>
  <c r="F24" i="81"/>
  <c r="C35" i="9"/>
  <c r="F118" i="9" s="1"/>
  <c r="H118" i="9"/>
  <c r="E27" i="81" l="1"/>
  <c r="C34" i="9"/>
  <c r="D118" i="9" s="1"/>
  <c r="D4" i="52" s="1"/>
  <c r="B47" i="72" s="1"/>
  <c r="F4" i="52"/>
  <c r="B51" i="72" s="1"/>
  <c r="G118" i="9"/>
  <c r="G4" i="52" s="1"/>
  <c r="B52" i="72" s="1"/>
  <c r="F119" i="9"/>
  <c r="F5" i="52" s="1"/>
  <c r="B53" i="72" s="1"/>
  <c r="F2" i="81"/>
  <c r="H101" i="9"/>
  <c r="I118" i="9"/>
  <c r="H119" i="9"/>
  <c r="H5" i="52" s="1"/>
  <c r="H4" i="52"/>
  <c r="C104" i="9"/>
  <c r="D14" i="74"/>
  <c r="D119" i="9" l="1"/>
  <c r="D5" i="52" s="1"/>
  <c r="B49" i="72" s="1"/>
  <c r="D45" i="9"/>
  <c r="M48" i="9"/>
  <c r="H107" i="9"/>
  <c r="D5" i="53"/>
  <c r="E14" i="74"/>
  <c r="F14" i="74"/>
  <c r="B5" i="74"/>
  <c r="I4" i="52"/>
  <c r="C105" i="9"/>
  <c r="H102" i="9"/>
  <c r="D7" i="53" s="1"/>
  <c r="B21" i="72" s="1"/>
  <c r="E118" i="9"/>
  <c r="E4" i="52" s="1"/>
  <c r="B48" i="72" s="1"/>
  <c r="B20" i="72" l="1"/>
  <c r="D6" i="53"/>
  <c r="B22" i="72" s="1"/>
  <c r="D5" i="74"/>
  <c r="C5" i="74"/>
  <c r="D122" i="9"/>
  <c r="M49" i="9"/>
  <c r="D13" i="53"/>
  <c r="H108" i="9"/>
  <c r="D15" i="53" s="1"/>
  <c r="B31" i="72" s="1"/>
  <c r="C85" i="9"/>
  <c r="D53" i="9"/>
  <c r="D55" i="9"/>
  <c r="M53" i="9" s="1"/>
  <c r="D52" i="9"/>
  <c r="C78" i="9"/>
  <c r="C73" i="9" s="1"/>
  <c r="C72" i="9"/>
  <c r="C64" i="9"/>
  <c r="C63" i="9" s="1"/>
  <c r="C67" i="9" s="1"/>
  <c r="C68" i="9" s="1"/>
  <c r="D54" i="9" s="1"/>
  <c r="C93" i="9"/>
  <c r="C86" i="9" s="1"/>
  <c r="C79" i="9" l="1"/>
  <c r="C80" i="9" s="1"/>
  <c r="E80" i="9" s="1"/>
  <c r="E81" i="9" s="1"/>
  <c r="L65" i="9"/>
  <c r="M65" i="9" s="1"/>
  <c r="L68" i="9"/>
  <c r="M68" i="9" s="1"/>
  <c r="L67" i="9"/>
  <c r="M67" i="9" s="1"/>
  <c r="L64" i="9"/>
  <c r="M64" i="9" s="1"/>
  <c r="L63" i="9"/>
  <c r="M63" i="9" s="1"/>
  <c r="L66" i="9"/>
  <c r="M66" i="9" s="1"/>
  <c r="C95" i="9"/>
  <c r="D14" i="53"/>
  <c r="B32" i="72" s="1"/>
  <c r="B30" i="72"/>
  <c r="G14" i="74"/>
  <c r="B6" i="74" s="1"/>
  <c r="D8" i="52"/>
  <c r="D123" i="9"/>
  <c r="D9" i="52" s="1"/>
  <c r="C81" i="9" l="1"/>
  <c r="C6" i="74"/>
  <c r="D6" i="74"/>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<sst xmlns="http://schemas.openxmlformats.org/spreadsheetml/2006/main" count="7941" uniqueCount="3196">
  <si>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</si>
  <si>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</si>
  <si>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</si>
  <si>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</si>
  <si>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</si>
  <si>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</si>
  <si>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</si>
  <si>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</si>
  <si>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</si>
  <si>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</si>
  <si>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</si>
  <si>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</si>
  <si>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</si>
  <si>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</si>
  <si>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</si>
  <si>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</si>
  <si>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</si>
  <si>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</si>
  <si>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</si>
  <si>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</si>
  <si>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</si>
  <si>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</si>
  <si>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</si>
  <si>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</si>
  <si>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</si>
  <si>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</si>
  <si>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</si>
  <si>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</si>
  <si>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</si>
  <si>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</si>
  <si>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</si>
  <si>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</si>
  <si>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</si>
  <si>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</si>
  <si>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</si>
  <si>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</si>
  <si>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</si>
  <si>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</si>
  <si>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</si>
  <si>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</si>
  <si>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</si>
  <si>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</si>
  <si>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</si>
  <si>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</si>
  <si>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</si>
  <si>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</si>
  <si>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</si>
  <si>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</si>
  <si>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</si>
  <si>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</si>
  <si>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</si>
  <si>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</si>
  <si>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</si>
  <si>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</si>
  <si>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</si>
  <si>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</si>
  <si>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</si>
  <si>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</si>
  <si>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</si>
  <si>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</si>
  <si>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</si>
  <si>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</si>
  <si>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</si>
  <si>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</si>
  <si>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</si>
  <si>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</si>
  <si>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</si>
  <si>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</si>
  <si>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</si>
  <si>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</si>
  <si>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</si>
  <si>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</si>
  <si>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</si>
  <si>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</si>
  <si>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</si>
  <si>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</si>
  <si>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</si>
  <si>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</si>
  <si>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</si>
  <si>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</si>
  <si>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</si>
  <si>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</si>
  <si>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</si>
  <si>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</si>
  <si>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</si>
  <si>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</si>
  <si>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</si>
  <si>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</si>
  <si>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</si>
  <si>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</si>
  <si>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</si>
  <si>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</si>
  <si>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</si>
  <si>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</si>
  <si>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</si>
  <si>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</si>
  <si>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</si>
  <si>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</si>
  <si>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</si>
  <si>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</si>
  <si>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</si>
  <si>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</si>
  <si>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</si>
  <si>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</si>
  <si>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</si>
  <si>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</si>
  <si>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</si>
  <si>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</si>
  <si>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</si>
  <si>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</si>
  <si>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</si>
  <si>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</si>
  <si>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</si>
  <si>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</si>
  <si>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</si>
  <si>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</si>
  <si>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</si>
  <si>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</si>
  <si>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</si>
  <si>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</si>
  <si>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</si>
  <si>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</si>
  <si>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</si>
  <si>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</si>
  <si>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</si>
  <si>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</si>
  <si>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</si>
  <si>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</si>
  <si>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</si>
  <si>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</si>
  <si>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</si>
  <si>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</si>
  <si>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</si>
  <si>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</si>
  <si>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</si>
  <si>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</si>
  <si>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</si>
  <si>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</si>
  <si>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</si>
  <si>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</si>
  <si>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</si>
  <si>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</si>
  <si>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</si>
  <si>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</si>
  <si>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</si>
  <si>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</si>
  <si>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</si>
  <si>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</si>
  <si>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</si>
  <si>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</si>
  <si>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</si>
  <si>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</si>
  <si>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</si>
  <si>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</si>
  <si>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</si>
  <si>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</si>
  <si>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</si>
  <si>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</si>
  <si>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</si>
  <si>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</si>
  <si>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</si>
  <si>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</si>
  <si>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</si>
  <si>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</si>
  <si>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</si>
  <si>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</si>
  <si>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</si>
  <si>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</si>
  <si>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</si>
  <si>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</si>
  <si>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</si>
  <si>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</si>
  <si>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</si>
  <si>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</si>
  <si>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</si>
  <si>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</si>
  <si>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</si>
  <si>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</si>
  <si>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</si>
  <si>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</si>
  <si>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</si>
  <si>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</si>
  <si>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</si>
  <si>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</si>
  <si>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</si>
  <si>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</si>
  <si>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</si>
  <si>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</si>
  <si>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</si>
  <si>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</si>
  <si>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</si>
  <si>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</si>
  <si>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</si>
  <si>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</si>
  <si>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</si>
  <si>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</si>
  <si>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</si>
  <si>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</si>
  <si>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</si>
  <si>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</si>
  <si>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</si>
  <si>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</si>
  <si>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</si>
  <si>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</si>
  <si>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</si>
  <si>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</si>
  <si>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</si>
  <si>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</si>
  <si>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</si>
  <si>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</si>
  <si>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</si>
  <si>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</si>
  <si>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</si>
  <si>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</si>
  <si>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</si>
  <si>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</si>
  <si>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</si>
  <si>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</si>
  <si>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</si>
  <si>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</si>
  <si>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</si>
  <si>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</si>
  <si>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</si>
  <si>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</si>
  <si>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</si>
  <si>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</si>
  <si>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</si>
  <si>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</si>
  <si>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</si>
  <si>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</si>
  <si>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</si>
  <si>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</si>
  <si>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</si>
  <si>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</si>
  <si>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</si>
  <si>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</si>
  <si>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</si>
  <si>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</si>
  <si>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</si>
  <si>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</si>
  <si>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</si>
  <si>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</si>
  <si>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</si>
  <si>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</si>
  <si>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</si>
  <si>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</si>
  <si>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</si>
  <si>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</si>
  <si>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</si>
  <si>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</si>
  <si>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</si>
  <si>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</si>
  <si>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</si>
  <si>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</si>
  <si>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</si>
  <si>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</si>
  <si>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</si>
  <si>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</si>
  <si>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</si>
  <si>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</si>
  <si>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</si>
  <si>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</si>
  <si>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</si>
  <si>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</si>
  <si>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</si>
  <si>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</si>
  <si>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</si>
  <si>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</si>
  <si>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</si>
  <si>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</si>
  <si>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</si>
  <si>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</si>
  <si>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</si>
  <si>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</si>
  <si>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</si>
  <si>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</si>
  <si>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</si>
  <si>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</si>
  <si>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</si>
  <si>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</si>
  <si>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</si>
  <si>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</si>
  <si>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</si>
  <si>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</si>
  <si>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</si>
  <si>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</si>
  <si>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</si>
  <si>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</si>
  <si>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</si>
  <si>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</si>
  <si>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</si>
  <si>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</si>
  <si>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</si>
  <si>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</si>
  <si>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</si>
  <si>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</si>
  <si>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</si>
  <si>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</si>
  <si>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</si>
  <si>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</si>
  <si>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</si>
  <si>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</si>
  <si>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</si>
  <si>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</si>
  <si>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</si>
  <si>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</si>
  <si>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</si>
  <si>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</si>
  <si>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</si>
  <si>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</si>
  <si>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</si>
  <si>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</si>
  <si>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</si>
  <si>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</si>
  <si>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</si>
  <si>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</si>
  <si>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</si>
  <si>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</si>
  <si>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</si>
  <si>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</si>
  <si>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</si>
  <si>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</si>
  <si>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</si>
  <si>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</si>
  <si>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</si>
  <si>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</si>
  <si>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</si>
  <si>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</si>
  <si>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</si>
  <si>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</si>
  <si>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</si>
  <si>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</si>
  <si>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</si>
  <si>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</si>
  <si>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</si>
  <si>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</si>
  <si>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</si>
  <si>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</si>
  <si>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</si>
  <si>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</si>
  <si>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</si>
  <si>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</si>
  <si>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</si>
  <si>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</si>
  <si>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</si>
  <si>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</si>
  <si>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</si>
  <si>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</si>
  <si>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</si>
  <si>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</si>
  <si>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</si>
  <si>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</si>
  <si>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</si>
  <si>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</si>
  <si>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</si>
  <si>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</si>
  <si>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</si>
  <si>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</si>
  <si>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</si>
  <si>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</si>
  <si>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</si>
  <si>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</si>
  <si>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</si>
  <si>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</si>
  <si>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</si>
  <si>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</si>
  <si>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</si>
  <si>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</si>
  <si>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</si>
  <si>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</si>
  <si>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</si>
  <si>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</si>
  <si>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</si>
  <si>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</si>
  <si>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</si>
  <si>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</si>
  <si>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</si>
  <si>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</si>
  <si>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</si>
  <si>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</si>
  <si>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</si>
  <si>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</si>
  <si>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</si>
  <si>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</si>
  <si>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</si>
  <si>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</si>
  <si>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</si>
  <si>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</si>
  <si>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</si>
  <si>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</si>
  <si>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</si>
  <si>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</si>
  <si>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</si>
  <si>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</si>
  <si>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</si>
  <si>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</si>
  <si>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</si>
  <si>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</si>
  <si>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</si>
  <si>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</si>
  <si>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</si>
  <si>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</si>
  <si>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</si>
  <si>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</si>
  <si>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</si>
  <si>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</si>
  <si>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</si>
  <si>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</si>
  <si>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</si>
  <si>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</si>
  <si>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</si>
  <si>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</si>
  <si>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</si>
  <si>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</si>
  <si>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</si>
  <si>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</si>
  <si>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</si>
  <si>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</si>
  <si>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</si>
  <si>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</si>
  <si>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</si>
  <si>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</si>
  <si>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</si>
  <si>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</si>
  <si>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</si>
  <si>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</si>
  <si>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</si>
  <si>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</si>
  <si>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</si>
  <si>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</si>
  <si>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</si>
  <si>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</si>
  <si>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</si>
  <si>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</si>
  <si>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</si>
  <si>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</si>
  <si>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</si>
  <si>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</si>
  <si>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</si>
  <si>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</si>
  <si>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</si>
  <si>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</si>
  <si>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</si>
  <si>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</si>
  <si>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</si>
  <si>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</si>
  <si>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</si>
  <si>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</si>
  <si>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</si>
  <si>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</si>
  <si>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</si>
  <si>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</si>
  <si>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</si>
  <si>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</si>
  <si>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</si>
  <si>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</si>
  <si>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</si>
  <si>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</si>
  <si>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</si>
  <si>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</si>
  <si>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</si>
  <si>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</si>
  <si>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</si>
  <si>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</si>
  <si>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</si>
  <si>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</si>
  <si>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</si>
  <si>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</si>
  <si>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</si>
  <si>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</si>
  <si>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</si>
  <si>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</si>
  <si>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</si>
  <si>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</si>
  <si>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</si>
  <si>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</si>
  <si>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</si>
  <si>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</si>
  <si>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</si>
  <si>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</si>
  <si>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</si>
  <si>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</si>
  <si>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</si>
  <si>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</si>
  <si>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</si>
  <si>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</si>
  <si>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</si>
  <si>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</si>
  <si>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</si>
  <si>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</si>
  <si>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</si>
  <si>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</si>
  <si>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</si>
  <si>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</si>
  <si>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</si>
  <si>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</si>
  <si>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</si>
  <si>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</si>
  <si>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</si>
  <si>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</si>
  <si>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</si>
  <si>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</si>
  <si>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</si>
  <si>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</si>
  <si>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</si>
  <si>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</si>
  <si>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</si>
  <si>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</si>
  <si>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</si>
  <si>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</si>
  <si>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</si>
  <si>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</si>
  <si>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</si>
  <si>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</si>
  <si>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</si>
  <si>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</si>
  <si>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</si>
  <si>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</si>
  <si>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</si>
  <si>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</si>
  <si>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</si>
  <si>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</si>
  <si>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</si>
  <si>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</si>
  <si>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</si>
  <si>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</si>
  <si>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</si>
  <si>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</si>
  <si>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</si>
  <si>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</si>
  <si>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</si>
  <si>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</si>
  <si>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</si>
  <si>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</si>
  <si>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</si>
  <si>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</si>
  <si>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</si>
  <si>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</si>
  <si>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</si>
  <si>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</si>
  <si>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</si>
  <si>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</si>
  <si>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</si>
  <si>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</si>
  <si>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</si>
  <si>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</si>
  <si>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</si>
  <si>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</si>
  <si>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</si>
  <si>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</si>
  <si>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</si>
  <si>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</si>
  <si>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</si>
  <si>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</si>
  <si>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</si>
  <si>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</si>
  <si>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</si>
  <si>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</si>
  <si>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</si>
  <si>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</si>
  <si>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</si>
  <si>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</si>
  <si>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</si>
  <si>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</si>
  <si>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</si>
  <si>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</si>
  <si>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</si>
  <si>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</si>
  <si>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</si>
  <si>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</si>
  <si>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</si>
  <si>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</si>
  <si>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</si>
  <si>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</si>
  <si>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</si>
  <si>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</si>
  <si>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</si>
  <si>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</si>
  <si>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</si>
  <si>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</si>
  <si>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</si>
  <si>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</si>
  <si>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</si>
  <si>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</si>
  <si>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</si>
  <si>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</si>
  <si>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</si>
  <si>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</si>
  <si>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</si>
  <si>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</si>
  <si>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</si>
  <si>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</si>
  <si>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</si>
  <si>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</si>
  <si>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</si>
  <si>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</si>
  <si>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</si>
  <si>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</si>
  <si>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</si>
  <si>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</si>
  <si>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</si>
  <si>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</si>
  <si>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</si>
  <si>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</si>
  <si>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</si>
  <si>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</si>
  <si>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</si>
  <si>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</si>
  <si>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</si>
  <si>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</si>
  <si>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</si>
  <si>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</si>
  <si>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</si>
  <si>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</si>
  <si>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</si>
  <si>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</si>
  <si>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</si>
  <si>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</si>
  <si>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</si>
  <si>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</si>
  <si>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</si>
  <si>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</si>
  <si>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</si>
  <si>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</si>
  <si>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</si>
  <si>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</si>
  <si>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</si>
  <si>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</si>
  <si>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</si>
  <si>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</si>
  <si>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</si>
  <si>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</si>
  <si>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</si>
  <si>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</si>
  <si>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</si>
  <si>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</si>
  <si>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</si>
  <si>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</si>
  <si>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</si>
  <si>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</si>
  <si>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</si>
  <si>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</si>
  <si>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</si>
  <si>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</si>
  <si>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</si>
  <si>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</si>
  <si>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</si>
  <si>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</si>
  <si>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</si>
  <si>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</si>
  <si>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</si>
  <si>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</si>
  <si>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</si>
  <si>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</si>
  <si>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</si>
  <si>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</si>
  <si>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</si>
  <si>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</si>
  <si>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</si>
  <si>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</si>
  <si>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</si>
  <si>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</si>
  <si>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</si>
  <si>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</si>
  <si>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</si>
  <si>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</si>
  <si>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</si>
  <si>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</si>
  <si>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</si>
  <si>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</si>
  <si>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</si>
  <si>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</si>
  <si>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</si>
  <si>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</si>
  <si>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</si>
  <si>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</si>
  <si>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</si>
  <si>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</si>
  <si>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</si>
  <si>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</si>
  <si>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</si>
  <si>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</si>
  <si>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</si>
  <si>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</si>
  <si>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</si>
  <si>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</si>
  <si>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</si>
  <si>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</si>
  <si>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</si>
  <si>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</si>
  <si>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</si>
  <si>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</si>
  <si>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</si>
  <si>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</si>
  <si>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</si>
  <si>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</si>
  <si>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</si>
  <si>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</si>
  <si>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</si>
  <si>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</si>
  <si>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</si>
  <si>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</si>
  <si>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</si>
  <si>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</si>
  <si>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</si>
  <si>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</si>
  <si>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</si>
  <si>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</si>
  <si>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</si>
  <si>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</si>
  <si>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</si>
  <si>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</si>
  <si>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</si>
  <si>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</si>
  <si>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</si>
  <si>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</si>
  <si>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</si>
  <si>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</si>
  <si>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</si>
  <si>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</si>
  <si>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</si>
  <si>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</si>
  <si>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</si>
  <si>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</si>
  <si>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</si>
  <si>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</si>
  <si>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</si>
  <si>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</si>
  <si>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</si>
  <si>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</si>
  <si>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</si>
  <si>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</si>
  <si>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</si>
  <si>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</si>
  <si>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</si>
  <si>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</si>
  <si>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</si>
  <si>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</si>
  <si>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</si>
  <si>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</si>
  <si>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</si>
  <si>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</si>
  <si>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</si>
  <si>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</si>
  <si>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</si>
  <si>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</si>
  <si>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</si>
  <si>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</si>
  <si>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</si>
  <si>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</si>
  <si>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</si>
  <si>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</si>
  <si>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</si>
  <si>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</si>
  <si>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</si>
  <si>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</si>
  <si>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</si>
  <si>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</si>
  <si>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</si>
  <si>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</si>
  <si>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</si>
  <si>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</si>
  <si>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</si>
  <si>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</si>
  <si>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</si>
  <si>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</si>
  <si>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</si>
  <si>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</si>
  <si>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</si>
  <si>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</si>
  <si>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</si>
  <si>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</si>
  <si>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</si>
  <si>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</si>
  <si>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</si>
  <si>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</si>
  <si>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</si>
  <si>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</si>
  <si>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</si>
  <si>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</si>
  <si>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</si>
  <si>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</si>
  <si>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</si>
  <si>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</si>
  <si>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</si>
  <si>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</si>
  <si>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</si>
  <si>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</si>
  <si>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</si>
  <si>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</si>
  <si>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</si>
  <si>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</si>
  <si>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</si>
  <si>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</si>
  <si>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</si>
  <si>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</si>
  <si>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</si>
  <si>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</si>
  <si>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</si>
  <si>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</si>
  <si>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</si>
  <si>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</si>
  <si>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</si>
  <si>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</si>
  <si>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</si>
  <si>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</si>
  <si>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</si>
  <si>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</si>
  <si>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</si>
  <si>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</si>
  <si>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</si>
  <si>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</si>
  <si>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</si>
  <si>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</si>
  <si>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</si>
  <si>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</si>
  <si>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</si>
  <si>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</si>
  <si>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</si>
  <si>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</si>
  <si>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</si>
  <si>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</si>
  <si>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</si>
  <si>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</si>
  <si>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</si>
  <si>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</si>
  <si>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</si>
  <si>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</si>
  <si>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</si>
  <si>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</si>
  <si>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</si>
  <si>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</si>
  <si>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</si>
  <si>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</si>
  <si>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</si>
  <si>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</si>
  <si>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</si>
  <si>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</si>
  <si>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</si>
  <si>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</si>
  <si>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</si>
  <si>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</si>
  <si>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</si>
  <si>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</si>
  <si>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</si>
  <si>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</si>
  <si>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</si>
  <si>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</si>
  <si>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</si>
  <si>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</si>
  <si>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</si>
  <si>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</si>
  <si>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</si>
  <si>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</si>
  <si>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</si>
  <si>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</si>
  <si>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</si>
  <si>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</si>
  <si>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</si>
  <si>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</si>
  <si>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</si>
  <si>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</si>
  <si>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</si>
  <si>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</si>
  <si>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</si>
  <si>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</si>
  <si>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</si>
  <si>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</si>
  <si>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</si>
  <si>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</si>
  <si>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</si>
  <si>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</si>
  <si>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</si>
  <si>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</si>
  <si>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</si>
  <si>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</si>
  <si>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</si>
  <si>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</si>
  <si>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</si>
  <si>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</si>
  <si>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</si>
  <si>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</si>
  <si>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</si>
  <si>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</si>
  <si>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</si>
  <si>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</si>
  <si>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</si>
  <si>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</si>
  <si>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</si>
  <si>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</si>
  <si>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</si>
  <si>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</si>
  <si>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</si>
  <si>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</si>
  <si>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</si>
  <si>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</si>
  <si>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</si>
  <si>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</si>
  <si>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</si>
  <si>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</si>
  <si>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</si>
  <si>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</si>
  <si>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</si>
  <si>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</si>
  <si>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</si>
  <si>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</si>
  <si>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</si>
  <si>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</si>
  <si>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</si>
  <si>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</si>
  <si>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</si>
  <si>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</si>
  <si>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</si>
  <si>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</si>
  <si>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</si>
  <si>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</si>
  <si>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</si>
  <si>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</si>
  <si>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</si>
  <si>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</si>
  <si>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</si>
  <si>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</si>
  <si>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</si>
  <si>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</si>
  <si>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</si>
  <si>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</si>
  <si>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</si>
  <si>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</si>
  <si>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</si>
  <si>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</si>
  <si>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</si>
  <si>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</si>
  <si>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</si>
  <si>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</si>
  <si>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</si>
  <si>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</si>
  <si>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</si>
  <si>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</si>
  <si>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</si>
  <si>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</si>
  <si>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</si>
  <si>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</si>
  <si>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</si>
  <si>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</si>
  <si>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</si>
  <si>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</si>
  <si>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</si>
  <si>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</si>
  <si>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</si>
  <si>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</si>
  <si>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</si>
  <si>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</si>
  <si>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</si>
  <si>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</si>
  <si>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</si>
  <si>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</si>
  <si>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</si>
  <si>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</si>
  <si>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</si>
  <si>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</si>
  <si>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</si>
  <si>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</si>
  <si>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</si>
  <si>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</si>
  <si>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</si>
  <si>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</si>
  <si>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</si>
  <si>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</si>
  <si>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</si>
  <si>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</si>
  <si>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</si>
  <si>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</si>
  <si>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</si>
  <si>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</si>
  <si>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</si>
  <si>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</si>
  <si>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</si>
  <si>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</si>
  <si>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</si>
  <si>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</si>
  <si>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</si>
  <si>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</si>
  <si>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</si>
  <si>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</si>
  <si>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</si>
  <si>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</si>
  <si>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</si>
  <si>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</si>
  <si>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</si>
  <si>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</si>
  <si>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</si>
  <si>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</si>
  <si>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</si>
  <si>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</si>
  <si>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</si>
  <si>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</si>
  <si>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</si>
  <si>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</si>
  <si>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</si>
  <si>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</si>
  <si>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</si>
  <si>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</si>
  <si>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</si>
  <si>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</si>
  <si>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</si>
  <si>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</si>
  <si>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</si>
  <si>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</si>
  <si>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</si>
  <si>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</si>
  <si>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</si>
  <si>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</si>
  <si>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</si>
  <si>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</si>
  <si>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</si>
  <si>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</si>
  <si>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</si>
  <si>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</si>
  <si>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</si>
  <si>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</si>
  <si>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</si>
  <si>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</si>
  <si>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</si>
  <si>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</si>
  <si>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</si>
  <si>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</si>
  <si>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</si>
  <si>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</si>
  <si>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</si>
  <si>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</si>
  <si>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</si>
  <si>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</si>
  <si>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</si>
  <si>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</si>
  <si>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</si>
  <si>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</si>
  <si>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</si>
  <si>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</si>
  <si>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</si>
  <si>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</si>
  <si>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</si>
  <si>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</si>
  <si>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</si>
  <si>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</si>
  <si>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</si>
  <si>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</si>
  <si>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</si>
  <si>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</si>
  <si>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</si>
  <si>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</si>
  <si>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</si>
  <si>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</si>
  <si>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</si>
  <si>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</si>
  <si>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</si>
  <si>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</si>
  <si>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</si>
  <si>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</si>
  <si>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</si>
  <si>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</si>
  <si>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</si>
  <si>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</si>
  <si>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</si>
  <si>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</si>
  <si>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</si>
  <si>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</si>
  <si>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</si>
  <si>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</si>
  <si>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</si>
  <si>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</si>
  <si>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</si>
  <si>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</si>
  <si>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</si>
  <si>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</si>
  <si>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</si>
  <si>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</si>
  <si>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</si>
  <si>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</si>
  <si>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</si>
  <si>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</si>
  <si>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</si>
  <si>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</si>
  <si>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</si>
  <si>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</si>
  <si>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</si>
  <si>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</si>
  <si>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</si>
  <si>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</si>
  <si>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</si>
  <si>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</si>
  <si>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</si>
  <si>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</si>
  <si>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</si>
  <si>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</si>
  <si>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</si>
  <si>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</si>
  <si>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</si>
  <si>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</si>
  <si>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</si>
  <si>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</si>
  <si>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</si>
  <si>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</si>
  <si>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</si>
  <si>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</si>
  <si>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</si>
  <si>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</si>
  <si>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</si>
  <si>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</si>
  <si>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</si>
  <si>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</si>
  <si>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</si>
  <si>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</si>
  <si>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</si>
  <si>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</si>
  <si>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</si>
  <si>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</si>
  <si>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</si>
  <si>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</si>
  <si>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</si>
  <si>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</si>
  <si>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</si>
  <si>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</si>
  <si>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</si>
  <si>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</si>
  <si>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</si>
  <si>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</si>
  <si>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</si>
  <si>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</si>
  <si>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</si>
  <si>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</si>
  <si>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</si>
  <si>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</si>
  <si>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</si>
  <si>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</si>
  <si>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</si>
  <si>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</si>
  <si>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</si>
  <si>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</si>
  <si>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</si>
  <si>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</si>
  <si>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</si>
  <si>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</si>
  <si>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</si>
  <si>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</si>
  <si>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</si>
  <si>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</si>
  <si>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</si>
  <si>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</si>
  <si>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</si>
  <si>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</si>
  <si>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</si>
  <si>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</si>
  <si>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</si>
  <si>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</si>
  <si>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</si>
  <si>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</si>
  <si>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</si>
  <si>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</si>
  <si>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</si>
  <si>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</si>
  <si>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</si>
  <si>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</si>
  <si>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</si>
  <si>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</si>
  <si>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</si>
  <si>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</si>
  <si>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</si>
  <si>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</si>
  <si>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</si>
  <si>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</si>
  <si>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</si>
  <si>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</si>
  <si>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</si>
  <si>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</si>
  <si>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</si>
  <si>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</si>
  <si>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</si>
  <si>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</si>
  <si>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</si>
  <si>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</si>
  <si>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</si>
  <si>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</si>
  <si>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</si>
  <si>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</si>
  <si>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</si>
  <si>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</si>
  <si>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</si>
  <si>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</si>
  <si>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</si>
  <si>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</si>
  <si>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</si>
  <si>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</si>
  <si>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</si>
  <si>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</si>
  <si>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</si>
  <si>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</si>
  <si>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</si>
  <si>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</si>
  <si>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</si>
  <si>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</si>
  <si>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</si>
  <si>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</si>
  <si>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</si>
  <si>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</si>
  <si>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</si>
  <si>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</si>
  <si>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</si>
  <si>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</si>
  <si>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</si>
  <si>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</si>
  <si>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</si>
  <si>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</si>
  <si>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</si>
  <si>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</si>
  <si>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</si>
  <si>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</si>
  <si>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</si>
  <si>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</si>
  <si>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</si>
  <si>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</si>
  <si>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</si>
  <si>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</si>
  <si>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</si>
  <si>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</si>
  <si>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</si>
  <si>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</si>
  <si>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</si>
  <si>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</si>
  <si>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</si>
  <si>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</si>
  <si>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</si>
  <si>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</si>
  <si>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</si>
  <si>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</si>
  <si>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</si>
  <si>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</si>
  <si>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</si>
  <si>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</si>
  <si>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</si>
  <si>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</si>
  <si>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</si>
  <si>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</si>
  <si>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</si>
  <si>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</si>
  <si>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</si>
  <si>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</si>
  <si>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</si>
  <si>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</si>
  <si>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</si>
  <si>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</si>
  <si>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</si>
  <si>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</si>
  <si>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</si>
  <si>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</si>
  <si>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</si>
  <si>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</si>
  <si>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</si>
  <si>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</si>
  <si>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</si>
  <si>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</si>
  <si>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</si>
  <si>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</si>
  <si>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</si>
  <si>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</si>
  <si>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</si>
  <si>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</si>
  <si>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</si>
  <si>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</si>
  <si>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</si>
  <si>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</si>
  <si>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</si>
  <si>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</si>
  <si>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</si>
  <si>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</si>
  <si>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</si>
  <si>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</si>
  <si>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</si>
  <si>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</si>
  <si>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</si>
  <si>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</si>
  <si>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</si>
  <si>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</si>
  <si>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</si>
  <si>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</si>
  <si>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</si>
  <si>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</si>
  <si>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</si>
  <si>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</si>
  <si>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</si>
  <si>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</si>
  <si>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</si>
  <si>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</si>
  <si>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</si>
  <si>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</si>
  <si>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</si>
  <si>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</si>
  <si>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</si>
  <si>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</si>
  <si>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</si>
  <si>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</si>
  <si>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</si>
  <si>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</si>
  <si>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</si>
  <si>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</si>
  <si>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</si>
  <si>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</si>
  <si>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</si>
  <si>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</si>
  <si>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</si>
  <si>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</si>
  <si>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</si>
  <si>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</si>
  <si>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</si>
  <si>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</si>
  <si>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</si>
  <si>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</si>
  <si>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</si>
  <si>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</si>
  <si>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</si>
  <si>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</si>
  <si>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</si>
  <si>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</si>
  <si>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</si>
  <si>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</si>
  <si>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</si>
  <si>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</si>
  <si>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</si>
  <si>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</si>
  <si>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</si>
  <si>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</si>
  <si>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</si>
  <si>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</si>
  <si>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</si>
  <si>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</si>
  <si>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</si>
  <si>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</si>
  <si>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</si>
  <si>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</si>
  <si>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</si>
  <si>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</si>
  <si>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</si>
  <si>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</si>
  <si>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</si>
  <si>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</si>
  <si>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</si>
  <si>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</si>
  <si>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</si>
  <si>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</si>
  <si>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</si>
  <si>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</si>
  <si>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</si>
  <si>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</si>
  <si>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</si>
  <si>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</si>
  <si>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</si>
  <si>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</si>
  <si>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</si>
  <si>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</si>
  <si>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</si>
  <si>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</si>
  <si>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</si>
  <si>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</si>
  <si>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</si>
  <si>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</si>
  <si>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</si>
  <si>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</si>
  <si>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</si>
  <si>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</si>
  <si>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</si>
  <si>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</si>
  <si>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</si>
  <si>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</si>
  <si>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</si>
  <si>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</si>
  <si>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</si>
  <si>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</si>
  <si>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</si>
  <si>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</si>
  <si>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</si>
  <si>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</si>
  <si>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</si>
  <si>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</si>
  <si>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</si>
  <si>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</si>
  <si>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</si>
  <si>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</si>
  <si>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</si>
  <si>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</si>
  <si>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</si>
  <si>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</si>
  <si>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</si>
  <si>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</si>
  <si>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</si>
  <si>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</si>
  <si>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</si>
  <si>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</si>
  <si>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</si>
  <si>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</si>
  <si>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</si>
  <si>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</si>
  <si>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</si>
  <si>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</si>
  <si>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</si>
  <si>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</si>
  <si>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</si>
  <si>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</si>
  <si>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</si>
  <si>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</si>
  <si>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</si>
  <si>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</si>
  <si>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</si>
  <si>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</si>
  <si>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</si>
  <si>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</si>
  <si>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</si>
  <si>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</si>
  <si>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</si>
  <si>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</si>
  <si>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</si>
  <si>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</si>
  <si>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</si>
  <si>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</si>
  <si>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</si>
  <si>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</si>
  <si>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</si>
  <si>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</si>
  <si>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</si>
  <si>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</si>
  <si>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</si>
  <si>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</si>
  <si>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</si>
  <si>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</si>
  <si>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</si>
  <si>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</si>
  <si>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</si>
  <si>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</si>
  <si>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</si>
  <si>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</si>
  <si>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</si>
  <si>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</si>
  <si>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</si>
  <si>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</si>
  <si>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</si>
  <si>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</si>
  <si>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</si>
  <si>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</si>
  <si>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</si>
  <si>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</si>
  <si>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</si>
  <si>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</si>
  <si>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</si>
  <si>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</si>
  <si>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</si>
  <si>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</si>
  <si>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</si>
  <si>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</si>
  <si>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</si>
  <si>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</si>
  <si>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</si>
  <si>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</si>
  <si>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</si>
  <si>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</si>
  <si>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</si>
  <si>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</si>
  <si>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</si>
  <si>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</si>
  <si>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</si>
  <si>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</si>
  <si>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</si>
  <si>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</si>
  <si>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</si>
  <si>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</si>
  <si>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</si>
  <si>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</si>
  <si>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</si>
  <si>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</si>
  <si>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</si>
  <si>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</si>
  <si>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</si>
  <si>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</si>
  <si>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</si>
  <si>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</si>
  <si>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</si>
  <si>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</si>
  <si>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</si>
  <si>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</si>
  <si>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</si>
  <si>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</si>
  <si>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</si>
  <si>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</si>
  <si>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</si>
  <si>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</si>
  <si>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</si>
  <si>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</si>
  <si>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</si>
  <si>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</si>
  <si>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</si>
  <si>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</si>
  <si>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</si>
  <si>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</si>
  <si>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</si>
  <si>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</si>
  <si>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</si>
  <si>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</si>
  <si>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</si>
  <si>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</si>
  <si>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</si>
  <si>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</si>
  <si>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</si>
  <si>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</si>
  <si>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</si>
  <si>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</si>
  <si>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</si>
  <si>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</si>
  <si>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</si>
  <si>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</si>
  <si>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</si>
  <si>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</si>
  <si>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</si>
  <si>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</si>
  <si>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</si>
  <si>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</si>
  <si>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</si>
  <si>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</si>
  <si>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</si>
  <si>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</si>
  <si>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</si>
  <si>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</si>
  <si>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</si>
  <si>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</si>
  <si>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</si>
  <si>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</si>
  <si>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</si>
  <si>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</si>
  <si>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</si>
  <si>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</si>
  <si>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</si>
  <si>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</si>
  <si>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</si>
  <si>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</si>
  <si>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</si>
  <si>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</si>
  <si>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</si>
  <si>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</si>
  <si>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</si>
  <si>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</si>
  <si>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</si>
  <si>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</si>
  <si>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</si>
  <si>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</si>
  <si>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</si>
  <si>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</si>
  <si>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</si>
  <si>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</si>
  <si>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</si>
  <si>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</si>
  <si>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</si>
  <si>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</si>
  <si>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</si>
  <si>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</si>
  <si>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</si>
  <si>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</si>
  <si>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</si>
  <si>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</si>
  <si>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</si>
  <si>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</si>
  <si>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</si>
  <si>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</si>
  <si>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</si>
  <si>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</si>
  <si>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</si>
  <si>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</si>
  <si>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</si>
  <si>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</si>
  <si>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</si>
  <si>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</si>
  <si>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</si>
  <si>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</si>
  <si>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</si>
  <si>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</si>
  <si>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</si>
  <si>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</si>
  <si>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</si>
  <si>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</si>
  <si>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</si>
  <si>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</si>
  <si>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</si>
  <si>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</si>
  <si>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</si>
  <si>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</si>
  <si>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</si>
  <si>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</si>
  <si>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</si>
  <si>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</si>
  <si>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</si>
  <si>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</si>
  <si>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</si>
  <si>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</si>
  <si>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</si>
  <si>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</si>
  <si>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</si>
  <si>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</si>
  <si>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</si>
  <si>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</si>
  <si>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</si>
  <si>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</si>
  <si>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</si>
  <si>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</si>
  <si>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</si>
  <si>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</si>
  <si>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</si>
  <si>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</si>
  <si>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</si>
  <si>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</si>
  <si>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</si>
  <si>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</si>
  <si>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</si>
  <si>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</si>
  <si>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</si>
  <si>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</si>
  <si>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</si>
  <si>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</si>
  <si>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</si>
  <si>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</si>
  <si>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</si>
  <si>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</si>
  <si>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</si>
  <si>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</si>
  <si>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</si>
  <si>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</si>
  <si>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</si>
  <si>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</si>
  <si>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</si>
  <si>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</si>
  <si>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</si>
  <si>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</si>
  <si>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</si>
  <si>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</si>
  <si>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</si>
  <si>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</si>
  <si>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</si>
  <si>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</si>
  <si>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</si>
  <si>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</si>
  <si>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</si>
  <si>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</si>
  <si>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</si>
  <si>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</si>
  <si>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</si>
  <si>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</si>
  <si>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</si>
  <si>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</si>
  <si>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</si>
  <si>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</si>
  <si>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</si>
  <si>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</si>
  <si>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</si>
  <si>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</si>
  <si>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</si>
  <si>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</si>
  <si>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</si>
  <si>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</si>
  <si>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</si>
  <si>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</si>
  <si>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</si>
  <si>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</si>
  <si>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</si>
  <si>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</si>
  <si>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</si>
  <si>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</si>
  <si>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</si>
  <si>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</si>
  <si>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</si>
  <si>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</si>
  <si>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</si>
  <si>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</si>
  <si>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</si>
  <si>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</si>
  <si>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</si>
  <si>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</si>
  <si>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</si>
  <si>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</si>
  <si>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</si>
  <si>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</si>
  <si>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</si>
  <si>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</si>
  <si>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</si>
  <si>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</si>
  <si>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</si>
  <si>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</si>
  <si>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</si>
  <si>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</si>
  <si>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</si>
  <si>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</si>
  <si>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</si>
  <si>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</si>
  <si>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</si>
  <si>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</si>
  <si>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</si>
  <si>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</si>
  <si>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</si>
  <si>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</si>
  <si>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</si>
  <si>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</si>
  <si>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</si>
  <si>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</si>
  <si>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</si>
  <si>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</si>
  <si>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</si>
  <si>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</si>
  <si>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</si>
  <si>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</si>
  <si>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</si>
  <si>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</si>
  <si>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</si>
  <si>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</si>
  <si>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</si>
  <si>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</si>
  <si>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</si>
  <si>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</si>
  <si>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</si>
  <si>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</si>
  <si>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</si>
  <si>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</si>
  <si>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</si>
  <si>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</si>
  <si>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</si>
  <si>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</si>
  <si>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</si>
  <si>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</si>
  <si>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</si>
  <si>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</si>
  <si>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</si>
  <si>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</si>
  <si>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</si>
  <si>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</si>
  <si>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</si>
  <si>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</si>
  <si>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</si>
  <si>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</si>
  <si>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</si>
  <si>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</si>
  <si>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</si>
  <si>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</si>
  <si>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</si>
  <si>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</si>
  <si>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</si>
  <si>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</si>
  <si>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</si>
  <si>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</si>
  <si>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</si>
  <si>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</si>
  <si>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</si>
  <si>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</si>
  <si>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</si>
  <si>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</si>
  <si>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</si>
  <si>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</si>
  <si>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</si>
  <si>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</si>
  <si>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</si>
  <si>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</si>
  <si>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</si>
  <si>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</si>
  <si>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</si>
  <si>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</si>
  <si>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</si>
  <si>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</si>
  <si>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</si>
  <si>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</si>
  <si>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</si>
  <si>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</si>
  <si>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</si>
  <si>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</si>
  <si>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</si>
  <si>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</si>
  <si>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</si>
  <si>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</si>
  <si>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</si>
  <si>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</si>
  <si>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</si>
  <si>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</si>
  <si>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</si>
  <si>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</si>
  <si>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</si>
  <si>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</si>
  <si>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</si>
  <si>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</si>
  <si>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</si>
  <si>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</si>
  <si>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</si>
  <si>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</si>
  <si>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</si>
  <si>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</si>
  <si>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</si>
  <si>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</si>
  <si>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</si>
  <si>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</si>
  <si>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</si>
  <si>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</si>
  <si>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</si>
  <si>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</si>
  <si>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</si>
  <si>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</si>
  <si>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</si>
  <si>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</si>
  <si>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</si>
  <si>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</si>
  <si>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</si>
  <si>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</si>
  <si>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</si>
  <si>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</si>
  <si>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</si>
  <si>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</si>
  <si>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</si>
  <si>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</si>
  <si>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</si>
  <si>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</si>
  <si>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</si>
  <si>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</si>
  <si>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</si>
  <si>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</si>
  <si>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</si>
  <si>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</si>
  <si>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</si>
  <si>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</si>
  <si>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</si>
  <si>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</si>
  <si>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</si>
  <si>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</si>
  <si>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</si>
  <si>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</si>
  <si>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</si>
  <si>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</si>
  <si>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</si>
  <si>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</si>
  <si>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</si>
  <si>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</si>
  <si>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</si>
  <si>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</si>
  <si>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</si>
  <si>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</si>
  <si>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</si>
  <si>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</si>
  <si>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</si>
  <si>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</si>
  <si>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</si>
  <si>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</si>
  <si>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</si>
  <si>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</si>
  <si>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</si>
  <si>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</si>
  <si>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</si>
  <si>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</si>
  <si>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</si>
  <si>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</si>
  <si>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</si>
  <si>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</si>
  <si>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</si>
  <si>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</si>
  <si>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</si>
  <si>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</si>
  <si>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</si>
  <si>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</si>
  <si>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</si>
  <si>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</si>
  <si>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</si>
  <si>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</si>
  <si>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</si>
  <si>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</si>
  <si>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</si>
  <si>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</si>
  <si>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</si>
  <si>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</si>
  <si>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</si>
  <si>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</si>
  <si>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</si>
  <si>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</si>
  <si>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</si>
  <si>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</si>
  <si>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</si>
  <si>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</si>
  <si>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</si>
  <si>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</si>
  <si>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</si>
  <si>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</si>
  <si>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</si>
  <si>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</si>
  <si>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</si>
  <si>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</si>
  <si>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</si>
  <si>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</si>
  <si>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</si>
  <si>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</si>
  <si>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</si>
  <si>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</si>
  <si>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</si>
  <si>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</si>
  <si>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</si>
  <si>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</si>
  <si>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</si>
  <si>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</si>
  <si>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</si>
  <si>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</si>
  <si>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</si>
  <si>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</si>
  <si>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</si>
  <si>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</si>
  <si>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</si>
  <si>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</si>
  <si>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</si>
  <si>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</si>
  <si>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</si>
  <si>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</si>
  <si>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</si>
  <si>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</si>
  <si>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</si>
  <si>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</si>
  <si>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</si>
  <si>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</si>
  <si>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</si>
  <si>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</si>
  <si>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</si>
  <si>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</si>
  <si>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</si>
  <si>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</si>
  <si>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</si>
  <si>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</si>
  <si>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</si>
  <si>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</si>
  <si>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</si>
  <si>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</si>
  <si>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</si>
  <si>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</si>
  <si>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</si>
  <si>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</si>
  <si>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</si>
  <si>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</si>
  <si>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</si>
  <si>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</si>
  <si>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</si>
  <si>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</si>
  <si>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</si>
  <si>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</si>
  <si>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</si>
  <si>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</si>
  <si>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</si>
  <si>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</si>
  <si>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</si>
  <si>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</si>
  <si>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</si>
  <si>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</si>
  <si>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</si>
  <si>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</si>
  <si>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</si>
  <si>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</si>
  <si>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</si>
  <si>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</si>
  <si>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</si>
  <si>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</si>
  <si>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</si>
  <si>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</si>
  <si>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</si>
  <si>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</si>
  <si>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</si>
  <si>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</si>
  <si>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</si>
  <si>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</si>
  <si>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</si>
  <si>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</si>
  <si>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</si>
  <si>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</si>
  <si>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</si>
  <si>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</si>
  <si>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</si>
  <si>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</si>
  <si>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</si>
  <si>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</si>
  <si>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</si>
  <si>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</si>
  <si>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</si>
  <si>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</si>
  <si>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</si>
  <si>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</si>
  <si>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</si>
  <si>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</si>
  <si>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</si>
  <si>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</si>
  <si>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</si>
  <si>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</si>
  <si>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</si>
  <si>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</si>
  <si>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</si>
  <si>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</si>
  <si>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</si>
  <si>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</si>
  <si>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</si>
  <si>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</si>
  <si>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</si>
  <si>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</si>
  <si>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</si>
  <si>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</si>
  <si>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</si>
  <si>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</si>
  <si>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</si>
  <si>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</si>
  <si>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</si>
  <si>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</si>
  <si>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</si>
  <si>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</si>
  <si>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</si>
  <si>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</si>
  <si>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</si>
  <si>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</si>
  <si>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</si>
  <si>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</si>
  <si>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</si>
  <si>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</si>
  <si>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</si>
  <si>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</si>
  <si>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</si>
  <si>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</si>
  <si>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</si>
  <si>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</si>
  <si>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</si>
  <si>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</si>
  <si>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</si>
  <si>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</si>
  <si>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</si>
  <si>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</si>
  <si>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</si>
  <si>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</si>
  <si>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</si>
  <si>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</si>
  <si>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</si>
  <si>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</si>
  <si>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</si>
  <si>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</si>
  <si>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</si>
  <si>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</si>
  <si>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</si>
  <si>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</si>
  <si>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</si>
  <si>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</si>
  <si>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</si>
  <si>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</si>
  <si>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</si>
  <si>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</si>
  <si>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</si>
  <si>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</si>
  <si>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</si>
  <si>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</si>
  <si>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</si>
  <si>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</si>
  <si>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</si>
  <si>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</si>
  <si>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</si>
  <si>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</si>
  <si>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</si>
  <si>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</si>
  <si>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</si>
  <si>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</si>
  <si>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</si>
  <si>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</si>
  <si>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</si>
  <si>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</si>
  <si>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</si>
  <si>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</si>
  <si>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</si>
  <si>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</si>
  <si>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</si>
  <si>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</si>
  <si>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</si>
  <si>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</si>
  <si>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</si>
  <si>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</si>
  <si>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</si>
  <si>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</si>
  <si>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</si>
  <si>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</si>
  <si>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</si>
  <si>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</si>
  <si>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</si>
  <si>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</si>
  <si>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</si>
  <si>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</si>
  <si>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</si>
  <si>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</si>
  <si>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</si>
  <si>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</si>
  <si>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</si>
  <si>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</si>
  <si>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</si>
  <si>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</si>
  <si>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</si>
  <si>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</si>
  <si>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</si>
  <si>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</si>
  <si>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</si>
  <si>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</si>
  <si>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</si>
  <si>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</si>
  <si>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</si>
  <si>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</si>
  <si>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</si>
  <si>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</si>
  <si>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</si>
  <si>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</si>
  <si>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</si>
  <si>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</si>
  <si>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</si>
  <si>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</si>
  <si>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</si>
  <si>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</si>
  <si>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</si>
  <si>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</si>
  <si>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</si>
  <si>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</si>
  <si>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</si>
  <si>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</si>
  <si>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</si>
  <si>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</si>
  <si>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</si>
  <si>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</si>
  <si>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</si>
  <si>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</si>
  <si>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</si>
  <si>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</si>
  <si>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</si>
  <si>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</si>
  <si>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</si>
  <si>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</si>
  <si>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</si>
  <si>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</si>
  <si>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</si>
  <si>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</si>
  <si>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</si>
  <si>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</si>
  <si>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</si>
  <si>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</si>
  <si>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</si>
  <si>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</si>
  <si>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</si>
  <si>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</si>
  <si>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</si>
  <si>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</si>
  <si>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</si>
  <si>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</si>
  <si>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</si>
  <si>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</si>
  <si>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</si>
  <si>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</si>
  <si>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</si>
  <si>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</si>
  <si>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</si>
  <si>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</si>
  <si>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</si>
  <si>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</si>
  <si>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</si>
  <si>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</si>
  <si>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</si>
  <si>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</si>
  <si>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</si>
  <si>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</si>
  <si>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</si>
  <si>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</si>
  <si>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</si>
  <si>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</si>
  <si>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</si>
  <si>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</si>
  <si>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</si>
  <si>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</si>
  <si>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</si>
  <si>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</si>
  <si>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</si>
  <si>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</si>
  <si>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</si>
  <si>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</si>
  <si>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</si>
  <si>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</si>
  <si>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</si>
  <si>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</si>
  <si>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</si>
  <si>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</si>
  <si>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</si>
  <si>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</si>
  <si>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</si>
  <si>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</si>
  <si>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</si>
  <si>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</si>
  <si>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</si>
  <si>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</si>
  <si>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</si>
  <si>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</si>
  <si>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</si>
  <si>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</si>
  <si>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</si>
  <si>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</si>
  <si>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</si>
  <si>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</si>
  <si>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</si>
  <si>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</si>
  <si>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</si>
  <si>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</si>
  <si>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</si>
  <si>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</si>
  <si>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</si>
  <si>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</si>
  <si>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</si>
  <si>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</si>
  <si>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</si>
  <si>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</si>
  <si>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</si>
  <si>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</si>
  <si>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</si>
  <si>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</si>
  <si>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</si>
  <si>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</si>
  <si>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</si>
  <si>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</si>
  <si>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</si>
  <si>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</si>
  <si>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</si>
  <si>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</si>
  <si>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</si>
  <si>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</si>
  <si>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</si>
  <si>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</si>
  <si>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</si>
  <si>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</si>
  <si>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</si>
  <si>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</si>
  <si>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</si>
  <si>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</si>
  <si>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</si>
  <si>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</si>
  <si>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</si>
  <si>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</si>
  <si>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</si>
  <si>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</si>
  <si>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</si>
  <si>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</si>
  <si>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</si>
  <si>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</si>
  <si>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</si>
  <si>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</si>
  <si>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</si>
  <si>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</si>
  <si>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</si>
  <si>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</si>
  <si>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</si>
  <si>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</si>
  <si>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</si>
  <si>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</si>
  <si>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</si>
  <si>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</si>
  <si>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</si>
  <si>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</si>
  <si>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</si>
  <si>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</si>
  <si>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</si>
  <si>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</si>
  <si>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</si>
  <si>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</si>
  <si>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</si>
  <si>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</si>
  <si>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</si>
  <si>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</si>
  <si>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</si>
  <si>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</si>
  <si>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</si>
  <si>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</si>
  <si>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</si>
  <si>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</si>
  <si>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</si>
  <si>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</si>
  <si>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</si>
  <si>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</si>
  <si>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</si>
  <si>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</si>
  <si>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</si>
  <si>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</si>
  <si>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</si>
  <si>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</si>
  <si>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</si>
  <si>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</si>
  <si>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</si>
  <si>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</si>
  <si>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</si>
  <si>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</si>
  <si>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</si>
  <si>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</si>
  <si>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</si>
  <si>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</si>
  <si>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</si>
  <si>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</si>
  <si>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</si>
  <si>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</si>
  <si>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</si>
  <si>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</si>
  <si>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</si>
  <si>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</si>
  <si>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</si>
  <si>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</si>
  <si>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</si>
  <si>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</si>
  <si>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</si>
  <si>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</si>
  <si>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</si>
  <si>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</si>
  <si>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</si>
  <si>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</si>
  <si>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</si>
  <si>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</si>
  <si>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</si>
  <si>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</si>
  <si>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</si>
  <si>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</si>
  <si>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</si>
  <si>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</si>
  <si>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</si>
  <si>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</si>
  <si>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</si>
  <si>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</si>
  <si>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</si>
  <si>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</si>
  <si>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</si>
  <si>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</si>
  <si>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</si>
  <si>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</si>
  <si>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</si>
  <si>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</si>
  <si>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</si>
  <si>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</si>
  <si>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</si>
  <si>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</si>
  <si>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</si>
  <si>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</si>
  <si>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</si>
  <si>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</si>
  <si>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</si>
  <si>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</si>
  <si>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</si>
  <si>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</si>
  <si>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</si>
  <si>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</si>
  <si>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</si>
  <si>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</si>
  <si>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</si>
  <si>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</si>
  <si>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</si>
  <si>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</si>
  <si>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</si>
  <si>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</si>
  <si>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</si>
  <si>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</si>
  <si>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</si>
  <si>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</si>
  <si>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</si>
  <si>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</si>
  <si>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</si>
  <si>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</si>
  <si>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</si>
  <si>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</si>
  <si>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</si>
  <si>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</si>
  <si>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</si>
  <si>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</si>
  <si>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</si>
  <si>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</si>
  <si>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</si>
  <si>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</si>
  <si>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</si>
  <si>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</si>
  <si>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</si>
  <si>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</si>
  <si>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</si>
  <si>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</si>
  <si>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</si>
  <si>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</si>
  <si>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</si>
  <si>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</si>
  <si>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</si>
  <si>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</si>
  <si>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</si>
  <si>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</si>
  <si>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</si>
  <si>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</si>
  <si>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</si>
  <si>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</si>
  <si>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</si>
  <si>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</si>
  <si>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</si>
  <si>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</si>
  <si>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</si>
  <si>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</si>
  <si>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</si>
  <si>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</si>
  <si>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</si>
  <si>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</si>
  <si>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</si>
  <si>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</si>
  <si>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</si>
  <si>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</si>
  <si>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</si>
  <si>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</si>
  <si>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</si>
  <si>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</si>
  <si>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</si>
  <si>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</si>
  <si>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</si>
  <si>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</si>
  <si>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</si>
  <si>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</si>
  <si>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</si>
  <si>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</si>
  <si>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</si>
  <si>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</si>
  <si>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</si>
  <si>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</si>
  <si>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</si>
  <si>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</si>
  <si>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</si>
  <si>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</si>
  <si>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</si>
  <si>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</si>
  <si>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</si>
  <si>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</si>
  <si>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</si>
  <si>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</si>
  <si>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</si>
  <si>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</si>
  <si>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</si>
  <si>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</si>
  <si>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</si>
  <si>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</si>
  <si>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</si>
  <si>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</si>
  <si>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</si>
  <si>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</si>
  <si>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</si>
  <si>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</si>
  <si>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</si>
  <si>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</si>
  <si>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</si>
  <si>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</si>
  <si>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</si>
  <si>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</si>
  <si>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</si>
  <si>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</si>
  <si>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</si>
  <si>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</si>
  <si>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</si>
  <si>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</si>
  <si>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</si>
  <si>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</si>
  <si>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</si>
  <si>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</si>
  <si>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</si>
  <si>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</si>
  <si>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</si>
  <si>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</si>
  <si>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</si>
  <si>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</si>
  <si>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</si>
  <si>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</si>
  <si>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</si>
  <si>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</si>
  <si>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</si>
  <si>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</si>
  <si>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</si>
  <si>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</si>
  <si>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</si>
  <si>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</si>
  <si>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</si>
  <si>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</si>
  <si>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</si>
  <si>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</si>
  <si>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</si>
  <si>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</si>
  <si>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</si>
  <si>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</si>
  <si>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</si>
  <si>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</si>
  <si>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</si>
  <si>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</si>
  <si>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</si>
  <si>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</si>
  <si>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</si>
  <si>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</si>
  <si>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</si>
  <si>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</si>
  <si>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</si>
  <si>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</si>
  <si>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</si>
  <si>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</si>
  <si>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</si>
  <si>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</si>
  <si>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</si>
  <si>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</si>
  <si>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</si>
  <si>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</si>
  <si>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</si>
  <si>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</si>
  <si>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</si>
  <si>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</si>
  <si>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</si>
  <si>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</si>
  <si>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</si>
  <si>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</si>
  <si>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</si>
  <si>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</si>
  <si>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</si>
  <si>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</si>
  <si>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</si>
  <si>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</si>
  <si>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</si>
  <si>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</si>
  <si>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</si>
  <si>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</si>
  <si>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</si>
  <si>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</si>
  <si>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</si>
  <si>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</si>
  <si>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</si>
  <si>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</si>
  <si>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</si>
  <si>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</si>
  <si>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</si>
  <si>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</si>
  <si>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</si>
  <si>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</si>
  <si>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</si>
  <si>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</si>
  <si>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</si>
  <si>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</si>
  <si>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</si>
  <si>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</si>
  <si>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</si>
  <si>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</si>
  <si>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</si>
  <si>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</si>
  <si>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</si>
  <si>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</si>
  <si>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</si>
  <si>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</si>
  <si>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</si>
  <si>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</si>
  <si>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</si>
  <si>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</si>
  <si>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</si>
  <si>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</si>
  <si>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</si>
  <si>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</si>
  <si>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</si>
  <si>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</si>
  <si>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</si>
  <si>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</si>
  <si>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</si>
  <si>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</si>
  <si>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</si>
  <si>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</si>
  <si>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</si>
  <si>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</si>
  <si>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</si>
  <si>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</si>
  <si>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</si>
  <si>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</si>
  <si>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</si>
  <si>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</si>
  <si>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</si>
  <si>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</si>
  <si>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</si>
  <si>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</si>
  <si>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</si>
  <si>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</si>
  <si>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</si>
  <si>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</si>
  <si>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</si>
  <si>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</si>
  <si>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</si>
  <si>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</si>
  <si>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</si>
  <si>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</si>
  <si>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</si>
  <si>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</si>
  <si>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</si>
  <si>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</si>
  <si>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</si>
  <si>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</si>
  <si>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</si>
  <si>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</si>
  <si>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</si>
  <si>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</si>
  <si>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</si>
  <si>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</si>
  <si>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</si>
  <si>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</si>
  <si>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</si>
  <si>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</si>
  <si>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</si>
  <si>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</si>
  <si>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</si>
  <si>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</si>
  <si>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</si>
  <si>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</si>
  <si>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</si>
  <si>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</si>
  <si>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</si>
  <si>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</si>
  <si>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</si>
  <si>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</si>
  <si>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</si>
  <si>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</si>
  <si>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</si>
  <si>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</si>
  <si>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</si>
  <si>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</si>
  <si>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</si>
  <si>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</si>
  <si>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</si>
  <si>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</si>
  <si>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</si>
  <si>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</si>
  <si>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</si>
  <si>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</si>
  <si>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</si>
  <si>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</si>
  <si>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</si>
  <si>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</si>
  <si>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</si>
  <si>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</si>
  <si>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</si>
  <si>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</si>
  <si>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</si>
  <si>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</si>
  <si>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</si>
  <si>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</si>
  <si>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</si>
  <si>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</si>
  <si>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</si>
  <si>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</si>
  <si>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</si>
  <si>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</si>
  <si>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</si>
  <si>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</si>
  <si>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</si>
  <si>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</si>
  <si>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</si>
  <si>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</si>
  <si>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</si>
  <si>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</si>
  <si>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</si>
  <si>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</si>
  <si>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</si>
  <si>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</si>
  <si>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</si>
  <si>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</si>
  <si>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</si>
  <si>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</si>
  <si>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</si>
  <si>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</si>
  <si>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</si>
  <si>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</si>
  <si>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</si>
  <si>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</si>
  <si>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</si>
  <si>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</si>
  <si>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</si>
  <si>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</si>
  <si>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</si>
  <si>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</si>
  <si>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</si>
  <si>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</si>
  <si>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</si>
  <si>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</si>
  <si>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</si>
  <si>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</si>
  <si>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</si>
  <si>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</si>
  <si>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</si>
  <si>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</si>
  <si>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</si>
  <si>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</si>
  <si>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</si>
  <si>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</si>
  <si>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</si>
  <si>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</si>
  <si>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</si>
  <si>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</si>
  <si>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</si>
  <si>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</si>
  <si>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</si>
  <si>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</si>
  <si>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</si>
  <si>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</si>
  <si>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</si>
  <si>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</si>
  <si>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</si>
  <si>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</si>
  <si>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</si>
  <si>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</si>
  <si>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</si>
  <si>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</si>
  <si>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</si>
  <si>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</si>
  <si>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</si>
  <si>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</si>
  <si>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</si>
  <si>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</si>
  <si>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</si>
  <si>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</si>
  <si>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</si>
  <si>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</si>
  <si>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</si>
  <si>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</si>
  <si>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</si>
  <si>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</si>
  <si>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</si>
  <si>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</si>
  <si>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</si>
  <si>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</si>
  <si>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</si>
  <si>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</si>
  <si>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</si>
  <si>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</si>
  <si>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</si>
  <si>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</si>
  <si>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</si>
  <si>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</si>
  <si>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</si>
  <si>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</si>
  <si>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</si>
  <si>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</si>
  <si>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</si>
  <si>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</si>
  <si>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</si>
  <si>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</si>
  <si>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</si>
  <si>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</si>
  <si>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</si>
  <si>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</si>
  <si>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</si>
  <si>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</si>
  <si>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</si>
  <si>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</si>
  <si>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</si>
  <si>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</si>
  <si>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</si>
  <si>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</si>
  <si>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</si>
  <si>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</si>
  <si>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</si>
  <si>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</si>
  <si>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</si>
  <si>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</si>
  <si>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</si>
  <si>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</si>
  <si>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</si>
  <si>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</si>
  <si>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</si>
  <si>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</si>
  <si>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</si>
  <si>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</si>
  <si>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</si>
  <si>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</si>
  <si>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</si>
  <si>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</si>
  <si>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</si>
  <si>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</si>
  <si>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</si>
  <si>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</si>
  <si>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</si>
  <si>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</si>
  <si>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</si>
  <si>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</si>
  <si>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</si>
  <si>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</si>
  <si>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</si>
  <si>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</si>
  <si>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</si>
  <si>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</si>
  <si>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</si>
  <si>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</si>
  <si>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</si>
  <si>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</si>
  <si>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</si>
  <si>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</si>
  <si>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</si>
  <si>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</si>
  <si>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</si>
  <si>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</si>
  <si>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</si>
  <si>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</si>
  <si>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</si>
  <si>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</si>
  <si>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</si>
  <si>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</si>
  <si>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</si>
  <si>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</si>
  <si>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</si>
  <si>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</si>
  <si>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</si>
  <si>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</si>
  <si>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</si>
  <si>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</si>
  <si>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</si>
  <si>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</si>
  <si>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</si>
  <si>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</si>
  <si>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</si>
  <si>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</si>
  <si>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</si>
  <si>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</si>
  <si>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</si>
  <si>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</si>
  <si>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</si>
  <si>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</si>
  <si>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</si>
  <si>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</si>
  <si>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</si>
  <si>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</si>
  <si>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</si>
  <si>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</si>
  <si>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</si>
  <si>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</si>
  <si>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</si>
  <si>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</si>
  <si>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</si>
  <si>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</si>
  <si>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</si>
  <si>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</si>
  <si>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</si>
  <si>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</si>
  <si>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</si>
  <si>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</si>
  <si>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</si>
  <si>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</si>
  <si>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</si>
  <si>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</si>
  <si>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</si>
  <si>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</si>
  <si>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</si>
  <si>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</si>
  <si>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</si>
  <si>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</si>
  <si>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</si>
  <si>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</si>
  <si>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</si>
  <si>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</si>
  <si>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</si>
  <si>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</si>
  <si>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</si>
  <si>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</si>
  <si>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</si>
  <si>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</si>
  <si>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</si>
  <si>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</si>
  <si>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</si>
  <si>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</si>
  <si>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</si>
  <si>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</si>
  <si>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</si>
  <si>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</si>
  <si>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</si>
  <si>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</si>
  <si>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</si>
  <si>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</si>
  <si>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</si>
  <si>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</si>
  <si>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</si>
  <si>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</si>
  <si>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</si>
  <si>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</si>
  <si>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</si>
  <si>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</si>
  <si>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</si>
  <si>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</si>
  <si>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</si>
  <si>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</si>
  <si>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</si>
  <si>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</si>
  <si>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</si>
  <si>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</si>
  <si>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</si>
  <si>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</si>
  <si>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</si>
  <si>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</si>
  <si>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</si>
  <si>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</si>
  <si>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</si>
  <si>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</si>
  <si>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</si>
  <si>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</si>
  <si>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</si>
  <si>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</si>
  <si>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</si>
  <si>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</si>
  <si>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</si>
  <si>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</si>
  <si>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</si>
  <si>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</si>
  <si>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</si>
  <si>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</si>
  <si>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</si>
  <si>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</si>
  <si>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</si>
  <si>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</si>
  <si>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</si>
  <si>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</si>
  <si>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</si>
  <si>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</si>
  <si>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</si>
  <si>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</si>
  <si>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</si>
  <si>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</si>
  <si>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</si>
  <si>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</si>
  <si>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</si>
  <si>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</si>
  <si>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</si>
  <si>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</si>
  <si>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</si>
  <si>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</si>
  <si>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</si>
  <si>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</si>
  <si>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</si>
  <si>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</si>
  <si>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</si>
  <si>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</si>
  <si>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</si>
  <si>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</si>
  <si>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</si>
  <si>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</si>
  <si>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</si>
  <si>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</si>
  <si>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</si>
  <si>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</si>
  <si>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</si>
  <si>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</si>
  <si>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</si>
  <si>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</si>
  <si>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</si>
  <si>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</si>
  <si>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</si>
  <si>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</si>
  <si>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</si>
  <si>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</si>
  <si>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</si>
  <si>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</si>
  <si>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</si>
  <si>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</si>
  <si>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</si>
  <si>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</si>
  <si>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</si>
  <si>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</si>
  <si>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</si>
  <si>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</si>
  <si>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</si>
  <si>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</si>
  <si>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</si>
  <si>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</si>
  <si>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</si>
  <si>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</si>
  <si>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</si>
  <si>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</si>
  <si>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</si>
  <si>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</si>
  <si>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</si>
  <si>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</si>
  <si>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</si>
  <si>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</si>
  <si>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</si>
  <si>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</si>
  <si>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</si>
  <si>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</si>
  <si>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</si>
  <si>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</si>
  <si>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</si>
  <si>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</si>
  <si>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</si>
  <si>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</si>
  <si>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</si>
  <si>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</si>
  <si>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</si>
  <si>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</si>
  <si>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</si>
  <si>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</si>
  <si>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</si>
  <si>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</si>
  <si>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</si>
  <si>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</si>
  <si>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</si>
  <si>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</si>
  <si>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</si>
  <si>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</si>
  <si>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</si>
  <si>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</si>
  <si>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</si>
  <si>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</si>
  <si>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</si>
  <si>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</si>
  <si>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</si>
  <si>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</si>
  <si>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</si>
  <si>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</si>
  <si>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</si>
  <si>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</si>
  <si>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</si>
  <si>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</si>
  <si>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</si>
  <si>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</si>
  <si>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</si>
  <si>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</si>
  <si>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</si>
  <si>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</si>
  <si>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</si>
  <si>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</si>
  <si>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</si>
  <si>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</si>
  <si>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</si>
  <si>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</si>
  <si>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</si>
  <si>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</si>
  <si>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</si>
  <si>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</si>
  <si>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</si>
  <si>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</si>
  <si>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</si>
  <si>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</si>
  <si>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</si>
  <si>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</si>
  <si>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</si>
  <si>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</si>
  <si>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</si>
  <si>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</si>
  <si>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</si>
  <si>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</si>
  <si>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</si>
  <si>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</si>
  <si>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</si>
  <si>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</si>
  <si>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</si>
  <si>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昆仑信托有限责任公司</t>
    <phoneticPr fontId="6" type="noConversion"/>
  </si>
  <si>
    <t>昆仑信托有限责任公司</t>
    <phoneticPr fontId="6" type="noConversion"/>
  </si>
  <si>
    <t>北京高盛华房地产开发有限公司</t>
    <phoneticPr fontId="6" type="noConversion"/>
  </si>
  <si>
    <t>抵押</t>
  </si>
  <si>
    <t>房地产抵押价值</t>
  </si>
  <si>
    <t>其他：</t>
  </si>
  <si>
    <t>广东省深圳市</t>
    <phoneticPr fontId="6" type="noConversion"/>
  </si>
  <si>
    <r>
      <rPr>
        <sz val="12"/>
        <color theme="9" tint="-0.249977111117893"/>
        <rFont val="宋体"/>
        <family val="3"/>
        <charset val="134"/>
      </rPr>
      <t>罗湖区嘉宾路太平洋商贸大厦</t>
    </r>
    <r>
      <rPr>
        <sz val="12"/>
        <color theme="9" tint="-0.249977111117893"/>
        <rFont val="Arial"/>
        <family val="2"/>
      </rPr>
      <t>107</t>
    </r>
    <r>
      <rPr>
        <sz val="12"/>
        <color theme="9" tint="-0.249977111117893"/>
        <rFont val="宋体"/>
        <family val="3"/>
        <charset val="134"/>
      </rPr>
      <t>号等</t>
    </r>
    <r>
      <rPr>
        <sz val="12"/>
        <color theme="9" tint="-0.249977111117893"/>
        <rFont val="Arial"/>
        <family val="2"/>
      </rPr>
      <t>25</t>
    </r>
    <r>
      <rPr>
        <sz val="12"/>
        <color theme="9" tint="-0.249977111117893"/>
        <rFont val="宋体"/>
        <family val="3"/>
        <charset val="134"/>
      </rPr>
      <t>套商业用房房地产</t>
    </r>
    <phoneticPr fontId="6" type="noConversion"/>
  </si>
  <si>
    <t>企业</t>
  </si>
  <si>
    <t>北京高盛华房地产开发有限公司</t>
    <phoneticPr fontId="6" type="noConversion"/>
  </si>
  <si>
    <t>出让</t>
  </si>
  <si>
    <t>商业办公</t>
    <phoneticPr fontId="6" type="noConversion"/>
  </si>
  <si>
    <t>商业</t>
    <phoneticPr fontId="6" type="noConversion"/>
  </si>
  <si>
    <t>《房地产证》[深房地字第2000188102-2000188106、2000188108、2000188111、2000188116、2000188119、2000188126、2000188131、2000188134-2000188147号]</t>
    <phoneticPr fontId="6" type="noConversion"/>
  </si>
  <si>
    <t>——</t>
    <phoneticPr fontId="6" type="noConversion"/>
  </si>
  <si>
    <t>是</t>
  </si>
  <si>
    <t>复印件</t>
  </si>
  <si>
    <t>商业项目</t>
  </si>
  <si>
    <t>无</t>
  </si>
  <si>
    <t>否</t>
  </si>
  <si>
    <t>现房</t>
  </si>
  <si>
    <t>正常</t>
  </si>
  <si>
    <t>正常</t>
    <phoneticPr fontId="6" type="noConversion"/>
  </si>
  <si>
    <t>通路</t>
  </si>
  <si>
    <t>通电</t>
  </si>
  <si>
    <t>通讯</t>
  </si>
  <si>
    <t>通上水</t>
  </si>
  <si>
    <t>通下水</t>
  </si>
  <si>
    <t>燃气</t>
  </si>
  <si>
    <r>
      <rPr>
        <sz val="11"/>
        <color indexed="8"/>
        <rFont val="宋体"/>
        <family val="3"/>
        <charset val="134"/>
      </rPr>
      <t>负</t>
    </r>
    <r>
      <rPr>
        <sz val="11"/>
        <color indexed="8"/>
        <rFont val="Arial"/>
        <family val="2"/>
      </rPr>
      <t>1</t>
    </r>
    <r>
      <rPr>
        <sz val="11"/>
        <color indexed="8"/>
        <rFont val="宋体"/>
        <family val="3"/>
        <charset val="134"/>
      </rPr>
      <t>层地下商场</t>
    </r>
    <phoneticPr fontId="3" type="noConversion"/>
  </si>
  <si>
    <t>地上</t>
  </si>
  <si>
    <t>独立商业</t>
  </si>
  <si>
    <t>商业</t>
    <phoneticPr fontId="7" type="noConversion"/>
  </si>
  <si>
    <t>成新度</t>
  </si>
  <si>
    <t>按租金收入计税</t>
  </si>
  <si>
    <t>售价</t>
  </si>
  <si>
    <t>太平洋商贸大厦</t>
    <phoneticPr fontId="3" type="noConversion"/>
  </si>
  <si>
    <t>金城大厦</t>
    <phoneticPr fontId="3" type="noConversion"/>
  </si>
  <si>
    <t>海丰苑大厦</t>
    <phoneticPr fontId="3" type="noConversion"/>
  </si>
  <si>
    <t>深华商业大厦</t>
    <phoneticPr fontId="3" type="noConversion"/>
  </si>
  <si>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</si>
  <si>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</si>
  <si>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</si>
  <si>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</si>
  <si>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</si>
  <si>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</si>
  <si>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</si>
  <si>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</si>
  <si>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</si>
  <si>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</si>
  <si>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</si>
  <si>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</si>
  <si>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</si>
  <si>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</si>
  <si>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</si>
  <si>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</si>
  <si>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</si>
  <si>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</si>
  <si>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</si>
  <si>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</si>
  <si>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</si>
  <si>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</si>
  <si>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</si>
  <si>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</si>
  <si>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</si>
  <si>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</si>
  <si>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</si>
  <si>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</si>
  <si>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</si>
  <si>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</si>
  <si>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</si>
  <si>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</si>
  <si>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</si>
  <si>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</si>
  <si>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</si>
  <si>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</si>
  <si>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</si>
  <si>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</si>
  <si>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</si>
  <si>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</si>
  <si>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</si>
  <si>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</si>
  <si>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</si>
  <si>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</si>
  <si>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</si>
  <si>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一般</t>
    <phoneticPr fontId="31" type="noConversion"/>
  </si>
  <si>
    <t>商业</t>
    <phoneticPr fontId="31" type="noConversion"/>
  </si>
  <si>
    <t>20-30（含）</t>
  </si>
  <si>
    <t>0-10（含）</t>
  </si>
  <si>
    <t>——</t>
    <phoneticPr fontId="41" type="noConversion"/>
  </si>
  <si>
    <t>周边商业项目有深华商业大厦、一品东门雅园商业、金城大厦商业等，商业项目聚集，出租率高，商业繁华度好。</t>
    <phoneticPr fontId="25" type="noConversion"/>
  </si>
  <si>
    <t>——</t>
    <phoneticPr fontId="25" type="noConversion"/>
  </si>
  <si>
    <t>周边路网密集，行车出入便捷。1公里范围内有352路、7路、K204路等公交线路及地铁罗宝线，公交便捷度好，综合确定交通便捷度好。</t>
    <phoneticPr fontId="41" type="noConversion"/>
  </si>
  <si>
    <t>周边有中国邮政储蓄银行、中国银行、中信银行、罗湖医院、深圳广播电视大学、深圳市南湖小学、深圳市罗湖中学等公共服务配套设施，综合确定公用配套设施齐备情况好。</t>
    <phoneticPr fontId="41" type="noConversion"/>
  </si>
  <si>
    <t>周边有嘉宾公园、深圳河水系，绿化条件较好，有深圳大剧院、至正艺术博物馆、深圳广播电视大学等场所，综合确定自然及人文环境较好。</t>
    <phoneticPr fontId="41" type="noConversion"/>
  </si>
  <si>
    <t>1层</t>
  </si>
  <si>
    <t>周边商业项目有深华商业大厦、一品东门雅园商业、国贸商业大厦等，商业项目聚集，出租率高，商业繁华度好。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</si>
  <si>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</si>
  <si>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估价对象所在区域基础设施水平达“六通”。</t>
    <phoneticPr fontId="25"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</si>
  <si>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</si>
  <si>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</si>
  <si>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周边商业项目有金城大厦商业、一品东门雅园商业、国贸商业大厦等，商业项目聚集，出租率高，商业繁华度好。</t>
    <phoneticPr fontId="31" type="noConversion"/>
  </si>
  <si>
    <t>周边有中国民生银行、招商银行、深圳市儿童医院、深圳市岗厦小学等公共服务配套设施，综合确定公用配套设施齐备情况好。</t>
    <phoneticPr fontId="31" type="noConversion"/>
  </si>
  <si>
    <t>周边有中信银行、中国工商银行、罗湖医院、深圳市罗湖小学等公共服务配套设施，综合确定公用配套设施齐备情况好。</t>
    <phoneticPr fontId="31" type="noConversion"/>
  </si>
  <si>
    <t>较好</t>
    <phoneticPr fontId="31" type="noConversion"/>
  </si>
  <si>
    <t>周边商业项目有金城大厦商业、一品东门雅园商业、国贸商业大厦等，商业项目聚集，出租率高，商业繁华度好。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</si>
  <si>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</si>
  <si>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</si>
  <si>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t>周边有中信银行、中国工商银行、罗湖医院、深圳市罗湖小学等公共服务配套设施，综合确定公用配套设施齐备情况好。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</si>
  <si>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</si>
  <si>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</si>
  <si>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2层</t>
  </si>
  <si>
    <t>3层</t>
  </si>
  <si>
    <t>地下1层</t>
  </si>
  <si>
    <t>租金</t>
  </si>
  <si>
    <t>深房广场商铺</t>
    <phoneticPr fontId="3" type="noConversion"/>
  </si>
  <si>
    <t>国贸商业大厦</t>
    <phoneticPr fontId="3" type="noConversion"/>
  </si>
  <si>
    <t>金华广场</t>
    <phoneticPr fontId="3" type="noConversion"/>
  </si>
  <si>
    <t>租金</t>
    <phoneticPr fontId="143" type="noConversion"/>
  </si>
  <si>
    <t>系数</t>
    <phoneticPr fontId="143" type="noConversion"/>
  </si>
  <si>
    <t>层数</t>
    <phoneticPr fontId="143" type="noConversion"/>
  </si>
  <si>
    <t>面积</t>
    <phoneticPr fontId="143" type="noConversion"/>
  </si>
  <si>
    <t>综合租金</t>
    <phoneticPr fontId="143" type="noConversion"/>
  </si>
  <si>
    <t>初始租金</t>
    <phoneticPr fontId="143" type="noConversion"/>
  </si>
  <si>
    <t>增长率</t>
    <phoneticPr fontId="143" type="noConversion"/>
  </si>
  <si>
    <t>价值时点</t>
  </si>
  <si>
    <t>法定最高/出让年限</t>
  </si>
  <si>
    <t>终止日期</t>
  </si>
  <si>
    <t>剩余土地使用年限</t>
  </si>
  <si>
    <t>年期修正系数</t>
  </si>
  <si>
    <t>报酬率-土地</t>
  </si>
  <si>
    <t>总收益</t>
    <phoneticPr fontId="143" type="noConversion"/>
  </si>
  <si>
    <t>平均租金</t>
    <phoneticPr fontId="143" type="noConversion"/>
  </si>
  <si>
    <t>剩余租赁期</t>
    <phoneticPr fontId="143" type="noConversion"/>
  </si>
  <si>
    <t>收益法</t>
  </si>
  <si>
    <t>非生产用房</t>
  </si>
  <si>
    <t>房号</t>
    <phoneticPr fontId="143" type="noConversion"/>
  </si>
  <si>
    <t>面积</t>
    <phoneticPr fontId="143" type="noConversion"/>
  </si>
  <si>
    <t>总价值</t>
    <phoneticPr fontId="143" type="noConversion"/>
  </si>
  <si>
    <t>比较法总值</t>
    <phoneticPr fontId="143" type="noConversion"/>
  </si>
  <si>
    <t>典型户型修正</t>
  </si>
  <si>
    <t>典型户型修正</t>
    <phoneticPr fontId="16" type="noConversion"/>
  </si>
  <si>
    <t>比较法中各部分价值</t>
    <phoneticPr fontId="143" type="noConversion"/>
  </si>
  <si>
    <t>比例</t>
    <phoneticPr fontId="143" type="noConversion"/>
  </si>
  <si>
    <t>价值</t>
    <phoneticPr fontId="143" type="noConversion"/>
  </si>
  <si>
    <t>单价</t>
    <phoneticPr fontId="143" type="noConversion"/>
  </si>
  <si>
    <t>押二</t>
  </si>
  <si>
    <t>地下</t>
  </si>
  <si>
    <t>房产税</t>
    <phoneticPr fontId="3" type="noConversion"/>
  </si>
  <si>
    <t>当期</t>
    <phoneticPr fontId="3" type="noConversion"/>
  </si>
  <si>
    <t>全年</t>
    <phoneticPr fontId="3" type="noConversion"/>
  </si>
  <si>
    <t>城镇土地使用税</t>
    <phoneticPr fontId="3"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</si>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</sst>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0" fillId="9" borderId="13"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48" fillId="0" borderId="1" xfId="0" applyFont="1" applyBorder="1" applyAlignment="1" applyProtection="1">
      <alignment horizontal="center" vertical="center" wrapText="1"/>
      <protection locked="0"/>
    </xf>
    <xf numFmtId="176" fontId="148" fillId="0" borderId="1" xfId="0" applyNumberFormat="1" applyFont="1" applyBorder="1" applyAlignment="1" applyProtection="1">
      <alignment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4" fillId="6" borderId="9" xfId="0" applyFont="1" applyFill="1" applyBorder="1" applyAlignment="1" applyProtection="1">
      <alignment horizontal="center" vertical="center" wrapText="1"/>
    </xf>
    <xf numFmtId="179" fontId="254" fillId="6" borderId="9" xfId="0" applyNumberFormat="1" applyFont="1" applyFill="1" applyBorder="1" applyAlignment="1" applyProtection="1">
      <alignment horizontal="center" vertical="center" wrapText="1"/>
    </xf>
    <xf numFmtId="0" fontId="254" fillId="6" borderId="10" xfId="0" applyFont="1" applyFill="1" applyBorder="1" applyAlignment="1" applyProtection="1">
      <alignment horizontal="center" vertical="center" wrapText="1"/>
    </xf>
    <xf numFmtId="177" fontId="254"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0" fontId="0" fillId="0" borderId="0" xfId="0" applyNumberFormat="1">
      <alignment vertical="center"/>
    </xf>
    <xf numFmtId="0" fontId="99" fillId="0" borderId="0" xfId="0" applyFont="1" applyAlignment="1">
      <alignment horizontal="right"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79" fontId="50" fillId="9"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177" fontId="0" fillId="0" borderId="0" xfId="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161925</xdr:colOff>
      <xdr:row>20</xdr:row>
      <xdr:rowOff>31733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276725" cy="3460733"/>
        </a:xfrm>
        <a:prstGeom prst="rect">
          <a:avLst/>
        </a:prstGeom>
      </xdr:spPr>
    </xdr:pic>
    <xdr:clientData/>
  </xdr:twoCellAnchor>
  <xdr:twoCellAnchor editAs="oneCell">
    <xdr:from>
      <xdr:col>6</xdr:col>
      <xdr:colOff>472643</xdr:colOff>
      <xdr:row>0</xdr:row>
      <xdr:rowOff>0</xdr:rowOff>
    </xdr:from>
    <xdr:to>
      <xdr:col>13</xdr:col>
      <xdr:colOff>638175</xdr:colOff>
      <xdr:row>20</xdr:row>
      <xdr:rowOff>7203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443" y="0"/>
          <a:ext cx="4966132" cy="3436203"/>
        </a:xfrm>
        <a:prstGeom prst="rect">
          <a:avLst/>
        </a:prstGeom>
      </xdr:spPr>
    </xdr:pic>
    <xdr:clientData/>
  </xdr:twoCellAnchor>
  <xdr:twoCellAnchor editAs="oneCell">
    <xdr:from>
      <xdr:col>0</xdr:col>
      <xdr:colOff>0</xdr:colOff>
      <xdr:row>21</xdr:row>
      <xdr:rowOff>0</xdr:rowOff>
    </xdr:from>
    <xdr:to>
      <xdr:col>7</xdr:col>
      <xdr:colOff>321882</xdr:colOff>
      <xdr:row>41</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600450"/>
          <a:ext cx="5122482" cy="3552825"/>
        </a:xfrm>
        <a:prstGeom prst="rect">
          <a:avLst/>
        </a:prstGeom>
      </xdr:spPr>
    </xdr:pic>
    <xdr:clientData/>
  </xdr:twoCellAnchor>
  <xdr:twoCellAnchor editAs="oneCell">
    <xdr:from>
      <xdr:col>7</xdr:col>
      <xdr:colOff>495300</xdr:colOff>
      <xdr:row>20</xdr:row>
      <xdr:rowOff>9525</xdr:rowOff>
    </xdr:from>
    <xdr:to>
      <xdr:col>16</xdr:col>
      <xdr:colOff>495300</xdr:colOff>
      <xdr:row>44</xdr:row>
      <xdr:rowOff>159984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5900" y="3438525"/>
          <a:ext cx="6172200" cy="4265259"/>
        </a:xfrm>
        <a:prstGeom prst="rect">
          <a:avLst/>
        </a:prstGeom>
      </xdr:spPr>
    </xdr:pic>
    <xdr:clientData/>
  </xdr:twoCellAnchor>
  <xdr:twoCellAnchor editAs="oneCell">
    <xdr:from>
      <xdr:col>0</xdr:col>
      <xdr:colOff>0</xdr:colOff>
      <xdr:row>50</xdr:row>
      <xdr:rowOff>0</xdr:rowOff>
    </xdr:from>
    <xdr:to>
      <xdr:col>5</xdr:col>
      <xdr:colOff>95250</xdr:colOff>
      <xdr:row>68</xdr:row>
      <xdr:rowOff>89103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572500"/>
          <a:ext cx="3524250" cy="3175203"/>
        </a:xfrm>
        <a:prstGeom prst="rect">
          <a:avLst/>
        </a:prstGeom>
      </xdr:spPr>
    </xdr:pic>
    <xdr:clientData/>
  </xdr:twoCellAnchor>
  <xdr:twoCellAnchor editAs="oneCell">
    <xdr:from>
      <xdr:col>5</xdr:col>
      <xdr:colOff>342922</xdr:colOff>
      <xdr:row>50</xdr:row>
      <xdr:rowOff>9525</xdr:rowOff>
    </xdr:from>
    <xdr:to>
      <xdr:col>13</xdr:col>
      <xdr:colOff>457200</xdr:colOff>
      <xdr:row>72</xdr:row>
      <xdr:rowOff>133350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71922" y="8582025"/>
          <a:ext cx="5600678" cy="3895725"/>
        </a:xfrm>
        <a:prstGeom prst="rect">
          <a:avLst/>
        </a:prstGeom>
      </xdr:spPr>
    </xdr:pic>
    <xdr:clientData/>
  </xdr:twoCellAnchor>
  <xdr:twoCellAnchor editAs="oneCell">
    <xdr:from>
      <xdr:col>0</xdr:col>
      <xdr:colOff>0</xdr:colOff>
      <xdr:row>75</xdr:row>
      <xdr:rowOff>0</xdr:rowOff>
    </xdr:from>
    <xdr:to>
      <xdr:col>7</xdr:col>
      <xdr:colOff>194579</xdr:colOff>
      <xdr:row>95</xdr:row>
      <xdr:rowOff>28575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2858750"/>
          <a:ext cx="4995179" cy="3457575"/>
        </a:xfrm>
        <a:prstGeom prst="rect">
          <a:avLst/>
        </a:prstGeom>
      </xdr:spPr>
    </xdr:pic>
    <xdr:clientData/>
  </xdr:twoCellAnchor>
  <xdr:twoCellAnchor editAs="oneCell">
    <xdr:from>
      <xdr:col>7</xdr:col>
      <xdr:colOff>332146</xdr:colOff>
      <xdr:row>74</xdr:row>
      <xdr:rowOff>152400</xdr:rowOff>
    </xdr:from>
    <xdr:to>
      <xdr:col>17</xdr:col>
      <xdr:colOff>0</xdr:colOff>
      <xdr:row>101</xdr:row>
      <xdr:rowOff>104775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32746" y="12839700"/>
          <a:ext cx="6525854" cy="4581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广东省深圳市罗湖区嘉宾路太平洋商贸大厦107号等25套商业用房房地产房地产抵押价值预评估</v>
      </c>
    </row>
    <row r="3" spans="1:2" s="1590" customFormat="1">
      <c r="A3" s="1588" t="s">
        <v>1221</v>
      </c>
      <c r="B3" s="1589" t="str">
        <f>'预评函-封皮'!B40</f>
        <v>昆仑信托有限责任公司</v>
      </c>
    </row>
    <row r="4" spans="1:2" s="1590" customFormat="1">
      <c r="A4" s="1588" t="s">
        <v>1222</v>
      </c>
      <c r="B4" s="1589" t="str">
        <f ca="1">'预评函-封皮'!B46</f>
        <v>吴薇（注册号：1419970001)、刘梅（注册号：1120140022)</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受贵公司委托，我公司对广东省深圳市罗湖区嘉宾路太平洋商贸大厦107号等25套商业用房房地产房地产抵押价值进行了预评估。</v>
      </c>
    </row>
    <row r="7" spans="1:2" s="1590" customFormat="1">
      <c r="A7" s="1588" t="s">
        <v>1264</v>
      </c>
      <c r="B7" s="1589" t="str">
        <f>'预评函-1'!A7</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2018年6月25日（评估专业人员实地查勘之日）</v>
      </c>
    </row>
    <row r="13" spans="1:2" s="1590" customFormat="1">
      <c r="A13" s="1588" t="s">
        <v>1227</v>
      </c>
      <c r="B13" s="1589" t="str">
        <f>'预评函-1'!A18</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4" spans="1:2" s="1590" customFormat="1">
      <c r="A14" s="1588" t="s">
        <v>1228</v>
      </c>
      <c r="B14" s="1589" t="str">
        <f>'预评函-1'!A19</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36266</v>
      </c>
    </row>
    <row r="21" spans="1:2" s="1590" customFormat="1">
      <c r="A21" s="1588" t="s">
        <v>1235</v>
      </c>
      <c r="B21" s="1589">
        <f ca="1">'预评函-2'!D7</f>
        <v>51453</v>
      </c>
    </row>
    <row r="22" spans="1:2" s="1590" customFormat="1">
      <c r="A22" s="1588" t="s">
        <v>1236</v>
      </c>
      <c r="B22" s="1589" t="str">
        <f ca="1">'预评函-2'!D6</f>
        <v>叁亿陆仟贰佰陆拾陆万元整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36266</v>
      </c>
    </row>
    <row r="31" spans="1:2" s="1590" customFormat="1">
      <c r="A31" s="1588" t="s">
        <v>1274</v>
      </c>
      <c r="B31" s="1589">
        <f ca="1">'预评函-2'!D15</f>
        <v>51453</v>
      </c>
    </row>
    <row r="32" spans="1:2" s="1590" customFormat="1">
      <c r="A32" s="1588" t="s">
        <v>1241</v>
      </c>
      <c r="B32" s="1589" t="str">
        <f ca="1">'预评函-2'!D14</f>
        <v>叁亿陆仟贰佰陆拾陆万元整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广东省深圳市罗湖区嘉宾路太平洋商贸大厦107号等25套商业用房房地产房地产</v>
      </c>
    </row>
    <row r="42" spans="1:2" s="1590" customFormat="1">
      <c r="A42" s="1588" t="s">
        <v>1288</v>
      </c>
      <c r="B42" s="1589" t="str">
        <f>'预评函-3'!B2</f>
        <v>建筑面积</v>
      </c>
    </row>
    <row r="43" spans="1:2" s="1590" customFormat="1">
      <c r="A43" s="1588" t="s">
        <v>1289</v>
      </c>
      <c r="B43" s="1589">
        <f>'预评函-3'!B4</f>
        <v>7048.35</v>
      </c>
    </row>
    <row r="44" spans="1:2" s="1590" customFormat="1">
      <c r="A44" s="1588" t="s">
        <v>1273</v>
      </c>
      <c r="B44" s="1589" t="str">
        <f>'预评函-3'!C2</f>
        <v>(分摊)土地面积</v>
      </c>
    </row>
    <row r="45" spans="1:2" s="1590" customFormat="1">
      <c r="A45" s="1588" t="s">
        <v>1245</v>
      </c>
      <c r="B45" s="1589">
        <f>'预评函-3'!C4</f>
        <v>1000</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（1）根据估价对象《房屋所有权证》复印件、《国有土地使用权》——，截至价值时点，估价对象已设定抵押。上述抵押权设定日期为，权利人为，权利范围为，权利价值为。</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刘梅</v>
      </c>
    </row>
    <row r="73" spans="1:2" s="1584" customFormat="1" ht="15" thickBot="1">
      <c r="A73" s="1591" t="s">
        <v>1263</v>
      </c>
      <c r="B73" s="1592">
        <f ca="1">'预评函-4'!B5</f>
        <v>1120140022</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3184</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0"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30"/>
      <c r="B54" s="2019" t="s">
        <v>864</v>
      </c>
      <c r="C54" s="2016" t="s">
        <v>1281</v>
      </c>
    </row>
    <row r="55" spans="1:4">
      <c r="A55" s="3030"/>
      <c r="B55" s="2019" t="s">
        <v>865</v>
      </c>
      <c r="C55" s="2016" t="s">
        <v>1282</v>
      </c>
    </row>
    <row r="56" spans="1:4">
      <c r="A56" s="3030"/>
      <c r="B56" s="2019" t="s">
        <v>866</v>
      </c>
      <c r="C56" s="2016" t="s">
        <v>1286</v>
      </c>
    </row>
    <row r="57" spans="1:4">
      <c r="A57" s="3030"/>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5" sqref="E15"/>
    </sheetView>
  </sheetViews>
  <sheetFormatPr defaultColWidth="10" defaultRowHeight="18" customHeight="1"/>
  <cols>
    <col min="1" max="1" width="14.875" style="2029" customWidth="1"/>
    <col min="2" max="2" width="10" style="2029" customWidth="1"/>
    <col min="3" max="3" width="11.5" style="2029" customWidth="1"/>
    <col min="4" max="4" width="16.25" style="2029" customWidth="1"/>
    <col min="5" max="6" width="10" style="2029" customWidth="1"/>
    <col min="7" max="7" width="10.75" style="2029" customWidth="1"/>
    <col min="8" max="8" width="10" style="2029" customWidth="1"/>
    <col min="9" max="9" width="2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1775</v>
      </c>
      <c r="B1" s="3039" t="str">
        <f>IF(B10="北京市","北京市",C10)&amp;F10&amp;IF(结果表!G1="在建","出让国有建设用地使用权及在建建筑物",IF(结果表!G1="土地","出让国有建设用地使用权",))&amp;B9&amp;"预评估"</f>
        <v>广东省深圳市罗湖区嘉宾路太平洋商贸大厦107号等25套商业用房房地产房地产抵押价值预评估</v>
      </c>
      <c r="C1" s="3040"/>
      <c r="D1" s="3040"/>
      <c r="E1" s="3040"/>
      <c r="F1" s="3040"/>
      <c r="G1" s="3040"/>
      <c r="H1" s="3040"/>
      <c r="I1" s="304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广东省深圳市罗湖区嘉宾路太平洋商贸大厦107号等25套商业用房房地产房地产抵押价值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广东省深圳市罗湖区嘉宾路太平洋商贸大厦107号等25套商业用房房地产房地产</v>
      </c>
    </row>
    <row r="3" spans="1:19" ht="18" customHeight="1">
      <c r="A3" s="2032" t="s">
        <v>1777</v>
      </c>
      <c r="B3" s="2033">
        <v>43276</v>
      </c>
      <c r="C3" s="2034" t="s">
        <v>1778</v>
      </c>
      <c r="D3" s="2033">
        <f>B3</f>
        <v>43276</v>
      </c>
      <c r="E3" s="2023"/>
      <c r="F3" s="2023"/>
      <c r="G3" s="2023"/>
      <c r="H3" s="2023"/>
      <c r="I3" s="2023"/>
      <c r="J3" s="2023"/>
      <c r="K3" s="2024"/>
      <c r="L3" s="2025"/>
      <c r="M3" s="2025"/>
      <c r="N3" s="2026"/>
      <c r="O3" s="2027"/>
      <c r="P3" s="2026"/>
      <c r="Q3" s="2026"/>
      <c r="R3" s="2026"/>
      <c r="S3" s="2028"/>
    </row>
    <row r="4" spans="1:19" ht="18" customHeight="1" thickBot="1">
      <c r="A4" s="2035" t="s">
        <v>1779</v>
      </c>
      <c r="B4" s="2036" t="s">
        <v>3041</v>
      </c>
      <c r="C4" s="1036">
        <f ca="1">SUMIF(注册房地产估价师,B4,估价师及机构信息!B3:B24)</f>
        <v>1419970001</v>
      </c>
      <c r="D4" s="2036" t="s">
        <v>3042</v>
      </c>
      <c r="E4" s="1037">
        <f ca="1">SUMIF(注册房地产估价师,D4,估价师及机构信息!B3:B24)</f>
        <v>1120140022</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吴薇（注册号：1419970001)、刘梅（注册号：1120140022)</v>
      </c>
      <c r="L4" s="2025"/>
      <c r="M4" s="2025"/>
      <c r="N4" s="2026"/>
      <c r="O4" s="2027"/>
      <c r="P4" s="2026"/>
      <c r="Q4" s="2026"/>
      <c r="R4" s="2026"/>
      <c r="S4" s="2028"/>
    </row>
    <row r="5" spans="1:19" ht="18" customHeight="1" thickTop="1">
      <c r="A5" s="2041" t="s">
        <v>1780</v>
      </c>
      <c r="B5" s="2944" t="s">
        <v>3043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45" t="s">
        <v>3044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45" t="s">
        <v>3052</v>
      </c>
      <c r="C7" s="2045"/>
      <c r="D7" s="2046"/>
      <c r="E7" s="2031"/>
      <c r="F7" s="2039"/>
      <c r="G7" s="2039"/>
      <c r="H7" s="2039"/>
      <c r="I7" s="2039"/>
      <c r="J7" s="2039"/>
      <c r="K7" s="2048"/>
      <c r="L7" s="2025"/>
      <c r="M7" s="2025"/>
      <c r="N7" s="2026"/>
      <c r="O7" s="2027"/>
      <c r="P7" s="2026"/>
      <c r="Q7" s="2026"/>
      <c r="R7" s="2026"/>
    </row>
    <row r="8" spans="1:19" ht="18" customHeight="1">
      <c r="A8" s="2044" t="s">
        <v>1783</v>
      </c>
      <c r="B8" s="2049" t="s">
        <v>3046</v>
      </c>
      <c r="C8" s="2050"/>
      <c r="D8" s="3042" t="s">
        <v>1784</v>
      </c>
      <c r="E8" s="2051" t="s">
        <v>3047</v>
      </c>
      <c r="F8" s="2052"/>
      <c r="G8" s="2023"/>
      <c r="H8" s="2023"/>
      <c r="I8" s="2023"/>
      <c r="J8" s="2039"/>
      <c r="K8" s="2040"/>
      <c r="L8" s="2025"/>
      <c r="M8" s="2025"/>
      <c r="N8" s="2026"/>
      <c r="O8" s="2027"/>
      <c r="P8" s="2026"/>
      <c r="Q8" s="2026"/>
      <c r="R8" s="2026"/>
    </row>
    <row r="9" spans="1:19" ht="18" customHeight="1" thickBot="1">
      <c r="A9" s="2037" t="s">
        <v>1785</v>
      </c>
      <c r="B9" s="2053" t="s">
        <v>3047</v>
      </c>
      <c r="C9" s="2054"/>
      <c r="D9" s="3043"/>
      <c r="E9" s="2053" t="s">
        <v>70</v>
      </c>
      <c r="F9" s="2055"/>
      <c r="G9" s="2056"/>
      <c r="H9" s="2056"/>
      <c r="I9" s="2056"/>
      <c r="J9" s="2039"/>
      <c r="K9" s="2048"/>
      <c r="L9" s="2025"/>
      <c r="M9" s="2025"/>
      <c r="N9" s="2026"/>
      <c r="O9" s="2027"/>
      <c r="P9" s="2026"/>
      <c r="Q9" s="2026"/>
      <c r="R9" s="2026"/>
    </row>
    <row r="10" spans="1:19" ht="18" customHeight="1" thickTop="1">
      <c r="A10" s="2057" t="s">
        <v>1786</v>
      </c>
      <c r="B10" s="2058" t="s">
        <v>3048</v>
      </c>
      <c r="C10" s="2946" t="s">
        <v>3049</v>
      </c>
      <c r="D10" s="2043"/>
      <c r="E10" s="2059" t="s">
        <v>1787</v>
      </c>
      <c r="F10" s="2060" t="s">
        <v>3050</v>
      </c>
      <c r="G10" s="2061"/>
      <c r="H10" s="2062"/>
      <c r="I10" s="2043"/>
      <c r="J10" s="2039"/>
      <c r="K10" s="2048"/>
      <c r="L10" s="2025"/>
      <c r="M10" s="2025"/>
      <c r="N10" s="2026"/>
      <c r="O10" s="2027"/>
      <c r="P10" s="2026"/>
      <c r="Q10" s="2026"/>
      <c r="R10" s="2026"/>
    </row>
    <row r="11" spans="1:19" ht="18" customHeight="1">
      <c r="A11" s="2063" t="s">
        <v>1788</v>
      </c>
      <c r="B11" s="2064" t="s">
        <v>3051</v>
      </c>
      <c r="C11" s="2947" t="s">
        <v>3045</v>
      </c>
      <c r="D11" s="2065"/>
      <c r="E11" s="2039"/>
      <c r="F11" s="2039"/>
      <c r="G11" s="2039"/>
      <c r="H11" s="2039"/>
      <c r="I11" s="2039"/>
      <c r="J11" s="2039"/>
      <c r="K11" s="2048"/>
      <c r="L11" s="2025"/>
      <c r="M11" s="2025"/>
      <c r="N11" s="2026"/>
      <c r="O11" s="2027"/>
      <c r="P11" s="2026"/>
      <c r="Q11" s="2026"/>
      <c r="R11" s="2026"/>
    </row>
    <row r="12" spans="1:19" ht="18" customHeight="1">
      <c r="A12" s="2066" t="s">
        <v>1789</v>
      </c>
      <c r="B12" s="2064" t="s">
        <v>3053</v>
      </c>
      <c r="C12" s="2067" t="s">
        <v>1790</v>
      </c>
      <c r="D12" s="2068" t="s">
        <v>1791</v>
      </c>
      <c r="E12" s="2068" t="s">
        <v>1792</v>
      </c>
      <c r="F12" s="2068" t="s">
        <v>1793</v>
      </c>
      <c r="G12" s="2068" t="s">
        <v>1794</v>
      </c>
      <c r="H12" s="2068" t="s">
        <v>1795</v>
      </c>
      <c r="I12" s="2068" t="s">
        <v>1796</v>
      </c>
      <c r="J12" s="2039"/>
      <c r="K12" s="2048"/>
      <c r="L12" s="2025"/>
      <c r="M12" s="2025"/>
      <c r="N12" s="2026"/>
      <c r="O12" s="2027"/>
      <c r="P12" s="2026"/>
      <c r="Q12" s="2026"/>
      <c r="R12" s="2026"/>
    </row>
    <row r="13" spans="1:19" ht="18" customHeight="1">
      <c r="A13" s="2069"/>
      <c r="B13" s="2070"/>
      <c r="C13" s="2071" t="s">
        <v>1797</v>
      </c>
      <c r="D13" s="2072"/>
      <c r="E13" s="2072">
        <v>52581</v>
      </c>
      <c r="F13" s="2072"/>
      <c r="G13" s="2072"/>
      <c r="H13" s="2072"/>
      <c r="I13" s="1046"/>
      <c r="J13" s="2039"/>
      <c r="K13" s="2048"/>
      <c r="L13" s="2025"/>
      <c r="M13" s="2025"/>
      <c r="N13" s="2026"/>
      <c r="O13" s="2027"/>
      <c r="P13" s="2026"/>
      <c r="Q13" s="2026"/>
      <c r="R13" s="2026"/>
    </row>
    <row r="14" spans="1:19" ht="18" customHeight="1">
      <c r="A14" s="2069"/>
      <c r="B14" s="2070"/>
      <c r="C14" s="2071" t="s">
        <v>1798</v>
      </c>
      <c r="D14" s="1049"/>
      <c r="E14" s="1049">
        <v>40</v>
      </c>
      <c r="F14" s="1049"/>
      <c r="G14" s="1049"/>
      <c r="H14" s="1049"/>
      <c r="I14" s="1049"/>
      <c r="J14" s="2039"/>
      <c r="K14" s="2073"/>
      <c r="L14" s="2025"/>
      <c r="M14" s="2025"/>
      <c r="N14" s="2026"/>
      <c r="O14" s="2027"/>
      <c r="P14" s="2026"/>
      <c r="Q14" s="2026"/>
      <c r="R14" s="2026"/>
    </row>
    <row r="15" spans="1:19" ht="18" customHeight="1">
      <c r="A15" s="2057"/>
      <c r="B15" s="2074"/>
      <c r="C15" s="2071" t="s">
        <v>1799</v>
      </c>
      <c r="D15" s="1048" t="str">
        <f>IF(B12="出让",IF(D13="","",ROUNDDOWN(MIN((D13-$D$3)/365,D14),2)),D14)</f>
        <v/>
      </c>
      <c r="E15" s="1048">
        <f>IF(B12="出让",IF(E13="","",ROUNDDOWN(MIN((E13-$D$3)/365,E14),2)),E14)</f>
        <v>25.49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59" t="s">
        <v>1800</v>
      </c>
      <c r="B16" s="3049" t="s">
        <v>3054</v>
      </c>
      <c r="C16" s="3050"/>
      <c r="D16" s="3051"/>
      <c r="E16" s="2078" t="s">
        <v>1801</v>
      </c>
      <c r="F16" s="3052" t="s">
        <v>3055</v>
      </c>
      <c r="G16" s="3053"/>
      <c r="H16" s="3053"/>
      <c r="I16" s="3054"/>
      <c r="J16" s="2026"/>
      <c r="K16" s="2075"/>
      <c r="L16" s="2076"/>
      <c r="M16" s="2076"/>
      <c r="N16" s="2077"/>
      <c r="O16" s="2076"/>
      <c r="P16" s="2077"/>
      <c r="Q16" s="2026"/>
      <c r="R16" s="2026"/>
    </row>
    <row r="17" spans="1:22" ht="48" customHeight="1">
      <c r="A17" s="2079" t="s">
        <v>1802</v>
      </c>
      <c r="B17" s="2032" t="s">
        <v>1803</v>
      </c>
      <c r="C17" s="1053">
        <f>'数据-汇总表'!E3</f>
        <v>7048.35</v>
      </c>
      <c r="D17" s="2080" t="s">
        <v>1804</v>
      </c>
      <c r="E17" s="3055" t="s">
        <v>3056</v>
      </c>
      <c r="F17" s="3056"/>
      <c r="G17" s="3056"/>
      <c r="H17" s="3056"/>
      <c r="I17" s="3057"/>
      <c r="J17" s="2026"/>
      <c r="K17" s="2081"/>
      <c r="L17" s="2076"/>
      <c r="M17" s="2076"/>
      <c r="N17" s="2077"/>
      <c r="O17" s="2076"/>
      <c r="P17" s="2077"/>
      <c r="Q17" s="2026"/>
      <c r="R17" s="2026"/>
      <c r="S17" s="2026"/>
      <c r="T17" s="2026"/>
      <c r="U17" s="2026"/>
      <c r="V17" s="2026"/>
    </row>
    <row r="18" spans="1:22" ht="36" customHeight="1" thickBot="1">
      <c r="A18" s="2082" t="s">
        <v>70</v>
      </c>
      <c r="B18" s="2035" t="s">
        <v>1805</v>
      </c>
      <c r="C18" s="1441">
        <f>'数据-汇总表'!D3</f>
        <v>1000</v>
      </c>
      <c r="D18" s="2083" t="s">
        <v>1804</v>
      </c>
      <c r="E18" s="3058" t="s">
        <v>3057</v>
      </c>
      <c r="F18" s="3059"/>
      <c r="G18" s="3059"/>
      <c r="H18" s="3059"/>
      <c r="I18" s="3060"/>
      <c r="J18" s="2026"/>
      <c r="K18" s="2081"/>
      <c r="L18" s="2076"/>
      <c r="M18" s="2076"/>
      <c r="N18" s="2077"/>
      <c r="O18" s="2076"/>
      <c r="P18" s="2077"/>
      <c r="Q18" s="2026"/>
      <c r="R18" s="2026"/>
      <c r="S18" s="2026"/>
      <c r="T18" s="2026"/>
      <c r="U18" s="2026"/>
      <c r="V18" s="2026"/>
    </row>
    <row r="19" spans="1:22" ht="37.5" customHeight="1" thickTop="1" thickBot="1">
      <c r="A19" s="372" t="s">
        <v>1806</v>
      </c>
      <c r="B19" s="351" t="s">
        <v>1807</v>
      </c>
      <c r="C19" s="2084" t="s">
        <v>3058</v>
      </c>
      <c r="D19" s="2085" t="s">
        <v>1808</v>
      </c>
      <c r="E19" s="2086" t="s">
        <v>3058</v>
      </c>
      <c r="F19" s="2087" t="str">
        <f>IF(AND(C19="是",E19="否"),"是否提供他项权证或相关说明","")</f>
        <v/>
      </c>
      <c r="G19" s="2088" t="s">
        <v>70</v>
      </c>
      <c r="H19" s="2039"/>
      <c r="I19" s="2039"/>
      <c r="J19" s="2039"/>
      <c r="K19" s="2048"/>
      <c r="L19" s="2025"/>
      <c r="M19" s="2025"/>
      <c r="N19" s="2077"/>
      <c r="O19" s="2076"/>
      <c r="P19" s="2077"/>
      <c r="Q19" s="2026"/>
      <c r="R19" s="2026"/>
      <c r="S19" s="2026"/>
      <c r="T19" s="2026"/>
      <c r="U19" s="2026"/>
      <c r="V19" s="2026"/>
    </row>
    <row r="20" spans="1:22" ht="18" customHeight="1">
      <c r="A20" s="2089" t="s">
        <v>1809</v>
      </c>
      <c r="B20" s="3045" t="s">
        <v>1810</v>
      </c>
      <c r="C20" s="3046"/>
      <c r="D20" s="3047" t="s">
        <v>1811</v>
      </c>
      <c r="E20" s="3048"/>
      <c r="F20" s="2090" t="s">
        <v>1812</v>
      </c>
      <c r="G20" s="2039"/>
      <c r="H20" s="2039"/>
      <c r="I20" s="2039"/>
      <c r="J20" s="2039"/>
      <c r="K20" s="3044" t="s">
        <v>1813</v>
      </c>
      <c r="L20" s="74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25"/>
      <c r="N20" s="2077"/>
      <c r="O20" s="2076"/>
      <c r="P20" s="2077"/>
      <c r="Q20" s="2026"/>
      <c r="R20" s="2026"/>
      <c r="S20" s="2026"/>
      <c r="T20" s="2026"/>
      <c r="U20" s="2026"/>
      <c r="V20" s="2026"/>
    </row>
    <row r="21" spans="1:22" ht="24.75" customHeight="1">
      <c r="A21" s="2089"/>
      <c r="B21" s="2091" t="s">
        <v>1814</v>
      </c>
      <c r="C21" s="2092" t="s">
        <v>3059</v>
      </c>
      <c r="D21" s="2093"/>
      <c r="E21" s="2094" t="s">
        <v>70</v>
      </c>
      <c r="F21" s="2095"/>
      <c r="G21" s="2039"/>
      <c r="H21" s="2039"/>
      <c r="I21" s="2039"/>
      <c r="J21" s="2039"/>
      <c r="K21" s="304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77"/>
      <c r="O21" s="2076"/>
      <c r="P21" s="2077"/>
      <c r="Q21" s="2026"/>
      <c r="R21" s="2026"/>
      <c r="S21" s="2026"/>
      <c r="T21" s="2026"/>
      <c r="U21" s="2026"/>
      <c r="V21" s="2026"/>
    </row>
    <row r="22" spans="1:22" ht="24.75" customHeight="1" thickBot="1">
      <c r="A22" s="2089"/>
      <c r="B22" s="2096" t="s">
        <v>1815</v>
      </c>
      <c r="C22" s="2092" t="s">
        <v>70</v>
      </c>
      <c r="D22" s="2023"/>
      <c r="E22" s="2023"/>
      <c r="F22" s="2097"/>
      <c r="G22" s="2039"/>
      <c r="H22" s="2039"/>
      <c r="I22" s="2039"/>
      <c r="J22" s="2039"/>
      <c r="K22" s="304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4"/>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4"/>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32" t="s">
        <v>1822</v>
      </c>
      <c r="B27" s="2057" t="s">
        <v>1823</v>
      </c>
      <c r="C27" s="2112" t="s">
        <v>3060</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32"/>
      <c r="B28" s="2032" t="s">
        <v>1824</v>
      </c>
      <c r="C28" s="2114" t="s">
        <v>3061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32"/>
      <c r="B29" s="2032" t="s">
        <v>1825</v>
      </c>
      <c r="C29" s="2117" t="s">
        <v>3062</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33"/>
      <c r="B30" s="2032" t="s">
        <v>1826</v>
      </c>
      <c r="C30" s="3034"/>
      <c r="D30" s="3035"/>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36" t="s">
        <v>1827</v>
      </c>
      <c r="B31" s="2119" t="s">
        <v>3063</v>
      </c>
      <c r="C31" s="2120" t="str">
        <f>IF(B31="现房","成新及维护状况正常否",IF(B31="在建","工程状态是否正常",IF(B31="土地","是否闲置","-")))</f>
        <v>成新及维护状况正常否</v>
      </c>
      <c r="D31" s="2121"/>
      <c r="E31" s="2948" t="s">
        <v>3065</v>
      </c>
      <c r="F31" s="2039"/>
      <c r="G31" s="2039"/>
      <c r="H31" s="2039"/>
      <c r="I31" s="2039"/>
      <c r="J31" s="2039"/>
      <c r="K31" s="2047"/>
      <c r="L31" s="2025"/>
      <c r="M31" s="2025"/>
      <c r="N31" s="2026"/>
      <c r="O31" s="2027"/>
      <c r="P31" s="2026"/>
      <c r="Q31" s="2026"/>
      <c r="R31" s="2026"/>
      <c r="S31" s="2026"/>
      <c r="T31" s="2026"/>
      <c r="U31" s="2026"/>
      <c r="V31" s="2026"/>
    </row>
    <row r="32" spans="1:22" ht="18" customHeight="1">
      <c r="A32" s="3037"/>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37"/>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3066</v>
      </c>
      <c r="C34" s="2126" t="s">
        <v>3067</v>
      </c>
      <c r="D34" s="2126" t="s">
        <v>3068</v>
      </c>
      <c r="E34" s="2126" t="s">
        <v>3069</v>
      </c>
      <c r="F34" s="2126" t="s">
        <v>3070</v>
      </c>
      <c r="G34" s="2126" t="s">
        <v>3071</v>
      </c>
      <c r="H34" s="2126"/>
      <c r="I34" s="2039"/>
      <c r="J34" s="2039"/>
      <c r="K34" s="1792">
        <f>COUNTIF(B34:H34,"——")</f>
        <v>0</v>
      </c>
      <c r="L34" s="2067" t="s">
        <v>1829</v>
      </c>
      <c r="M34" s="2067" t="s">
        <v>1830</v>
      </c>
      <c r="N34" s="2067" t="s">
        <v>1831</v>
      </c>
      <c r="O34" s="2067" t="s">
        <v>1832</v>
      </c>
      <c r="P34" s="2067" t="s">
        <v>1833</v>
      </c>
      <c r="Q34" s="2067" t="s">
        <v>1834</v>
      </c>
      <c r="R34" s="2067" t="s">
        <v>1835</v>
      </c>
      <c r="S34" s="3031" t="s">
        <v>1836</v>
      </c>
      <c r="T34" s="2127" t="str">
        <f>NUMBERSTRING(7-K34,1)&amp;"通"</f>
        <v>七通</v>
      </c>
      <c r="U34" s="2026"/>
      <c r="V34" s="2026"/>
    </row>
    <row r="35" spans="1:22" ht="18" customHeight="1">
      <c r="A35" s="2128"/>
      <c r="B35" s="3038" t="s">
        <v>1837</v>
      </c>
      <c r="C35" s="3038"/>
      <c r="D35" s="3038"/>
      <c r="E35" s="3038"/>
      <c r="F35" s="2129" t="str">
        <f>C10</f>
        <v>广东省深圳市</v>
      </c>
      <c r="G35" s="2039"/>
      <c r="H35" s="2039"/>
      <c r="I35" s="2039"/>
      <c r="J35" s="2039"/>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31"/>
      <c r="T35" s="47" t="str">
        <f>IF(T34="一通",L35,IF(T34="二通",M35,IF(T34="三通",N35,IF(T34="四通",O35,IF(T34="五通",P35,IF(T34="六通",Q35,R35))))))</f>
        <v>通路、通电、通讯、通上水、通下水、燃气、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3.875" style="2152" customWidth="1"/>
    <col min="4" max="4" width="9.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86">
        <v>1000</v>
      </c>
      <c r="B3" s="13">
        <f>IF(C3="否",G5-AT5,G5)</f>
        <v>7048.35</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1873</v>
      </c>
      <c r="B5" s="1800"/>
      <c r="C5" s="1800"/>
      <c r="D5" s="1803"/>
      <c r="E5" s="15" t="s">
        <v>1</v>
      </c>
      <c r="F5" s="15">
        <f>SUM(F13:F587)</f>
        <v>0</v>
      </c>
      <c r="G5" s="15">
        <f>SUM(G13:G587)</f>
        <v>7048.35</v>
      </c>
      <c r="H5" s="15">
        <f t="shared" ref="H5:AT5" si="0">SUM(H13:H656)</f>
        <v>7048.35</v>
      </c>
      <c r="I5" s="15">
        <f t="shared" si="0"/>
        <v>4002.1</v>
      </c>
      <c r="J5" s="15">
        <f t="shared" si="0"/>
        <v>0</v>
      </c>
      <c r="K5" s="15">
        <f t="shared" si="0"/>
        <v>3046.25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1873</v>
      </c>
      <c r="AW5" s="1800"/>
      <c r="AX5" s="1800"/>
      <c r="AY5" s="16" t="s">
        <v>3</v>
      </c>
      <c r="AZ5" s="17">
        <f t="shared" ref="AZ5:BT5" si="1">SUM(AZ13:AZ656)</f>
        <v>7048.35</v>
      </c>
      <c r="BA5" s="17">
        <f t="shared" si="1"/>
        <v>7048.35</v>
      </c>
      <c r="BB5" s="17">
        <f t="shared" si="1"/>
        <v>4002.1</v>
      </c>
      <c r="BC5" s="17">
        <f t="shared" si="1"/>
        <v>3046.25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1874</v>
      </c>
      <c r="B6" s="2167"/>
      <c r="C6" s="2167"/>
      <c r="D6" s="2168"/>
      <c r="E6" s="15">
        <f>H6+AC6+AT6</f>
        <v>1000</v>
      </c>
      <c r="F6" s="15" t="s">
        <v>1</v>
      </c>
      <c r="G6" s="15" t="s">
        <v>2</v>
      </c>
      <c r="H6" s="19">
        <f>SUMIF(I$12:AB$12,"总值",I6:AB6)</f>
        <v>1000</v>
      </c>
      <c r="I6" s="15">
        <f t="shared" ref="I6:AB6" si="2">ROUND($A$3*I5/$B$3,2)</f>
        <v>567.80999999999995</v>
      </c>
      <c r="J6" s="15">
        <f t="shared" si="2"/>
        <v>0</v>
      </c>
      <c r="K6" s="15">
        <f t="shared" si="2"/>
        <v>432.19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1874</v>
      </c>
      <c r="AW6" s="2167"/>
      <c r="AX6" s="2167"/>
      <c r="AY6" s="20">
        <f>IF(AY3&gt;0,AY3,ROUND($A$3*AZ5/$B$3,2))</f>
        <v>1000</v>
      </c>
      <c r="AZ6" s="15" t="s">
        <v>3</v>
      </c>
      <c r="BA6" s="15">
        <f>ROUND($AY$6*BA5/$AZ$5,2)</f>
        <v>1000</v>
      </c>
      <c r="BB6" s="15">
        <f>ROUND($AY$6*BB5/$AZ$5,2)</f>
        <v>567.80999999999995</v>
      </c>
      <c r="BC6" s="15">
        <f t="shared" ref="BC6:BH6" si="4">ROUND($AY$6*BC5/$AZ$5,2)</f>
        <v>432.19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2" t="s">
        <v>1883</v>
      </c>
      <c r="AW7" s="2159" t="s">
        <v>1884</v>
      </c>
      <c r="AX7" s="22"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80"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2" customFormat="1" ht="12.75">
      <c r="A9" s="2175"/>
      <c r="B9" s="2175"/>
      <c r="C9" s="2175"/>
      <c r="D9" s="2175"/>
      <c r="E9" s="2175"/>
      <c r="F9" s="2175"/>
      <c r="G9" s="1289"/>
      <c r="H9" s="2183" t="s">
        <v>1893</v>
      </c>
      <c r="I9" s="2184" t="s">
        <v>3073</v>
      </c>
      <c r="J9" s="980"/>
      <c r="K9" s="2184" t="s">
        <v>3190</v>
      </c>
      <c r="L9" s="980"/>
      <c r="M9" s="2184"/>
      <c r="N9" s="980"/>
      <c r="O9" s="2184"/>
      <c r="P9" s="980"/>
      <c r="Q9" s="2184"/>
      <c r="R9" s="980"/>
      <c r="S9" s="2184"/>
      <c r="T9" s="980"/>
      <c r="U9" s="2184"/>
      <c r="V9" s="980"/>
      <c r="W9" s="2184"/>
      <c r="X9" s="2185"/>
      <c r="Y9" s="2184"/>
      <c r="Z9" s="980"/>
      <c r="AA9" s="2184"/>
      <c r="AB9" s="980"/>
      <c r="AC9" s="2176" t="s">
        <v>1893</v>
      </c>
      <c r="AD9" s="14" t="s">
        <v>1894</v>
      </c>
      <c r="AE9" s="1295"/>
      <c r="AF9" s="14" t="s">
        <v>1895</v>
      </c>
      <c r="AG9" s="1295"/>
      <c r="AH9" s="14" t="s">
        <v>1894</v>
      </c>
      <c r="AI9" s="1295"/>
      <c r="AJ9" s="14" t="s">
        <v>1895</v>
      </c>
      <c r="AK9" s="1295"/>
      <c r="AL9" s="14" t="s">
        <v>1894</v>
      </c>
      <c r="AM9" s="1295"/>
      <c r="AN9" s="14" t="s">
        <v>1895</v>
      </c>
      <c r="AO9" s="1295"/>
      <c r="AP9" s="14" t="s">
        <v>1894</v>
      </c>
      <c r="AQ9" s="1295"/>
      <c r="AR9" s="14" t="s">
        <v>1895</v>
      </c>
      <c r="AS9" s="2186"/>
      <c r="AT9" s="2175"/>
      <c r="AU9" s="2175" t="s">
        <v>1896</v>
      </c>
      <c r="AV9" s="1289"/>
      <c r="AW9" s="2158"/>
      <c r="AX9" s="1289"/>
      <c r="AY9" s="27"/>
      <c r="AZ9" s="27" t="s">
        <v>1886</v>
      </c>
      <c r="BA9" s="2187" t="s">
        <v>1897</v>
      </c>
      <c r="BB9" s="2188"/>
      <c r="BC9" s="1335"/>
      <c r="BD9" s="1335"/>
      <c r="BE9" s="1335"/>
      <c r="BF9" s="1335"/>
      <c r="BG9" s="1335"/>
      <c r="BH9" s="1335"/>
      <c r="BI9" s="1335"/>
      <c r="BJ9" s="1335"/>
      <c r="BK9" s="2189"/>
      <c r="BL9" s="14" t="s">
        <v>1898</v>
      </c>
      <c r="BM9" s="1815"/>
      <c r="BN9" s="2178"/>
      <c r="BO9" s="1815"/>
      <c r="BP9" s="1815"/>
      <c r="BQ9" s="1815"/>
      <c r="BR9" s="1815"/>
      <c r="BS9" s="1815"/>
      <c r="BT9" s="25"/>
    </row>
    <row r="10" spans="1:72" s="2182" customFormat="1" ht="12.75">
      <c r="A10" s="2175"/>
      <c r="B10" s="2175"/>
      <c r="C10" s="2175"/>
      <c r="D10" s="2175"/>
      <c r="E10" s="2175"/>
      <c r="F10" s="2175"/>
      <c r="G10" s="1289"/>
      <c r="H10" s="27"/>
      <c r="I10" s="2184" t="s">
        <v>1377</v>
      </c>
      <c r="J10" s="980"/>
      <c r="K10" s="2190" t="s">
        <v>1377</v>
      </c>
      <c r="L10" s="980"/>
      <c r="M10" s="2190"/>
      <c r="N10" s="980"/>
      <c r="O10" s="2190"/>
      <c r="P10" s="980"/>
      <c r="Q10" s="2190"/>
      <c r="R10" s="980"/>
      <c r="S10" s="2190"/>
      <c r="T10" s="980"/>
      <c r="U10" s="2190"/>
      <c r="V10" s="980"/>
      <c r="W10" s="2190"/>
      <c r="X10" s="980"/>
      <c r="Y10" s="2190"/>
      <c r="Z10" s="980"/>
      <c r="AA10" s="2190"/>
      <c r="AB10" s="980"/>
      <c r="AC10" s="1289"/>
      <c r="AD10" s="14" t="s">
        <v>1899</v>
      </c>
      <c r="AE10" s="2191"/>
      <c r="AF10" s="14" t="s">
        <v>1899</v>
      </c>
      <c r="AG10" s="2191"/>
      <c r="AH10" s="14" t="s">
        <v>1900</v>
      </c>
      <c r="AI10" s="2191"/>
      <c r="AJ10" s="14" t="s">
        <v>1900</v>
      </c>
      <c r="AK10" s="2191"/>
      <c r="AL10" s="14" t="s">
        <v>1901</v>
      </c>
      <c r="AM10" s="1295"/>
      <c r="AN10" s="14" t="s">
        <v>1901</v>
      </c>
      <c r="AO10" s="1295"/>
      <c r="AP10" s="14" t="s">
        <v>1902</v>
      </c>
      <c r="AQ10" s="1295"/>
      <c r="AR10" s="14" t="s">
        <v>1902</v>
      </c>
      <c r="AS10" s="1295"/>
      <c r="AT10" s="2175"/>
      <c r="AU10" s="2175"/>
      <c r="AV10" s="1289"/>
      <c r="AW10" s="2158"/>
      <c r="AX10" s="1289"/>
      <c r="AY10" s="27"/>
      <c r="AZ10" s="27"/>
      <c r="BA10" s="2192" t="s">
        <v>1893</v>
      </c>
      <c r="BB10" s="2193" t="str">
        <f>I9</f>
        <v>地上</v>
      </c>
      <c r="BC10" s="28" t="str">
        <f>K9</f>
        <v>地下</v>
      </c>
      <c r="BD10" s="28">
        <f>M9</f>
        <v>0</v>
      </c>
      <c r="BE10" s="28">
        <f>O9</f>
        <v>0</v>
      </c>
      <c r="BF10" s="28">
        <f>Q9</f>
        <v>0</v>
      </c>
      <c r="BG10" s="28">
        <f>S9</f>
        <v>0</v>
      </c>
      <c r="BH10" s="28">
        <f>U9</f>
        <v>0</v>
      </c>
      <c r="BI10" s="28">
        <f>W9</f>
        <v>0</v>
      </c>
      <c r="BJ10" s="28">
        <f>Y9</f>
        <v>0</v>
      </c>
      <c r="BK10" s="28">
        <f>AA9</f>
        <v>0</v>
      </c>
      <c r="BL10" s="24" t="s">
        <v>1893</v>
      </c>
      <c r="BM10" s="1814" t="str">
        <f>AD9</f>
        <v>地上</v>
      </c>
      <c r="BN10" s="28" t="str">
        <f>AF9</f>
        <v>地下</v>
      </c>
      <c r="BO10" s="1814" t="str">
        <f>AH9</f>
        <v>地上</v>
      </c>
      <c r="BP10" s="28" t="str">
        <f>AJ9</f>
        <v>地下</v>
      </c>
      <c r="BQ10" s="1814" t="str">
        <f>AL9</f>
        <v>地上</v>
      </c>
      <c r="BR10" s="28" t="str">
        <f>AN9</f>
        <v>地下</v>
      </c>
      <c r="BS10" s="1814" t="str">
        <f>AP9</f>
        <v>地上</v>
      </c>
      <c r="BT10" s="2194" t="str">
        <f>AR9</f>
        <v>地下</v>
      </c>
    </row>
    <row r="11" spans="1:72" s="2182" customFormat="1" ht="12.75">
      <c r="A11" s="2175"/>
      <c r="B11" s="2175"/>
      <c r="C11" s="2175"/>
      <c r="D11" s="2175"/>
      <c r="E11" s="2175"/>
      <c r="F11" s="2175"/>
      <c r="G11" s="1289"/>
      <c r="H11" s="2192"/>
      <c r="I11" s="2195" t="s">
        <v>3074</v>
      </c>
      <c r="J11" s="2196"/>
      <c r="K11" s="2195" t="s">
        <v>3074</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7"/>
      <c r="AZ11" s="27"/>
      <c r="BA11" s="27"/>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0" t="s">
        <v>1906</v>
      </c>
      <c r="AT12" s="2203"/>
      <c r="AU12" s="2200"/>
      <c r="AV12" s="30"/>
      <c r="AW12" s="2159"/>
      <c r="AX12" s="30"/>
      <c r="AY12" s="2204"/>
      <c r="AZ12" s="27"/>
      <c r="BA12" s="2192"/>
      <c r="BB12" s="23" t="str">
        <f>I11</f>
        <v>独立商业</v>
      </c>
      <c r="BC12" s="2205" t="str">
        <f>K11</f>
        <v>独立商业</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9">
        <f>AR11</f>
        <v>0</v>
      </c>
    </row>
    <row r="13" spans="1:72" s="2160" customFormat="1" ht="12.75">
      <c r="A13" s="1269"/>
      <c r="B13" s="1269"/>
      <c r="C13" s="1269">
        <v>107</v>
      </c>
      <c r="D13" s="2206" t="s">
        <v>3058</v>
      </c>
      <c r="E13" s="15">
        <f>IF($C$3="是",ROUND($A$3*G13/$B$3,2),ROUND($A$3*(G13-AT13)/$B$3,2))</f>
        <v>23.38</v>
      </c>
      <c r="F13" s="31"/>
      <c r="G13" s="32">
        <f>H13+AC13+AT13</f>
        <v>164.79</v>
      </c>
      <c r="H13" s="19">
        <f>SUMIF(I$12:AB$12,"总值",I13:AB13)</f>
        <v>164.79</v>
      </c>
      <c r="I13" s="2207">
        <v>164.79</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107</v>
      </c>
      <c r="AY13" s="1803">
        <f>ROUND($AY$6*AZ13/$AZ$5,2)</f>
        <v>23.38</v>
      </c>
      <c r="AZ13" s="15">
        <f>BA13+BL13</f>
        <v>164.79</v>
      </c>
      <c r="BA13" s="15">
        <f>SUM(BB13:BK13)</f>
        <v>164.79</v>
      </c>
      <c r="BB13" s="15">
        <f>IF($D13="是",I13-J13,0)</f>
        <v>164.79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9"/>
      <c r="B14" s="1269"/>
      <c r="C14" s="1269">
        <v>108</v>
      </c>
      <c r="D14" s="2206" t="s">
        <v>3058</v>
      </c>
      <c r="E14" s="15">
        <f>IF($C$3="是",ROUND($A$3*G14/$B$3,2),ROUND($A$3*(G14-AT14)/$B$3,2))</f>
        <v>29.85</v>
      </c>
      <c r="F14" s="31"/>
      <c r="G14" s="32">
        <f>H14+AC14+AT14</f>
        <v>210.42</v>
      </c>
      <c r="H14" s="19">
        <f>SUMIF(I$12:AB$12,"总值",I14:AB14)</f>
        <v>210.42</v>
      </c>
      <c r="I14" s="2207">
        <v>210.42</v>
      </c>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108</v>
      </c>
      <c r="AY14" s="1803">
        <f>ROUND($AY$6*AZ14/$AZ$5,2)</f>
        <v>29.85</v>
      </c>
      <c r="AZ14" s="15">
        <f>BA14+BL14</f>
        <v>210.42</v>
      </c>
      <c r="BA14" s="15">
        <f>SUM(BB14:BK14)</f>
        <v>210.42</v>
      </c>
      <c r="BB14" s="15">
        <f>IF($D14="是",I14-J14,0)</f>
        <v>210.42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9"/>
      <c r="B15" s="1269"/>
      <c r="C15" s="1269">
        <v>119</v>
      </c>
      <c r="D15" s="2206" t="s">
        <v>3058</v>
      </c>
      <c r="E15" s="15">
        <f>IF($C$3="是",ROUND($A$3*G15/$B$3,2),ROUND($A$3*(G15-AT15)/$B$3,2))</f>
        <v>29.85</v>
      </c>
      <c r="F15" s="31"/>
      <c r="G15" s="32">
        <f>H15+AC15+AT15</f>
        <v>210.42</v>
      </c>
      <c r="H15" s="19">
        <f>SUMIF(I$12:AB$12,"总值",I15:AB15)</f>
        <v>210.42</v>
      </c>
      <c r="I15" s="2207">
        <v>210.42</v>
      </c>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119</v>
      </c>
      <c r="AY15" s="1803">
        <f>ROUND($AY$6*AZ15/$AZ$5,2)</f>
        <v>29.85</v>
      </c>
      <c r="AZ15" s="15">
        <f>BA15+BL15</f>
        <v>210.42</v>
      </c>
      <c r="BA15" s="15">
        <f>SUM(BB15:BK15)</f>
        <v>210.42</v>
      </c>
      <c r="BB15" s="15">
        <f>IF($D15="是",I15-J15,0)</f>
        <v>210.42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9"/>
      <c r="B16" s="1269"/>
      <c r="C16" s="1269">
        <v>110</v>
      </c>
      <c r="D16" s="2206" t="s">
        <v>3058</v>
      </c>
      <c r="E16" s="15">
        <f>IF($C$3="是",ROUND($A$3*G16/$B$3,2),ROUND($A$3*(G16-AT16)/$B$3,2))</f>
        <v>28.95</v>
      </c>
      <c r="F16" s="31"/>
      <c r="G16" s="32">
        <f>H16+AC16+AT16</f>
        <v>204.02</v>
      </c>
      <c r="H16" s="19">
        <f>SUMIF(I$12:AB$12,"总值",I16:AB16)</f>
        <v>204.02</v>
      </c>
      <c r="I16" s="2207">
        <v>204.02</v>
      </c>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110</v>
      </c>
      <c r="AY16" s="1803">
        <f>ROUND($AY$6*AZ16/$AZ$5,2)</f>
        <v>28.95</v>
      </c>
      <c r="AZ16" s="15">
        <f>BA16+BL16</f>
        <v>204.02</v>
      </c>
      <c r="BA16" s="15">
        <f>SUM(BB16:BK16)</f>
        <v>204.02</v>
      </c>
      <c r="BB16" s="15">
        <f>IF($D16="是",I16-J16,0)</f>
        <v>204.02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9"/>
      <c r="B17" s="1269"/>
      <c r="C17" s="1269">
        <v>111</v>
      </c>
      <c r="D17" s="2206" t="s">
        <v>3058</v>
      </c>
      <c r="E17" s="15">
        <f>IF($C$3="是",ROUND($A$3*G17/$B$3,2),ROUND($A$3*(G17-AT17)/$B$3,2))</f>
        <v>37.93</v>
      </c>
      <c r="F17" s="31"/>
      <c r="G17" s="32">
        <f>H17+AC17+AT17</f>
        <v>267.31</v>
      </c>
      <c r="H17" s="19">
        <f>SUMIF(I$12:AB$12,"总值",I17:AB17)</f>
        <v>267.31</v>
      </c>
      <c r="I17" s="2207">
        <v>267.31</v>
      </c>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111</v>
      </c>
      <c r="AY17" s="1803">
        <f>ROUND($AY$6*AZ17/$AZ$5,2)</f>
        <v>37.93</v>
      </c>
      <c r="AZ17" s="15">
        <f>BA17+BL17</f>
        <v>267.31</v>
      </c>
      <c r="BA17" s="15">
        <f>SUM(BB17:BK17)</f>
        <v>267.31</v>
      </c>
      <c r="BB17" s="15">
        <f>IF($D17="是",I17-J17,0)</f>
        <v>267.31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v>205</v>
      </c>
      <c r="D18" s="2206" t="s">
        <v>3058</v>
      </c>
      <c r="E18" s="34">
        <f t="shared" ref="E18:E112" si="7">IF($C$3="是",ROUND($A$3*G18/$B$3,2),ROUND($A$3*(G18-AT18)/$B$3,2))</f>
        <v>25.24</v>
      </c>
      <c r="F18" s="35"/>
      <c r="G18" s="36">
        <f t="shared" ref="G18:G109" si="8">H18+AC18+AT18</f>
        <v>177.89</v>
      </c>
      <c r="H18" s="37">
        <f t="shared" ref="H18:H109" si="9">SUMIF(I$12:AB$12,"总值",I18:AB18)</f>
        <v>177.89</v>
      </c>
      <c r="I18" s="38">
        <v>177.89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2">
        <f t="shared" ref="AV18:AV112" si="11">A18</f>
        <v>0</v>
      </c>
      <c r="AW18" s="1792">
        <f t="shared" ref="AW18:AW112" si="12">B18</f>
        <v>0</v>
      </c>
      <c r="AX18" s="1792">
        <f t="shared" ref="AX18:AX112" si="13">C18</f>
        <v>205</v>
      </c>
      <c r="AY18" s="41">
        <f t="shared" ref="AY18:AY109" si="14">ROUND($AY$6*AZ18/$AZ$5,2)</f>
        <v>25.24</v>
      </c>
      <c r="AZ18" s="34">
        <f t="shared" ref="AZ18:AZ109" si="15">BA18+BL18</f>
        <v>177.89</v>
      </c>
      <c r="BA18" s="34">
        <f t="shared" ref="BA18:BA109" si="16">SUM(BB18:BK18)</f>
        <v>177.89</v>
      </c>
      <c r="BB18" s="34">
        <f t="shared" ref="BB18:BB109" si="17">IF($D18="是",I18-J18,0)</f>
        <v>177.89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v>211</v>
      </c>
      <c r="D19" s="2206" t="s">
        <v>3058</v>
      </c>
      <c r="E19" s="34">
        <f t="shared" si="7"/>
        <v>12.14</v>
      </c>
      <c r="F19" s="35"/>
      <c r="G19" s="36">
        <f t="shared" si="8"/>
        <v>85.59</v>
      </c>
      <c r="H19" s="37">
        <f t="shared" si="9"/>
        <v>85.59</v>
      </c>
      <c r="I19" s="38">
        <v>85.59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2">
        <f t="shared" si="11"/>
        <v>0</v>
      </c>
      <c r="AW19" s="1792">
        <f t="shared" si="12"/>
        <v>0</v>
      </c>
      <c r="AX19" s="1792">
        <f t="shared" si="13"/>
        <v>211</v>
      </c>
      <c r="AY19" s="41">
        <f t="shared" si="14"/>
        <v>12.14</v>
      </c>
      <c r="AZ19" s="34">
        <f t="shared" si="15"/>
        <v>85.59</v>
      </c>
      <c r="BA19" s="34">
        <f t="shared" si="16"/>
        <v>85.59</v>
      </c>
      <c r="BB19" s="34">
        <f t="shared" si="17"/>
        <v>85.59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v>212</v>
      </c>
      <c r="D20" s="2206" t="s">
        <v>3058</v>
      </c>
      <c r="E20" s="34">
        <f t="shared" si="7"/>
        <v>34.049999999999997</v>
      </c>
      <c r="F20" s="35"/>
      <c r="G20" s="36">
        <f t="shared" si="8"/>
        <v>240.03</v>
      </c>
      <c r="H20" s="37">
        <f t="shared" si="9"/>
        <v>240.03</v>
      </c>
      <c r="I20" s="38">
        <v>240.03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2">
        <f t="shared" si="11"/>
        <v>0</v>
      </c>
      <c r="AW20" s="1792">
        <f t="shared" si="12"/>
        <v>0</v>
      </c>
      <c r="AX20" s="1792">
        <f t="shared" si="13"/>
        <v>212</v>
      </c>
      <c r="AY20" s="41">
        <f t="shared" si="14"/>
        <v>34.049999999999997</v>
      </c>
      <c r="AZ20" s="34">
        <f t="shared" si="15"/>
        <v>240.03</v>
      </c>
      <c r="BA20" s="34">
        <f t="shared" si="16"/>
        <v>240.03</v>
      </c>
      <c r="BB20" s="34">
        <f t="shared" si="17"/>
        <v>240.03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v>213</v>
      </c>
      <c r="D21" s="2206" t="s">
        <v>3058</v>
      </c>
      <c r="E21" s="34">
        <f t="shared" si="7"/>
        <v>27.32</v>
      </c>
      <c r="F21" s="35"/>
      <c r="G21" s="36">
        <f t="shared" si="8"/>
        <v>192.56</v>
      </c>
      <c r="H21" s="37">
        <f t="shared" si="9"/>
        <v>192.56</v>
      </c>
      <c r="I21" s="38">
        <v>192.56</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2">
        <f t="shared" si="11"/>
        <v>0</v>
      </c>
      <c r="AW21" s="1792">
        <f t="shared" si="12"/>
        <v>0</v>
      </c>
      <c r="AX21" s="1792">
        <f t="shared" si="13"/>
        <v>213</v>
      </c>
      <c r="AY21" s="41">
        <f t="shared" si="14"/>
        <v>27.32</v>
      </c>
      <c r="AZ21" s="34">
        <f t="shared" si="15"/>
        <v>192.56</v>
      </c>
      <c r="BA21" s="34">
        <f t="shared" si="16"/>
        <v>192.56</v>
      </c>
      <c r="BB21" s="34">
        <f t="shared" si="17"/>
        <v>192.56</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v>215</v>
      </c>
      <c r="D22" s="2206" t="s">
        <v>3058</v>
      </c>
      <c r="E22" s="34">
        <f t="shared" si="7"/>
        <v>19.739999999999998</v>
      </c>
      <c r="F22" s="35"/>
      <c r="G22" s="36">
        <f t="shared" si="8"/>
        <v>139.16</v>
      </c>
      <c r="H22" s="37">
        <f t="shared" si="9"/>
        <v>139.16</v>
      </c>
      <c r="I22" s="38">
        <v>139.16</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2">
        <f t="shared" si="11"/>
        <v>0</v>
      </c>
      <c r="AW22" s="1792">
        <f t="shared" si="12"/>
        <v>0</v>
      </c>
      <c r="AX22" s="1792">
        <f t="shared" si="13"/>
        <v>215</v>
      </c>
      <c r="AY22" s="41">
        <f t="shared" si="14"/>
        <v>19.739999999999998</v>
      </c>
      <c r="AZ22" s="34">
        <f t="shared" si="15"/>
        <v>139.16</v>
      </c>
      <c r="BA22" s="34">
        <f t="shared" si="16"/>
        <v>139.16</v>
      </c>
      <c r="BB22" s="34">
        <f t="shared" si="17"/>
        <v>139.16</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v>216</v>
      </c>
      <c r="D23" s="2206" t="s">
        <v>3058</v>
      </c>
      <c r="E23" s="34">
        <f t="shared" si="7"/>
        <v>23.58</v>
      </c>
      <c r="F23" s="35"/>
      <c r="G23" s="36">
        <f t="shared" si="8"/>
        <v>166.2</v>
      </c>
      <c r="H23" s="37">
        <f t="shared" si="9"/>
        <v>166.2</v>
      </c>
      <c r="I23" s="38">
        <v>166.2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2">
        <f t="shared" si="11"/>
        <v>0</v>
      </c>
      <c r="AW23" s="1792">
        <f t="shared" si="12"/>
        <v>0</v>
      </c>
      <c r="AX23" s="1792">
        <f t="shared" si="13"/>
        <v>216</v>
      </c>
      <c r="AY23" s="41">
        <f t="shared" si="14"/>
        <v>23.58</v>
      </c>
      <c r="AZ23" s="34">
        <f t="shared" si="15"/>
        <v>166.2</v>
      </c>
      <c r="BA23" s="34">
        <f t="shared" si="16"/>
        <v>166.2</v>
      </c>
      <c r="BB23" s="34">
        <f t="shared" si="17"/>
        <v>166.2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v>217</v>
      </c>
      <c r="D24" s="2206" t="s">
        <v>3058</v>
      </c>
      <c r="E24" s="34">
        <f t="shared" si="7"/>
        <v>30.11</v>
      </c>
      <c r="F24" s="35"/>
      <c r="G24" s="36">
        <f t="shared" si="8"/>
        <v>212.22</v>
      </c>
      <c r="H24" s="37">
        <f t="shared" si="9"/>
        <v>212.22</v>
      </c>
      <c r="I24" s="38">
        <v>212.22</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2">
        <f t="shared" si="11"/>
        <v>0</v>
      </c>
      <c r="AW24" s="1792">
        <f t="shared" si="12"/>
        <v>0</v>
      </c>
      <c r="AX24" s="1792">
        <f t="shared" si="13"/>
        <v>217</v>
      </c>
      <c r="AY24" s="41">
        <f t="shared" si="14"/>
        <v>30.11</v>
      </c>
      <c r="AZ24" s="34">
        <f t="shared" si="15"/>
        <v>212.22</v>
      </c>
      <c r="BA24" s="34">
        <f t="shared" si="16"/>
        <v>212.22</v>
      </c>
      <c r="BB24" s="34">
        <f t="shared" si="17"/>
        <v>212.22</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v>218</v>
      </c>
      <c r="D25" s="2206" t="s">
        <v>3058</v>
      </c>
      <c r="E25" s="34">
        <f t="shared" si="7"/>
        <v>30.11</v>
      </c>
      <c r="F25" s="35"/>
      <c r="G25" s="36">
        <f t="shared" si="8"/>
        <v>212.22</v>
      </c>
      <c r="H25" s="37">
        <f t="shared" si="9"/>
        <v>212.22</v>
      </c>
      <c r="I25" s="38">
        <v>212.22</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2">
        <f t="shared" si="11"/>
        <v>0</v>
      </c>
      <c r="AW25" s="1792">
        <f t="shared" si="12"/>
        <v>0</v>
      </c>
      <c r="AX25" s="1792">
        <f t="shared" si="13"/>
        <v>218</v>
      </c>
      <c r="AY25" s="41">
        <f t="shared" si="14"/>
        <v>30.11</v>
      </c>
      <c r="AZ25" s="34">
        <f t="shared" si="15"/>
        <v>212.22</v>
      </c>
      <c r="BA25" s="34">
        <f t="shared" si="16"/>
        <v>212.22</v>
      </c>
      <c r="BB25" s="34">
        <f t="shared" si="17"/>
        <v>212.22</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v>219</v>
      </c>
      <c r="D26" s="2206" t="s">
        <v>3058</v>
      </c>
      <c r="E26" s="34">
        <f t="shared" si="7"/>
        <v>28.66</v>
      </c>
      <c r="F26" s="35"/>
      <c r="G26" s="36">
        <f t="shared" si="8"/>
        <v>202.01</v>
      </c>
      <c r="H26" s="37">
        <f t="shared" si="9"/>
        <v>202.01</v>
      </c>
      <c r="I26" s="38">
        <v>202.01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2">
        <f t="shared" si="11"/>
        <v>0</v>
      </c>
      <c r="AW26" s="1792">
        <f t="shared" si="12"/>
        <v>0</v>
      </c>
      <c r="AX26" s="1792">
        <f t="shared" si="13"/>
        <v>219</v>
      </c>
      <c r="AY26" s="41">
        <f t="shared" si="14"/>
        <v>28.66</v>
      </c>
      <c r="AZ26" s="34">
        <f t="shared" si="15"/>
        <v>202.01</v>
      </c>
      <c r="BA26" s="34">
        <f t="shared" si="16"/>
        <v>202.01</v>
      </c>
      <c r="BB26" s="34">
        <f t="shared" si="17"/>
        <v>202.01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v>220</v>
      </c>
      <c r="D27" s="2206" t="s">
        <v>3058</v>
      </c>
      <c r="E27" s="34">
        <f t="shared" si="7"/>
        <v>13.31</v>
      </c>
      <c r="F27" s="35"/>
      <c r="G27" s="36">
        <f t="shared" si="8"/>
        <v>93.81</v>
      </c>
      <c r="H27" s="37">
        <f t="shared" si="9"/>
        <v>93.81</v>
      </c>
      <c r="I27" s="38">
        <v>93.81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2">
        <f t="shared" si="11"/>
        <v>0</v>
      </c>
      <c r="AW27" s="1792">
        <f t="shared" si="12"/>
        <v>0</v>
      </c>
      <c r="AX27" s="1792">
        <f t="shared" si="13"/>
        <v>220</v>
      </c>
      <c r="AY27" s="41">
        <f t="shared" si="14"/>
        <v>13.31</v>
      </c>
      <c r="AZ27" s="34">
        <f t="shared" si="15"/>
        <v>93.81</v>
      </c>
      <c r="BA27" s="34">
        <f t="shared" si="16"/>
        <v>93.81</v>
      </c>
      <c r="BB27" s="34">
        <f t="shared" si="17"/>
        <v>93.81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v>221</v>
      </c>
      <c r="D28" s="2206" t="s">
        <v>3058</v>
      </c>
      <c r="E28" s="34">
        <f t="shared" si="7"/>
        <v>3.95</v>
      </c>
      <c r="F28" s="35"/>
      <c r="G28" s="36">
        <f t="shared" si="8"/>
        <v>27.86</v>
      </c>
      <c r="H28" s="37">
        <f t="shared" si="9"/>
        <v>27.86</v>
      </c>
      <c r="I28" s="38">
        <v>27.86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2">
        <f t="shared" si="11"/>
        <v>0</v>
      </c>
      <c r="AW28" s="1792">
        <f t="shared" si="12"/>
        <v>0</v>
      </c>
      <c r="AX28" s="1792">
        <f t="shared" si="13"/>
        <v>221</v>
      </c>
      <c r="AY28" s="41">
        <f t="shared" si="14"/>
        <v>3.95</v>
      </c>
      <c r="AZ28" s="34">
        <f t="shared" si="15"/>
        <v>27.86</v>
      </c>
      <c r="BA28" s="34">
        <f t="shared" si="16"/>
        <v>27.86</v>
      </c>
      <c r="BB28" s="34">
        <f t="shared" si="17"/>
        <v>27.86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v>222</v>
      </c>
      <c r="D29" s="2206" t="s">
        <v>3058</v>
      </c>
      <c r="E29" s="34">
        <f t="shared" si="7"/>
        <v>14.55</v>
      </c>
      <c r="F29" s="35"/>
      <c r="G29" s="36">
        <f t="shared" si="8"/>
        <v>102.57</v>
      </c>
      <c r="H29" s="37">
        <f t="shared" si="9"/>
        <v>102.57</v>
      </c>
      <c r="I29" s="38">
        <v>102.57</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2">
        <f t="shared" si="11"/>
        <v>0</v>
      </c>
      <c r="AW29" s="1792">
        <f t="shared" si="12"/>
        <v>0</v>
      </c>
      <c r="AX29" s="1792">
        <f t="shared" si="13"/>
        <v>222</v>
      </c>
      <c r="AY29" s="41">
        <f t="shared" si="14"/>
        <v>14.55</v>
      </c>
      <c r="AZ29" s="34">
        <f t="shared" si="15"/>
        <v>102.57</v>
      </c>
      <c r="BA29" s="34">
        <f t="shared" si="16"/>
        <v>102.57</v>
      </c>
      <c r="BB29" s="34">
        <f t="shared" si="17"/>
        <v>102.57</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v>301</v>
      </c>
      <c r="D30" s="2206" t="s">
        <v>3058</v>
      </c>
      <c r="E30" s="34">
        <f t="shared" si="7"/>
        <v>30.27</v>
      </c>
      <c r="F30" s="35"/>
      <c r="G30" s="36">
        <f t="shared" si="8"/>
        <v>213.37</v>
      </c>
      <c r="H30" s="37">
        <f t="shared" si="9"/>
        <v>213.37</v>
      </c>
      <c r="I30" s="38">
        <v>213.37</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2">
        <f t="shared" si="11"/>
        <v>0</v>
      </c>
      <c r="AW30" s="1792">
        <f t="shared" si="12"/>
        <v>0</v>
      </c>
      <c r="AX30" s="1792">
        <f t="shared" si="13"/>
        <v>301</v>
      </c>
      <c r="AY30" s="41">
        <f t="shared" si="14"/>
        <v>30.27</v>
      </c>
      <c r="AZ30" s="34">
        <f t="shared" si="15"/>
        <v>213.37</v>
      </c>
      <c r="BA30" s="34">
        <f t="shared" si="16"/>
        <v>213.37</v>
      </c>
      <c r="BB30" s="34">
        <f t="shared" si="17"/>
        <v>213.37</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v>311</v>
      </c>
      <c r="D31" s="2206" t="s">
        <v>3058</v>
      </c>
      <c r="E31" s="34">
        <f t="shared" si="7"/>
        <v>10.56</v>
      </c>
      <c r="F31" s="35"/>
      <c r="G31" s="36">
        <f t="shared" si="8"/>
        <v>74.400000000000006</v>
      </c>
      <c r="H31" s="37">
        <f t="shared" si="9"/>
        <v>74.400000000000006</v>
      </c>
      <c r="I31" s="38">
        <v>74.400000000000006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2">
        <f t="shared" si="11"/>
        <v>0</v>
      </c>
      <c r="AW31" s="1792">
        <f t="shared" si="12"/>
        <v>0</v>
      </c>
      <c r="AX31" s="1792">
        <f t="shared" si="13"/>
        <v>311</v>
      </c>
      <c r="AY31" s="41">
        <f t="shared" si="14"/>
        <v>10.56</v>
      </c>
      <c r="AZ31" s="34">
        <f t="shared" si="15"/>
        <v>74.400000000000006</v>
      </c>
      <c r="BA31" s="34">
        <f t="shared" si="16"/>
        <v>74.400000000000006</v>
      </c>
      <c r="BB31" s="34">
        <f t="shared" si="17"/>
        <v>74.400000000000006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v>313</v>
      </c>
      <c r="D32" s="2206" t="s">
        <v>3058</v>
      </c>
      <c r="E32" s="34">
        <f t="shared" si="7"/>
        <v>24.89</v>
      </c>
      <c r="F32" s="35"/>
      <c r="G32" s="36">
        <f t="shared" si="8"/>
        <v>175.44</v>
      </c>
      <c r="H32" s="37">
        <f t="shared" si="9"/>
        <v>175.44</v>
      </c>
      <c r="I32" s="38">
        <v>175.44</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2">
        <f t="shared" si="11"/>
        <v>0</v>
      </c>
      <c r="AW32" s="1792">
        <f t="shared" si="12"/>
        <v>0</v>
      </c>
      <c r="AX32" s="1792">
        <f t="shared" si="13"/>
        <v>313</v>
      </c>
      <c r="AY32" s="41">
        <f t="shared" si="14"/>
        <v>24.89</v>
      </c>
      <c r="AZ32" s="34">
        <f t="shared" si="15"/>
        <v>175.44</v>
      </c>
      <c r="BA32" s="34">
        <f t="shared" si="16"/>
        <v>175.44</v>
      </c>
      <c r="BB32" s="34">
        <f t="shared" si="17"/>
        <v>175.44</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v>315</v>
      </c>
      <c r="D33" s="2206" t="s">
        <v>3058</v>
      </c>
      <c r="E33" s="34">
        <f t="shared" si="7"/>
        <v>17.16</v>
      </c>
      <c r="F33" s="35"/>
      <c r="G33" s="36">
        <f t="shared" si="8"/>
        <v>120.98</v>
      </c>
      <c r="H33" s="37">
        <f t="shared" si="9"/>
        <v>120.98</v>
      </c>
      <c r="I33" s="38">
        <v>120.98</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2">
        <f t="shared" si="11"/>
        <v>0</v>
      </c>
      <c r="AW33" s="1792">
        <f t="shared" si="12"/>
        <v>0</v>
      </c>
      <c r="AX33" s="1792">
        <f t="shared" si="13"/>
        <v>315</v>
      </c>
      <c r="AY33" s="41">
        <f t="shared" si="14"/>
        <v>17.16</v>
      </c>
      <c r="AZ33" s="34">
        <f t="shared" si="15"/>
        <v>120.98</v>
      </c>
      <c r="BA33" s="34">
        <f t="shared" si="16"/>
        <v>120.98</v>
      </c>
      <c r="BB33" s="34">
        <f t="shared" si="17"/>
        <v>120.98</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v>316</v>
      </c>
      <c r="D34" s="2206" t="s">
        <v>3058</v>
      </c>
      <c r="E34" s="34">
        <f t="shared" si="7"/>
        <v>20.5</v>
      </c>
      <c r="F34" s="35"/>
      <c r="G34" s="36">
        <f t="shared" si="8"/>
        <v>144.47999999999999</v>
      </c>
      <c r="H34" s="37">
        <f t="shared" si="9"/>
        <v>144.47999999999999</v>
      </c>
      <c r="I34" s="38">
        <v>144.47999999999999</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2">
        <f t="shared" si="11"/>
        <v>0</v>
      </c>
      <c r="AW34" s="1792">
        <f t="shared" si="12"/>
        <v>0</v>
      </c>
      <c r="AX34" s="1792">
        <f t="shared" si="13"/>
        <v>316</v>
      </c>
      <c r="AY34" s="41">
        <f t="shared" si="14"/>
        <v>20.5</v>
      </c>
      <c r="AZ34" s="34">
        <f t="shared" si="15"/>
        <v>144.47999999999999</v>
      </c>
      <c r="BA34" s="34">
        <f t="shared" si="16"/>
        <v>144.47999999999999</v>
      </c>
      <c r="BB34" s="34">
        <f t="shared" si="17"/>
        <v>144.47999999999999</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v>317</v>
      </c>
      <c r="D35" s="2206" t="s">
        <v>3058</v>
      </c>
      <c r="E35" s="34">
        <f t="shared" si="7"/>
        <v>26.17</v>
      </c>
      <c r="F35" s="35"/>
      <c r="G35" s="36">
        <f t="shared" si="8"/>
        <v>184.49</v>
      </c>
      <c r="H35" s="37">
        <f t="shared" si="9"/>
        <v>184.49</v>
      </c>
      <c r="I35" s="38">
        <v>184.49</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2">
        <f t="shared" si="11"/>
        <v>0</v>
      </c>
      <c r="AW35" s="1792">
        <f t="shared" si="12"/>
        <v>0</v>
      </c>
      <c r="AX35" s="1792">
        <f t="shared" si="13"/>
        <v>317</v>
      </c>
      <c r="AY35" s="41">
        <f t="shared" si="14"/>
        <v>26.17</v>
      </c>
      <c r="AZ35" s="34">
        <f t="shared" si="15"/>
        <v>184.49</v>
      </c>
      <c r="BA35" s="34">
        <f t="shared" si="16"/>
        <v>184.49</v>
      </c>
      <c r="BB35" s="34">
        <f t="shared" si="17"/>
        <v>184.49</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v>319</v>
      </c>
      <c r="D36" s="2206" t="s">
        <v>3058</v>
      </c>
      <c r="E36" s="34">
        <f t="shared" si="7"/>
        <v>25.52</v>
      </c>
      <c r="F36" s="35"/>
      <c r="G36" s="36">
        <f t="shared" si="8"/>
        <v>179.86</v>
      </c>
      <c r="H36" s="37">
        <f t="shared" si="9"/>
        <v>179.86</v>
      </c>
      <c r="I36" s="38">
        <v>179.86</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2">
        <f t="shared" si="11"/>
        <v>0</v>
      </c>
      <c r="AW36" s="1792">
        <f t="shared" si="12"/>
        <v>0</v>
      </c>
      <c r="AX36" s="1792">
        <f t="shared" si="13"/>
        <v>319</v>
      </c>
      <c r="AY36" s="41">
        <f t="shared" si="14"/>
        <v>25.52</v>
      </c>
      <c r="AZ36" s="34">
        <f t="shared" si="15"/>
        <v>179.86</v>
      </c>
      <c r="BA36" s="34">
        <f t="shared" si="16"/>
        <v>179.86</v>
      </c>
      <c r="BB36" s="34">
        <f t="shared" si="17"/>
        <v>179.86</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15" customHeight="1">
      <c r="A37" s="9"/>
      <c r="B37" s="33"/>
      <c r="C37" s="33" t="s">
        <v>3072</v>
      </c>
      <c r="D37" s="2206" t="s">
        <v>3058</v>
      </c>
      <c r="E37" s="34">
        <f t="shared" si="7"/>
        <v>432.19</v>
      </c>
      <c r="F37" s="35"/>
      <c r="G37" s="36">
        <f t="shared" si="8"/>
        <v>3046.25</v>
      </c>
      <c r="H37" s="37">
        <f t="shared" si="9"/>
        <v>3046.25</v>
      </c>
      <c r="I37" s="38"/>
      <c r="J37" s="38"/>
      <c r="K37" s="38">
        <v>3046.25</v>
      </c>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2">
        <f t="shared" si="11"/>
        <v>0</v>
      </c>
      <c r="AW37" s="1792">
        <f t="shared" si="12"/>
        <v>0</v>
      </c>
      <c r="AX37" s="1792" t="str">
        <f t="shared" si="13"/>
        <v>负1层地下商场</v>
      </c>
      <c r="AY37" s="41">
        <f t="shared" si="14"/>
        <v>432.19</v>
      </c>
      <c r="AZ37" s="34">
        <f t="shared" si="15"/>
        <v>3046.25</v>
      </c>
      <c r="BA37" s="34">
        <f t="shared" si="16"/>
        <v>3046.25</v>
      </c>
      <c r="BB37" s="34">
        <f t="shared" si="17"/>
        <v>0</v>
      </c>
      <c r="BC37" s="34">
        <f t="shared" si="18"/>
        <v>3046.25</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9"/>
      <c r="C1" s="1389"/>
      <c r="D1" s="1389"/>
      <c r="E1" s="1389"/>
      <c r="F1" s="1389"/>
      <c r="G1" s="1389"/>
      <c r="H1" s="1389"/>
      <c r="I1" s="1389"/>
      <c r="J1" s="1389"/>
      <c r="K1" s="1389"/>
      <c r="L1" s="1389"/>
      <c r="M1" s="1389"/>
      <c r="N1" s="1389"/>
      <c r="O1" s="1389"/>
      <c r="P1" s="1389"/>
    </row>
    <row r="2" spans="1:16" ht="15">
      <c r="A2" s="3072" t="s">
        <v>1933</v>
      </c>
      <c r="B2" s="3072"/>
      <c r="C2" s="3072"/>
      <c r="D2" s="966" t="s">
        <v>1909</v>
      </c>
      <c r="E2" s="2220" t="s">
        <v>1910</v>
      </c>
      <c r="F2" s="1389"/>
      <c r="G2" s="2221"/>
      <c r="H2" s="2222"/>
      <c r="I2" s="2223" t="s">
        <v>1934</v>
      </c>
      <c r="J2" s="1389"/>
      <c r="K2" s="1389"/>
      <c r="L2" s="1389"/>
      <c r="M2" s="1389"/>
      <c r="N2" s="1424"/>
      <c r="O2" s="1389"/>
      <c r="P2" s="1389"/>
    </row>
    <row r="3" spans="1:16" ht="15.75" thickBot="1">
      <c r="A3" s="3073" t="s">
        <v>1907</v>
      </c>
      <c r="B3" s="3073"/>
      <c r="C3" s="3073"/>
      <c r="D3" s="45">
        <f>'数据-基础表'!AY6</f>
        <v>1000</v>
      </c>
      <c r="E3" s="45">
        <f>'数据-基础表'!AZ5</f>
        <v>7048.35</v>
      </c>
      <c r="F3" s="1389"/>
      <c r="G3" s="1396"/>
      <c r="H3" s="1244" t="s">
        <v>1908</v>
      </c>
      <c r="I3" s="54">
        <f>ROUND('数据-基础表'!B3/'数据-基础表'!A3,2)</f>
        <v>7.05</v>
      </c>
      <c r="J3" s="1389"/>
      <c r="K3" s="1389"/>
      <c r="L3" s="1389"/>
      <c r="M3" s="1389"/>
      <c r="N3" s="1424"/>
      <c r="O3" s="1389"/>
      <c r="P3" s="1389"/>
    </row>
    <row r="4" spans="1:16" ht="15">
      <c r="A4" s="3074"/>
      <c r="B4" s="3075"/>
      <c r="C4" s="3076"/>
      <c r="D4" s="2224" t="s">
        <v>1909</v>
      </c>
      <c r="E4" s="2225" t="s">
        <v>1910</v>
      </c>
      <c r="F4" s="1389"/>
      <c r="G4" s="2226" t="s">
        <v>1935</v>
      </c>
      <c r="H4" s="1244" t="s">
        <v>1915</v>
      </c>
      <c r="I4" s="54">
        <f>ROUND(SUMIF('数据-基础表'!I9:AS9,"地上",'数据-基础表'!I5:AS5)/'数据-基础表'!A3,2)</f>
        <v>4</v>
      </c>
      <c r="J4" s="1389"/>
      <c r="K4" s="1389"/>
      <c r="L4" s="1389"/>
      <c r="M4" s="1389"/>
      <c r="N4" s="1424"/>
      <c r="O4" s="1389"/>
      <c r="P4" s="1389"/>
    </row>
    <row r="5" spans="1:16">
      <c r="A5" s="46" t="s">
        <v>1911</v>
      </c>
      <c r="B5" s="3077" t="s">
        <v>1912</v>
      </c>
      <c r="C5" s="3077"/>
      <c r="D5" s="47">
        <f>ROUND($D$3*E5/$E$3,2)</f>
        <v>0</v>
      </c>
      <c r="E5" s="48">
        <f>SUMIF('数据-基础表'!$11:$11,"住宅",'数据-基础表'!$5:$5)</f>
        <v>0</v>
      </c>
      <c r="F5" s="1389"/>
      <c r="G5" s="1396"/>
      <c r="H5" s="1244" t="s">
        <v>1908</v>
      </c>
      <c r="I5" s="54">
        <f>ROUND(E31/D31,2)</f>
        <v>7.05</v>
      </c>
      <c r="J5" s="1389"/>
      <c r="K5" s="1389"/>
      <c r="L5" s="1389"/>
      <c r="M5" s="1389"/>
      <c r="N5" s="1389"/>
      <c r="O5" s="1389"/>
      <c r="P5" s="1389"/>
    </row>
    <row r="6" spans="1:16" ht="15" thickBot="1">
      <c r="A6" s="2227"/>
      <c r="B6" s="3077" t="s">
        <v>1913</v>
      </c>
      <c r="C6" s="3077"/>
      <c r="D6" s="47">
        <f>ROUND($D$3*E6/$E$3,2)</f>
        <v>1000</v>
      </c>
      <c r="E6" s="48">
        <f>E3-E5</f>
        <v>7048.35</v>
      </c>
      <c r="F6" s="1389"/>
      <c r="G6" s="2228" t="s">
        <v>1914</v>
      </c>
      <c r="H6" s="1396" t="s">
        <v>1915</v>
      </c>
      <c r="I6" s="938">
        <f>ROUND(F31/D31,2)</f>
        <v>4</v>
      </c>
      <c r="J6" s="1389"/>
      <c r="K6" s="1389"/>
      <c r="L6" s="1389"/>
      <c r="M6" s="1389"/>
      <c r="N6" s="1389"/>
      <c r="O6" s="1389"/>
      <c r="P6" s="1389"/>
    </row>
    <row r="7" spans="1:16" ht="15">
      <c r="A7" s="3069"/>
      <c r="B7" s="3070"/>
      <c r="C7" s="3071"/>
      <c r="D7" s="2224" t="s">
        <v>1909</v>
      </c>
      <c r="E7" s="2229" t="s">
        <v>1916</v>
      </c>
      <c r="F7" s="1389"/>
      <c r="G7" s="2221" t="s">
        <v>1917</v>
      </c>
      <c r="H7" s="63"/>
      <c r="I7" s="419"/>
      <c r="J7" s="1389"/>
      <c r="K7" s="1389"/>
      <c r="L7" s="1389"/>
      <c r="M7" s="1389"/>
      <c r="N7" s="1389"/>
      <c r="O7" s="1389"/>
      <c r="P7" s="1389"/>
    </row>
    <row r="8" spans="1:16">
      <c r="A8" s="46" t="s">
        <v>1918</v>
      </c>
      <c r="B8" s="49" t="s">
        <v>1919</v>
      </c>
      <c r="C8" s="47" t="s">
        <v>1920</v>
      </c>
      <c r="D8" s="47">
        <f t="shared" ref="D8:D15" si="0">ROUND($D$3*E8/$E$3,2)</f>
        <v>567.80999999999995</v>
      </c>
      <c r="E8" s="50">
        <f>SUMIF('数据-基础表'!BB10:BK10,"地上",'数据-基础表'!BB5:BK5)</f>
        <v>4002.1</v>
      </c>
      <c r="F8" s="1389"/>
      <c r="G8" s="2230"/>
      <c r="H8" s="2230"/>
      <c r="I8" s="1389"/>
      <c r="J8" s="1389"/>
      <c r="K8" s="1389"/>
      <c r="L8" s="1389"/>
      <c r="M8" s="1389"/>
      <c r="N8" s="1389"/>
      <c r="O8" s="1389"/>
      <c r="P8" s="1389"/>
    </row>
    <row r="9" spans="1:16">
      <c r="A9" s="2231"/>
      <c r="B9" s="2232"/>
      <c r="C9" s="47" t="s">
        <v>1921</v>
      </c>
      <c r="D9" s="47">
        <f t="shared" si="0"/>
        <v>0</v>
      </c>
      <c r="E9" s="51">
        <v>0</v>
      </c>
      <c r="F9" s="1389"/>
      <c r="G9" s="2230"/>
      <c r="H9" s="2230"/>
      <c r="I9" s="1389"/>
      <c r="J9" s="1389"/>
      <c r="K9" s="1389"/>
      <c r="L9" s="1389"/>
      <c r="M9" s="1389"/>
      <c r="N9" s="1389"/>
      <c r="O9" s="1389"/>
      <c r="P9" s="1389"/>
    </row>
    <row r="10" spans="1:16">
      <c r="A10" s="2231"/>
      <c r="B10" s="2232"/>
      <c r="C10" s="47" t="s">
        <v>1930</v>
      </c>
      <c r="D10" s="47">
        <f t="shared" si="0"/>
        <v>432.19</v>
      </c>
      <c r="E10" s="50">
        <f>SUMPRODUCT(('数据-基础表'!BB10:BK10="地下")*('数据-基础表'!BB11:BK11="商业")*('数据-基础表'!BB5:BK5))</f>
        <v>3046.25</v>
      </c>
      <c r="F10" s="1389"/>
      <c r="G10" s="2230"/>
      <c r="H10" s="2230"/>
      <c r="I10" s="1389"/>
      <c r="J10" s="1389"/>
      <c r="K10" s="1389"/>
      <c r="L10" s="1389"/>
      <c r="M10" s="1389"/>
      <c r="N10" s="1389"/>
      <c r="O10" s="1389"/>
      <c r="P10" s="1389"/>
    </row>
    <row r="11" spans="1:16">
      <c r="A11" s="2231"/>
      <c r="B11" s="2232"/>
      <c r="C11" s="47" t="s">
        <v>1922</v>
      </c>
      <c r="D11" s="47">
        <f t="shared" si="0"/>
        <v>0</v>
      </c>
      <c r="E11" s="50">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7" t="s">
        <v>1923</v>
      </c>
      <c r="D12" s="47">
        <f t="shared" si="0"/>
        <v>0</v>
      </c>
      <c r="E12" s="50">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7" t="s">
        <v>1924</v>
      </c>
      <c r="D13" s="47">
        <f t="shared" si="0"/>
        <v>0</v>
      </c>
      <c r="E13" s="50">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7" t="s">
        <v>1936</v>
      </c>
      <c r="D14" s="47">
        <f t="shared" si="0"/>
        <v>0</v>
      </c>
      <c r="E14" s="50">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7" t="s">
        <v>1931</v>
      </c>
      <c r="D15" s="47">
        <f t="shared" si="0"/>
        <v>0</v>
      </c>
      <c r="E15" s="50">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49" t="s">
        <v>1925</v>
      </c>
      <c r="D16" s="49">
        <f>SUM(D8:D15)</f>
        <v>1000</v>
      </c>
      <c r="E16" s="52">
        <f>SUM(E8:E15)</f>
        <v>7048.35</v>
      </c>
      <c r="F16" s="1389"/>
      <c r="G16" s="2230"/>
      <c r="H16" s="2233" t="s">
        <v>1937</v>
      </c>
      <c r="I16" s="2234"/>
      <c r="J16" s="1389"/>
      <c r="K16" s="3066" t="s">
        <v>1937</v>
      </c>
      <c r="L16" s="3067"/>
      <c r="M16" s="3067"/>
      <c r="N16" s="3067"/>
      <c r="O16" s="3067"/>
      <c r="P16" s="3068"/>
    </row>
    <row r="17" spans="1:19" ht="15">
      <c r="A17" s="2235" t="s">
        <v>1938</v>
      </c>
      <c r="B17" s="2236" t="s">
        <v>1939</v>
      </c>
      <c r="C17" s="2237" t="s">
        <v>1940</v>
      </c>
      <c r="D17" s="2238" t="s">
        <v>1928</v>
      </c>
      <c r="E17" s="2239" t="s">
        <v>1929</v>
      </c>
      <c r="F17" s="2240"/>
      <c r="G17" s="2241"/>
      <c r="H17" s="2242" t="s">
        <v>1941</v>
      </c>
      <c r="I17" s="2243" t="s">
        <v>1926</v>
      </c>
      <c r="J17" s="1389"/>
      <c r="K17" s="3063" t="s">
        <v>1942</v>
      </c>
      <c r="L17" s="3064"/>
      <c r="M17" s="3065"/>
      <c r="N17" s="3063" t="s">
        <v>1943</v>
      </c>
      <c r="O17" s="3064"/>
      <c r="P17" s="3065"/>
      <c r="R17" s="2221" t="s">
        <v>1944</v>
      </c>
      <c r="S17" s="63"/>
    </row>
    <row r="18" spans="1:19" ht="15">
      <c r="A18" s="2231"/>
      <c r="B18" s="2244"/>
      <c r="C18" s="2245"/>
      <c r="D18" s="2246"/>
      <c r="E18" s="2247" t="s">
        <v>1945</v>
      </c>
      <c r="F18" s="2248" t="s">
        <v>1946</v>
      </c>
      <c r="G18" s="2249" t="s">
        <v>1947</v>
      </c>
      <c r="H18" s="1259" t="s">
        <v>1948</v>
      </c>
      <c r="I18" s="2250" t="s">
        <v>1949</v>
      </c>
      <c r="J18" s="1389"/>
      <c r="K18" s="1259" t="s">
        <v>1950</v>
      </c>
      <c r="L18" s="2251" t="s">
        <v>1951</v>
      </c>
      <c r="M18" s="1045" t="s">
        <v>1952</v>
      </c>
      <c r="N18" s="1259" t="s">
        <v>1950</v>
      </c>
      <c r="O18" s="2251" t="s">
        <v>1951</v>
      </c>
      <c r="P18" s="1045" t="s">
        <v>1952</v>
      </c>
      <c r="R18" s="1244" t="s">
        <v>1953</v>
      </c>
      <c r="S18" s="1244" t="s">
        <v>1954</v>
      </c>
    </row>
    <row r="19" spans="1:19">
      <c r="A19" s="2252"/>
      <c r="B19" s="49" t="s">
        <v>1927</v>
      </c>
      <c r="C19" s="2949" t="s">
        <v>3075</v>
      </c>
      <c r="D19" s="47">
        <f>ROUND($D$3*E19/$E$3,2)</f>
        <v>1000</v>
      </c>
      <c r="E19" s="55">
        <f t="shared" ref="E19:E26" si="1">SUM(F19:G19)</f>
        <v>7048.35</v>
      </c>
      <c r="F19" s="56">
        <f>'数据-基础表'!I5</f>
        <v>4002.1</v>
      </c>
      <c r="G19" s="57">
        <f>'数据-基础表'!K5</f>
        <v>3046.25</v>
      </c>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1000</v>
      </c>
      <c r="S19" s="1245">
        <f t="shared" si="5"/>
        <v>7048.35</v>
      </c>
    </row>
    <row r="20" spans="1:19">
      <c r="A20" s="2256"/>
      <c r="B20" s="49" t="s">
        <v>1955</v>
      </c>
      <c r="C20" s="2253"/>
      <c r="D20" s="47">
        <f t="shared" ref="D20:D26" si="6">ROUND($D$3*E20/$E$3,2)</f>
        <v>0</v>
      </c>
      <c r="E20" s="55">
        <f t="shared" si="1"/>
        <v>0</v>
      </c>
      <c r="F20" s="56"/>
      <c r="G20" s="57"/>
      <c r="H20" s="719">
        <f t="shared" ref="H20:H26" si="7">ROUND($D$3*I20/$E$3,2)</f>
        <v>0</v>
      </c>
      <c r="I20" s="50">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49" t="s">
        <v>1955</v>
      </c>
      <c r="C21" s="2253"/>
      <c r="D21" s="47">
        <f t="shared" si="6"/>
        <v>0</v>
      </c>
      <c r="E21" s="55">
        <f t="shared" si="1"/>
        <v>0</v>
      </c>
      <c r="F21" s="56"/>
      <c r="G21" s="57"/>
      <c r="H21" s="719">
        <f t="shared" si="7"/>
        <v>0</v>
      </c>
      <c r="I21" s="50">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49" t="s">
        <v>1955</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49" t="s">
        <v>1955</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49" t="s">
        <v>1955</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49" t="s">
        <v>1955</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49" t="s">
        <v>1955</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7"/>
      <c r="O26" s="2258"/>
      <c r="P26" s="66">
        <f t="shared" si="9"/>
        <v>0</v>
      </c>
      <c r="R26" s="1244">
        <f t="shared" si="5"/>
        <v>0</v>
      </c>
      <c r="S26" s="1245">
        <f t="shared" si="5"/>
        <v>0</v>
      </c>
    </row>
    <row r="27" spans="1:19" ht="15.75" thickBot="1">
      <c r="A27" s="2256"/>
      <c r="B27" s="47"/>
      <c r="C27" s="2259" t="s">
        <v>1956</v>
      </c>
      <c r="D27" s="1390">
        <f>SUM(D19:D26)</f>
        <v>1000</v>
      </c>
      <c r="E27" s="1391">
        <f>IF(SUM(E19:E26)='数据-基础表'!BA5,SUM(E19:E26),IF(F27="地上面积有误","面积有误","地下面积有误"))</f>
        <v>7048.35</v>
      </c>
      <c r="F27" s="1390">
        <f>IF(SUM(F19:F26)=E8,SUM(F19:F26),"地上面积有误")</f>
        <v>4002.1</v>
      </c>
      <c r="G27" s="1392">
        <f>SUM(G19:G26)</f>
        <v>3046.25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1000</v>
      </c>
      <c r="S27" s="1244">
        <f>IF(SUM(S19:S26)=$E$3,SUM(S19:S26),SUM(S19:S26)&amp;"误差"&amp;ROUND(SUM(S19:S26)-E3,2))</f>
        <v>7048.35</v>
      </c>
    </row>
    <row r="28" spans="1:19">
      <c r="A28" s="2256"/>
      <c r="B28" s="49" t="s">
        <v>1957</v>
      </c>
      <c r="C28" s="1256" t="s">
        <v>1958</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6"/>
      <c r="B29" s="49" t="s">
        <v>1957</v>
      </c>
      <c r="C29" s="2260" t="s">
        <v>1959</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49"/>
      <c r="C30" s="2261"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6" t="s">
        <v>1960</v>
      </c>
      <c r="D31" s="725">
        <f>D27+D30</f>
        <v>1000</v>
      </c>
      <c r="E31" s="725">
        <f>E27+E30</f>
        <v>7048.35</v>
      </c>
      <c r="F31" s="726">
        <f>F27+F30</f>
        <v>4002.1</v>
      </c>
      <c r="G31" s="727">
        <f>G27+G30</f>
        <v>3046.25</v>
      </c>
      <c r="H31" s="1389"/>
      <c r="I31" s="1389"/>
      <c r="J31" s="1389"/>
      <c r="K31" s="1389"/>
      <c r="L31" s="1389"/>
      <c r="M31" s="1389"/>
      <c r="N31" s="1389"/>
      <c r="O31" s="1389"/>
      <c r="P31" s="1389"/>
    </row>
    <row r="32" spans="1:19">
      <c r="A32" s="2226"/>
      <c r="B32" s="2226" t="s">
        <v>1961</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13.1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8"/>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1963</v>
      </c>
      <c r="B2" s="1263">
        <f>项目基本情况!D3</f>
        <v>43276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3076</v>
      </c>
      <c r="O5" s="2289" t="s">
        <v>1983</v>
      </c>
      <c r="P5" s="2292" t="s">
        <v>1984</v>
      </c>
      <c r="Q5" s="68" t="s">
        <v>1985</v>
      </c>
      <c r="R5" s="2293" t="s">
        <v>1986</v>
      </c>
      <c r="S5" s="2294" t="s">
        <v>1987</v>
      </c>
      <c r="T5" s="2295" t="s">
        <v>1988</v>
      </c>
      <c r="U5" s="1264" t="s">
        <v>1989</v>
      </c>
      <c r="V5" s="1265" t="s">
        <v>1990</v>
      </c>
      <c r="W5" s="1265" t="s">
        <v>1991</v>
      </c>
      <c r="X5" s="70"/>
      <c r="Y5" s="69" t="s">
        <v>1992</v>
      </c>
      <c r="Z5" s="2296" t="s">
        <v>1989</v>
      </c>
      <c r="AA5" s="1265" t="s">
        <v>1990</v>
      </c>
      <c r="AB5" s="1265" t="s">
        <v>1991</v>
      </c>
      <c r="AC5" s="70"/>
      <c r="AD5" s="70" t="s">
        <v>1992</v>
      </c>
      <c r="AE5" s="1264" t="s">
        <v>1993</v>
      </c>
      <c r="AF5" s="1265" t="s">
        <v>1994</v>
      </c>
      <c r="AG5" s="69" t="s">
        <v>1995</v>
      </c>
      <c r="AH5" s="1264" t="s">
        <v>1996</v>
      </c>
      <c r="AI5" s="2296" t="s">
        <v>1997</v>
      </c>
      <c r="AJ5" s="2296" t="s">
        <v>1998</v>
      </c>
      <c r="AK5" s="1265" t="s">
        <v>1999</v>
      </c>
      <c r="AL5" s="1265" t="s">
        <v>2000</v>
      </c>
      <c r="AM5" s="69" t="s">
        <v>2001</v>
      </c>
      <c r="AN5" s="2297" t="s">
        <v>2002</v>
      </c>
      <c r="AO5" s="2067" t="s">
        <v>2003</v>
      </c>
      <c r="AP5" s="1246"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1377</v>
      </c>
      <c r="D6" s="1050">
        <f>SUMIF(项目基本情况!D$12:I$12,C6,项目基本情况!D$14:I$14)</f>
        <v>40</v>
      </c>
      <c r="E6" s="1047">
        <f>IF(B6="","",SUMIF(项目基本情况!D$12:I$12,C6,项目基本情况!D$13:I$13))</f>
        <v>52581</v>
      </c>
      <c r="F6" s="71">
        <f>SUMIF(项目基本情况!D$12:I$12,C6,项目基本情况!D$15:I$15)</f>
        <v>25.49</v>
      </c>
      <c r="G6" s="72">
        <f>IF(ISERROR(ROUND(POWER(1+H6,D6-F6)*(POWER(1+H6,F6)-1)/(POWER(1+H6,D6)-1),3)),0,ROUND(POWER(1+H6,D6-F6)*(POWER(1+H6,F6)-1)/(POWER(1+H6,D6)-1),3))</f>
        <v>0.83</v>
      </c>
      <c r="H6" s="798">
        <v>0.05</v>
      </c>
      <c r="I6" s="798">
        <v>5.5E-2</v>
      </c>
      <c r="J6" s="73">
        <v>8.5000000000000006E-2</v>
      </c>
      <c r="K6" s="1248">
        <f>SUMIF('数据-汇总表'!C$19:C$33,A6,'数据-汇总表'!E$19:E$33)</f>
        <v>7048.35</v>
      </c>
      <c r="L6" s="799">
        <v>3200</v>
      </c>
      <c r="M6" s="74">
        <f t="shared" ref="M6:M14" si="0">ROUND(K6*L6/10000,0)</f>
        <v>2255</v>
      </c>
      <c r="N6" s="797">
        <f>ROUND(((1-(2018-1998)/60)+85%)/2,2)</f>
        <v>0.76</v>
      </c>
      <c r="O6" s="74" t="str">
        <f>IF($N$5="成新度","——",ROUND(M6*N6,0))</f>
        <v>——</v>
      </c>
      <c r="P6" s="75" t="str">
        <f>IF($N$5="成新度","——",M6-O6)</f>
        <v>——</v>
      </c>
      <c r="Q6" s="800">
        <v>0.25</v>
      </c>
      <c r="R6" s="76">
        <f ca="1">SUMIF('数据-汇总表'!C$19:C$33,A6,'数据-汇总表'!R$19:R$27)</f>
        <v>1000</v>
      </c>
      <c r="S6" s="53">
        <f>IF('数据-汇总表'!$I$17="按面积比例",SUMIF('数据-汇总表'!C$19:C$33,A6,'数据-汇总表'!K$19:K$33),SUMIF('数据-汇总表'!C$19:C$33,A6,'数据-汇总表'!N$19:N$33))</f>
        <v>0</v>
      </c>
      <c r="T6" s="1440">
        <f>ROUND($L$14*S6/10000,0)</f>
        <v>0</v>
      </c>
      <c r="U6" s="77">
        <f>租约!B10</f>
        <v>2.39</v>
      </c>
      <c r="V6" s="78">
        <v>0</v>
      </c>
      <c r="W6" s="78">
        <v>0</v>
      </c>
      <c r="X6" s="1258"/>
      <c r="Y6" s="79">
        <f>N6</f>
        <v>0.76</v>
      </c>
      <c r="Z6" s="80">
        <f>市场租约!M7</f>
        <v>11.99</v>
      </c>
      <c r="AA6" s="73">
        <f>市场租约!F2</f>
        <v>0.03</v>
      </c>
      <c r="AB6" s="73">
        <v>0.1</v>
      </c>
      <c r="AC6" s="1258"/>
      <c r="AD6" s="81">
        <f>ROUND(((1-(2024-1998)/60)+85%)/2,2)</f>
        <v>0.71</v>
      </c>
      <c r="AE6" s="1259">
        <f ca="1">IF(AN6="",0,SUMIF(INDIRECT("'"&amp;AN6&amp;"'"&amp;"!E:E"),$AE$5,INDIRECT("'"&amp;AN6&amp;"'"&amp;"!F:F")))</f>
        <v>25.49</v>
      </c>
      <c r="AF6" s="1801">
        <f>租约!B11</f>
        <v>6.01</v>
      </c>
      <c r="AG6" s="146">
        <f ca="1">IF(AF6="",0,AE6-AF6)</f>
        <v>19.479999999999997</v>
      </c>
      <c r="AH6" s="82"/>
      <c r="AI6" s="84">
        <v>365</v>
      </c>
      <c r="AJ6" s="85">
        <f>ROUND(L36/10000,0)</f>
        <v>42</v>
      </c>
      <c r="AK6" s="86">
        <v>1.4999999999999999E-2</v>
      </c>
      <c r="AL6" s="87">
        <v>1.5E-3</v>
      </c>
      <c r="AM6" s="88">
        <v>0.01</v>
      </c>
      <c r="AN6" s="2302" t="s">
        <v>3177</v>
      </c>
      <c r="AO6" s="54">
        <f ca="1">SUMIF(INDIRECT("'"&amp;AN6&amp;"'"&amp;"!A:A"),"总价",INDIRECT("'"&amp;AN6&amp;"'"&amp;"!B:B"))</f>
        <v>26329</v>
      </c>
      <c r="AP6" s="2303">
        <f>IF(C6="住宅",K6*L6,0)</f>
        <v>0</v>
      </c>
      <c r="AQ6" s="54">
        <f>ROUND($L$14*$N$14*S6/10000,0)</f>
        <v>0</v>
      </c>
      <c r="AR6" s="54">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8"/>
      <c r="I7" s="798"/>
      <c r="J7" s="73"/>
      <c r="K7" s="1248">
        <f>SUMIF('数据-汇总表'!C$19:C$33,A7,'数据-汇总表'!E$19:E$33)</f>
        <v>0</v>
      </c>
      <c r="L7" s="799"/>
      <c r="M7" s="74">
        <f t="shared" si="0"/>
        <v>0</v>
      </c>
      <c r="N7" s="797"/>
      <c r="O7" s="74" t="str">
        <f t="shared" ref="O7:O14" si="3">IF($N$5="成新度","——",ROUND(M7*N7,0))</f>
        <v>——</v>
      </c>
      <c r="P7" s="75" t="str">
        <f t="shared" ref="P7:P14" si="4">IF($N$5="成新度","——",M7-O7)</f>
        <v>——</v>
      </c>
      <c r="Q7" s="800"/>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2"/>
      <c r="AO7" s="54" t="e">
        <f t="shared" ref="AO7:AO13" ca="1" si="8">SUMIF(INDIRECT("'"&amp;AN7&amp;"'"&amp;"!A:A"),"总价",INDIRECT("'"&amp;AN7&amp;"'"&amp;"!B:B"))</f>
        <v>#REF!</v>
      </c>
      <c r="AP7" s="2303">
        <f t="shared" ref="AP7:AP13" si="9">IF(C7="住宅",K7*L7,0)</f>
        <v>0</v>
      </c>
      <c r="AQ7" s="54">
        <f t="shared" ref="AQ7:AQ13" si="10">ROUND($L$14*$N$14*S7/10000,0)</f>
        <v>0</v>
      </c>
      <c r="AR7" s="54">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2"/>
      <c r="AO8" s="54" t="e">
        <f t="shared" ca="1" si="8"/>
        <v>#REF!</v>
      </c>
      <c r="AP8" s="2303">
        <f t="shared" si="9"/>
        <v>0</v>
      </c>
      <c r="AQ8" s="54">
        <f t="shared" si="10"/>
        <v>0</v>
      </c>
      <c r="AR8" s="54">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2"/>
      <c r="AO9" s="54" t="e">
        <f t="shared" ca="1" si="8"/>
        <v>#REF!</v>
      </c>
      <c r="AP9" s="2303">
        <f t="shared" si="9"/>
        <v>0</v>
      </c>
      <c r="AQ9" s="54">
        <f t="shared" si="10"/>
        <v>0</v>
      </c>
      <c r="AR9" s="54">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2007</v>
      </c>
      <c r="B14" s="2300" t="s">
        <v>2008</v>
      </c>
      <c r="C14" s="2305" t="s">
        <v>2007</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2009</v>
      </c>
      <c r="B15" s="2300" t="s">
        <v>2008</v>
      </c>
      <c r="C15" s="2305" t="s">
        <v>2010</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2011</v>
      </c>
      <c r="B16" s="96"/>
      <c r="C16" s="1004"/>
      <c r="D16" s="2307"/>
      <c r="E16" s="96"/>
      <c r="F16" s="96"/>
      <c r="G16" s="97">
        <f>ROUND(SUMPRODUCT(G6:G13,K6:K13)/SUMPRODUCT((G6:G13&gt;0)*(K6:K13)),3)</f>
        <v>0.83</v>
      </c>
      <c r="H16" s="98">
        <f>ROUND(SUMPRODUCT(H6:H13,K6:K13)/SUMPRODUCT((H6:H13&gt;0)*(K6:K13)),3)</f>
        <v>0.05</v>
      </c>
      <c r="I16" s="99"/>
      <c r="J16" s="99"/>
      <c r="K16" s="100">
        <f>SUM(K6:K15)</f>
        <v>7048.35</v>
      </c>
      <c r="L16" s="101">
        <f>ROUND(M16*10000/SUM(K6:K14),0)</f>
        <v>3199</v>
      </c>
      <c r="M16" s="101">
        <f>SUM(M6:M14)</f>
        <v>2255</v>
      </c>
      <c r="N16" s="102">
        <f>ROUND(SUMPRODUCT(M6:M14,N6:N14)/M16,3)</f>
        <v>0.76</v>
      </c>
      <c r="O16" s="101">
        <f>SUM(O6:O14)</f>
        <v>0</v>
      </c>
      <c r="P16" s="101">
        <f>SUM(P6:P14)</f>
        <v>0</v>
      </c>
      <c r="Q16" s="103">
        <f>ROUND(SUMPRODUCT(Q6:Q13,K6:K13)/SUMPRODUCT((Q6:Q13&gt;0)*(K6:K13)),2)</f>
        <v>0.25</v>
      </c>
      <c r="R16" s="1252">
        <f ca="1">SUM(R6:R13)</f>
        <v>1000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2012</v>
      </c>
      <c r="B18" s="2273"/>
      <c r="C18" s="2270"/>
      <c r="D18" s="2271"/>
      <c r="E18" s="2270"/>
      <c r="F18" s="2270"/>
      <c r="G18" s="2270"/>
      <c r="H18" s="2270"/>
      <c r="I18" s="2270"/>
      <c r="J18" s="2270"/>
      <c r="K18" s="2984" t="s">
        <v>3191</v>
      </c>
      <c r="L18" s="167">
        <v>1981.65</v>
      </c>
      <c r="M18" s="2985" t="s">
        <v>3194</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1">
        <v>0</v>
      </c>
      <c r="C19" s="2270" t="s">
        <v>2014</v>
      </c>
      <c r="D19" s="2271"/>
      <c r="E19" s="2270"/>
      <c r="F19" s="2270"/>
      <c r="G19" s="2270"/>
      <c r="H19" s="2270"/>
      <c r="I19" s="2270"/>
      <c r="J19" s="2270"/>
      <c r="K19" s="167"/>
      <c r="L19" s="167">
        <v>51177</v>
      </c>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2">
        <v>2</v>
      </c>
      <c r="C20" s="2270" t="s">
        <v>2016</v>
      </c>
      <c r="D20" s="2271"/>
      <c r="E20" s="2270"/>
      <c r="F20" s="2270"/>
      <c r="G20" s="2270"/>
      <c r="H20" s="2270"/>
      <c r="I20" s="2270"/>
      <c r="J20" s="2270"/>
      <c r="K20" s="167"/>
      <c r="L20" s="167">
        <v>1744.72</v>
      </c>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2">
        <v>2</v>
      </c>
      <c r="C21" s="2270"/>
      <c r="D21" s="2271"/>
      <c r="E21" s="2270"/>
      <c r="F21" s="2270"/>
      <c r="G21" s="2270"/>
      <c r="H21" s="2270"/>
      <c r="I21" s="2270"/>
      <c r="J21" s="2270"/>
      <c r="K21" s="167"/>
      <c r="L21" s="167">
        <v>3495</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3">
        <f>B19+B20</f>
        <v>2</v>
      </c>
      <c r="C22" s="2270"/>
      <c r="D22" s="2271"/>
      <c r="E22" s="2270"/>
      <c r="F22" s="2270"/>
      <c r="G22" s="2270"/>
      <c r="H22" s="2270"/>
      <c r="I22" s="2270"/>
      <c r="J22" s="2270"/>
      <c r="K22" s="167"/>
      <c r="L22" s="167">
        <v>1218.67</v>
      </c>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3">
        <f>B19+B21</f>
        <v>2</v>
      </c>
      <c r="C23" s="2270"/>
      <c r="D23" s="2271"/>
      <c r="E23" s="2270"/>
      <c r="F23" s="2270"/>
      <c r="G23" s="2270"/>
      <c r="H23" s="2270"/>
      <c r="I23" s="2270"/>
      <c r="J23" s="2270"/>
      <c r="K23" s="167"/>
      <c r="L23" s="167">
        <v>1595.71</v>
      </c>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4">
        <f>B20-B21</f>
        <v>0</v>
      </c>
      <c r="C24" s="2270"/>
      <c r="D24" s="2271"/>
      <c r="E24" s="2270"/>
      <c r="F24" s="2270"/>
      <c r="G24" s="2270"/>
      <c r="H24" s="2270"/>
      <c r="I24" s="2270"/>
      <c r="J24" s="2270"/>
      <c r="K24" s="167"/>
      <c r="L24" s="167">
        <v>3609.86</v>
      </c>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v>2946.11</v>
      </c>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7"/>
      <c r="L26" s="167">
        <v>8837.64</v>
      </c>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5"/>
      <c r="C27" s="1761" t="s">
        <v>2025</v>
      </c>
      <c r="D27" s="2316"/>
      <c r="E27" s="1424"/>
      <c r="F27" s="1424"/>
      <c r="G27" s="2270"/>
      <c r="H27" s="2270"/>
      <c r="I27" s="2270"/>
      <c r="J27" s="2270"/>
      <c r="K27" s="167"/>
      <c r="L27" s="167">
        <v>2366.58</v>
      </c>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2026</v>
      </c>
      <c r="B28" s="118"/>
      <c r="C28" s="2319"/>
      <c r="D28" s="2316"/>
      <c r="E28" s="1424"/>
      <c r="F28" s="1424"/>
      <c r="G28" s="2270"/>
      <c r="H28" s="2270"/>
      <c r="I28" s="2270"/>
      <c r="J28" s="2270"/>
      <c r="K28" s="167"/>
      <c r="L28" s="167">
        <v>6921.18</v>
      </c>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2027</v>
      </c>
      <c r="B29" s="120"/>
      <c r="C29" s="1761" t="s">
        <v>2028</v>
      </c>
      <c r="D29" s="2316"/>
      <c r="E29" s="1424"/>
      <c r="F29" s="1424"/>
      <c r="G29" s="2270"/>
      <c r="H29" s="2270"/>
      <c r="I29" s="2270"/>
      <c r="J29" s="2270"/>
      <c r="K29" s="167"/>
      <c r="L29" s="167">
        <v>3436.19</v>
      </c>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2029</v>
      </c>
      <c r="B30" s="720">
        <v>200</v>
      </c>
      <c r="C30" s="2319"/>
      <c r="D30" s="2316"/>
      <c r="E30" s="1424"/>
      <c r="F30" s="1424"/>
      <c r="G30" s="2270"/>
      <c r="H30" s="2270"/>
      <c r="I30" s="2270"/>
      <c r="J30" s="2270"/>
      <c r="K30" s="167"/>
      <c r="L30" s="167">
        <v>3025.91</v>
      </c>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2030</v>
      </c>
      <c r="B31" s="119">
        <f>B30-B32</f>
        <v>200</v>
      </c>
      <c r="C31" s="1761"/>
      <c r="D31" s="2316"/>
      <c r="E31" s="1424"/>
      <c r="F31" s="1424"/>
      <c r="G31" s="2270"/>
      <c r="H31" s="2270"/>
      <c r="I31" s="2270"/>
      <c r="J31" s="2270"/>
      <c r="K31" s="167"/>
      <c r="L31" s="167">
        <v>2367.11</v>
      </c>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2031</v>
      </c>
      <c r="B32" s="721">
        <v>0</v>
      </c>
      <c r="C32" s="2319"/>
      <c r="D32" s="2271"/>
      <c r="E32" s="2270"/>
      <c r="F32" s="2270"/>
      <c r="G32" s="2270"/>
      <c r="H32" s="2270"/>
      <c r="I32" s="2270"/>
      <c r="J32" s="2270"/>
      <c r="K32" s="167"/>
      <c r="L32" s="167">
        <v>3609.86</v>
      </c>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2032</v>
      </c>
      <c r="B33" s="722">
        <v>0.03</v>
      </c>
      <c r="C33" s="1760" t="s">
        <v>2033</v>
      </c>
      <c r="D33" s="2271"/>
      <c r="E33" s="2270"/>
      <c r="F33" s="2270"/>
      <c r="G33" s="2270"/>
      <c r="H33" s="2270"/>
      <c r="I33" s="2270"/>
      <c r="J33" s="2270"/>
      <c r="K33" s="167"/>
      <c r="L33" s="167">
        <v>4082.91</v>
      </c>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2034</v>
      </c>
      <c r="B34" s="121">
        <v>0</v>
      </c>
      <c r="C34" s="1760" t="s">
        <v>2035</v>
      </c>
      <c r="D34" s="2271" t="s">
        <v>2036</v>
      </c>
      <c r="E34" s="728"/>
      <c r="F34" s="2270"/>
      <c r="G34" s="2270"/>
      <c r="H34" s="2270"/>
      <c r="I34" s="2270"/>
      <c r="J34" s="2270"/>
      <c r="K34" s="167"/>
      <c r="L34" s="167">
        <v>2827.06</v>
      </c>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2037</v>
      </c>
      <c r="B35" s="118">
        <v>200</v>
      </c>
      <c r="C35" s="1760" t="s">
        <v>2038</v>
      </c>
      <c r="D35" s="2316"/>
      <c r="E35" s="1424"/>
      <c r="F35" s="1424"/>
      <c r="G35" s="2270"/>
      <c r="H35" s="2270"/>
      <c r="I35" s="2270"/>
      <c r="J35" s="2270"/>
      <c r="K35" s="2984" t="s">
        <v>3192</v>
      </c>
      <c r="L35" s="167">
        <f>SUM(L18:L34)</f>
        <v>105243.16</v>
      </c>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2039</v>
      </c>
      <c r="B36" s="122">
        <v>1.4999999999999999E-2</v>
      </c>
      <c r="C36" s="1760" t="s">
        <v>2040</v>
      </c>
      <c r="D36" s="2271"/>
      <c r="E36" s="2270"/>
      <c r="F36" s="2270"/>
      <c r="G36" s="2270"/>
      <c r="H36" s="2270"/>
      <c r="I36" s="2270"/>
      <c r="J36" s="2270"/>
      <c r="K36" s="2984" t="s">
        <v>3193</v>
      </c>
      <c r="L36" s="167">
        <f>L35*4</f>
        <v>420972.64</v>
      </c>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123">
        <v>1.4999999999999999E-2</v>
      </c>
      <c r="C37" s="1760" t="s">
        <v>2042</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121">
        <v>1.4999999999999999E-2</v>
      </c>
      <c r="C38" s="1760" t="s">
        <v>2042</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7">
        <v>7.0000000000000007E-2</v>
      </c>
      <c r="C44" s="1760" t="s">
        <v>2051</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5">
        <v>0.03</v>
      </c>
      <c r="C45" s="1761" t="s">
        <v>2053</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5">
        <v>0.02</v>
      </c>
      <c r="C46" s="1761" t="s">
        <v>2055</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8">
        <v>0</v>
      </c>
      <c r="C47" s="1761" t="s">
        <v>2057</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29">
        <v>0.03</v>
      </c>
      <c r="C48" s="1768" t="s">
        <v>2059</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5">
        <v>5.0000000000000001E-4</v>
      </c>
      <c r="C49" s="1768" t="s">
        <v>2061</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2">
        <f>SUMIF(A54:A63,B53,B54:B63)</f>
        <v>30</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212</v>
      </c>
      <c r="C53" s="1424" t="s">
        <v>2066</v>
      </c>
      <c r="D53" s="2330" t="s">
        <v>2067</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3">
        <v>30</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3"/>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3"/>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3"/>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3"/>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3"/>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3"/>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3"/>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3"/>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78" t="s">
        <v>2078</v>
      </c>
      <c r="B1" s="3079"/>
      <c r="C1" s="3079"/>
      <c r="D1" s="3079"/>
      <c r="E1" s="3079"/>
      <c r="F1" s="3079"/>
      <c r="G1" s="307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42.75">
      <c r="A3" s="414" t="s">
        <v>2081</v>
      </c>
      <c r="B3" s="1265" t="s">
        <v>2082</v>
      </c>
      <c r="C3" s="2957" t="s">
        <v>3132</v>
      </c>
      <c r="D3" s="2363"/>
      <c r="E3" s="430" t="s">
        <v>2081</v>
      </c>
      <c r="F3" s="2364" t="s">
        <v>2083</v>
      </c>
      <c r="G3" s="2365" t="s">
        <v>2084</v>
      </c>
      <c r="H3" s="2361"/>
      <c r="I3" s="2361"/>
      <c r="J3" s="2361"/>
      <c r="K3" s="2361"/>
      <c r="L3" s="2361"/>
      <c r="M3" s="2361"/>
      <c r="N3" s="2361"/>
      <c r="O3" s="2361"/>
      <c r="P3" s="2361"/>
      <c r="Q3" s="2361"/>
      <c r="R3" s="2361"/>
    </row>
    <row r="4" spans="1:29" ht="67.5">
      <c r="A4" s="430"/>
      <c r="B4" s="1792" t="s">
        <v>2085</v>
      </c>
      <c r="C4" s="2958" t="s">
        <v>3133</v>
      </c>
      <c r="D4" s="2363"/>
      <c r="E4" s="2366"/>
      <c r="F4" s="41" t="s">
        <v>2086</v>
      </c>
      <c r="G4" s="2367" t="s">
        <v>2087</v>
      </c>
      <c r="H4" s="2361"/>
      <c r="I4" s="2361"/>
      <c r="J4" s="2361"/>
      <c r="K4" s="2361"/>
      <c r="L4" s="2361"/>
      <c r="M4" s="2361"/>
      <c r="N4" s="2361"/>
      <c r="O4" s="2361"/>
      <c r="P4" s="2361"/>
      <c r="Q4" s="2361"/>
      <c r="R4" s="2361"/>
    </row>
    <row r="5" spans="1:29" ht="27">
      <c r="A5" s="430"/>
      <c r="B5" s="1792" t="s">
        <v>2088</v>
      </c>
      <c r="C5" s="2958" t="s">
        <v>3134</v>
      </c>
      <c r="D5" s="2363"/>
      <c r="E5" s="2366"/>
      <c r="F5" s="1792" t="s">
        <v>2089</v>
      </c>
      <c r="G5" s="2367" t="s">
        <v>2090</v>
      </c>
      <c r="H5" s="2361"/>
      <c r="I5" s="2361"/>
      <c r="J5" s="2361"/>
      <c r="K5" s="2361"/>
      <c r="L5" s="2361"/>
      <c r="M5" s="2361"/>
      <c r="N5" s="2361"/>
      <c r="O5" s="2361"/>
      <c r="P5" s="2361"/>
      <c r="Q5" s="2361"/>
      <c r="R5" s="2361"/>
    </row>
    <row r="6" spans="1:29" ht="67.5">
      <c r="A6" s="430"/>
      <c r="B6" s="1792" t="s">
        <v>2091</v>
      </c>
      <c r="C6" s="2959" t="s">
        <v>3135</v>
      </c>
      <c r="D6" s="2363"/>
      <c r="E6" s="2366"/>
      <c r="F6" s="1792" t="s">
        <v>2092</v>
      </c>
      <c r="G6" s="2367" t="s">
        <v>2093</v>
      </c>
      <c r="H6" s="2361"/>
      <c r="I6" s="2361"/>
      <c r="J6" s="2361"/>
      <c r="K6" s="2361"/>
      <c r="L6" s="2361"/>
      <c r="M6" s="2361"/>
      <c r="N6" s="2361"/>
      <c r="O6" s="2361"/>
      <c r="P6" s="2361"/>
      <c r="Q6" s="2361"/>
      <c r="R6" s="2361"/>
    </row>
    <row r="7" spans="1:29" ht="95.25" thickBot="1">
      <c r="A7" s="430"/>
      <c r="B7" s="1792" t="s">
        <v>2089</v>
      </c>
      <c r="C7" s="2959" t="s">
        <v>3136</v>
      </c>
      <c r="D7" s="2368"/>
      <c r="E7" s="2369"/>
      <c r="F7" s="2370" t="s">
        <v>2094</v>
      </c>
      <c r="G7" s="2371" t="s">
        <v>2095</v>
      </c>
      <c r="H7" s="2361"/>
      <c r="I7" s="2361"/>
      <c r="J7" s="2361"/>
      <c r="K7" s="2361"/>
      <c r="L7" s="2361"/>
      <c r="M7" s="2361"/>
      <c r="N7" s="2361"/>
      <c r="O7" s="2361"/>
      <c r="P7" s="2361"/>
      <c r="Q7" s="2361"/>
      <c r="R7" s="2361"/>
    </row>
    <row r="8" spans="1:29" ht="27">
      <c r="A8" s="430"/>
      <c r="B8" s="1792" t="s">
        <v>2092</v>
      </c>
      <c r="C8" s="2959" t="s">
        <v>3141</v>
      </c>
      <c r="D8" s="2368"/>
      <c r="E8" s="2368"/>
      <c r="F8" s="1132"/>
      <c r="G8" s="1132"/>
      <c r="H8" s="2361"/>
      <c r="I8" s="2361"/>
      <c r="J8" s="2361"/>
      <c r="K8" s="2361"/>
      <c r="L8" s="2361"/>
      <c r="M8" s="2361"/>
      <c r="N8" s="2361"/>
      <c r="O8" s="2361"/>
      <c r="P8" s="2361"/>
      <c r="Q8" s="2361"/>
      <c r="R8" s="2361"/>
    </row>
    <row r="9" spans="1:29" ht="81">
      <c r="A9" s="430"/>
      <c r="B9" s="1792" t="s">
        <v>2096</v>
      </c>
      <c r="C9" s="2958" t="s">
        <v>3137</v>
      </c>
      <c r="D9" s="2363"/>
      <c r="E9" s="2368"/>
      <c r="F9" s="1132"/>
      <c r="G9" s="1132"/>
      <c r="H9" s="2361"/>
      <c r="I9" s="2361"/>
      <c r="J9" s="2361"/>
      <c r="K9" s="2361"/>
      <c r="L9" s="2361"/>
      <c r="M9" s="2361"/>
      <c r="N9" s="2361"/>
      <c r="O9" s="2361"/>
      <c r="P9" s="2361"/>
      <c r="Q9" s="2361"/>
      <c r="R9" s="2361"/>
    </row>
    <row r="10" spans="1:29" s="116" customFormat="1" ht="15.75" thickBot="1">
      <c r="A10" s="2372"/>
      <c r="B10" s="2373" t="s">
        <v>2097</v>
      </c>
      <c r="C10" s="2374"/>
      <c r="D10" s="2363"/>
      <c r="E10" s="2363"/>
      <c r="F10" s="1132"/>
      <c r="G10" s="1132"/>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50"/>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50"/>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3"/>
      <c r="E14" s="2393"/>
      <c r="F14" s="2393"/>
      <c r="G14" s="2358" t="s">
        <v>2100</v>
      </c>
    </row>
    <row r="15" spans="1:29" ht="42.75">
      <c r="A15" s="67" t="s">
        <v>2101</v>
      </c>
      <c r="B15" s="1264" t="s">
        <v>2082</v>
      </c>
      <c r="C15" s="2394" t="str">
        <f>C3</f>
        <v>——</v>
      </c>
      <c r="D15" s="2363"/>
      <c r="E15" s="2395" t="s">
        <v>2102</v>
      </c>
      <c r="F15" s="1264" t="s">
        <v>2103</v>
      </c>
      <c r="G15" s="134" t="str">
        <f>G3</f>
        <v>估价对象位于XX开发区，园区建设成熟度XX，产业集聚程度XX</v>
      </c>
    </row>
    <row r="16" spans="1:29" ht="71.25">
      <c r="A16" s="644"/>
      <c r="B16" s="2396" t="s">
        <v>2085</v>
      </c>
      <c r="C16" s="2397" t="str">
        <f>C4</f>
        <v>周边商业项目有深华商业大厦、一品东门雅园商业、金城大厦商业等，商业项目聚集，出租率高，商业繁华度好。</v>
      </c>
      <c r="D16" s="2363"/>
      <c r="E16" s="2398"/>
      <c r="F16" s="2399" t="s">
        <v>2086</v>
      </c>
      <c r="G16" s="135" t="str">
        <f>G4</f>
        <v>估价对象周边道路状况、公共交通通达情况、停车便捷程度，综合评价交通便捷度较好</v>
      </c>
    </row>
    <row r="17" spans="1:18" ht="15">
      <c r="A17" s="644"/>
      <c r="B17" s="2396" t="s">
        <v>2088</v>
      </c>
      <c r="C17" s="2397" t="str">
        <f>C5</f>
        <v>——</v>
      </c>
      <c r="D17" s="2368"/>
      <c r="E17" s="2398"/>
      <c r="F17" s="2399" t="s">
        <v>2104</v>
      </c>
      <c r="G17" s="1566"/>
    </row>
    <row r="18" spans="1:18" ht="71.25">
      <c r="A18" s="644"/>
      <c r="B18" s="2399" t="s">
        <v>2091</v>
      </c>
      <c r="C18" s="135" t="str">
        <f>C6</f>
        <v>周边路网密集，行车出入便捷。1公里范围内有352路、7路、K204路等公交线路及地铁罗宝线，公交便捷度好，综合确定交通便捷度好。</v>
      </c>
      <c r="D18" s="2368"/>
      <c r="E18" s="2398"/>
      <c r="F18" s="2399" t="s">
        <v>2094</v>
      </c>
      <c r="G18" s="135" t="str">
        <f>G7</f>
        <v>该园区内是否有污染型企业，绿化情况，卫生条件，整体环境状况判断</v>
      </c>
    </row>
    <row r="19" spans="1:18" ht="28.5">
      <c r="A19" s="644"/>
      <c r="B19" s="2399" t="s">
        <v>2105</v>
      </c>
      <c r="C19" s="1566"/>
      <c r="D19" s="2363"/>
      <c r="E19" s="2398"/>
      <c r="F19" s="1792" t="s">
        <v>2089</v>
      </c>
      <c r="G19" s="135" t="str">
        <f>G5</f>
        <v>估价对象所在区域公共配套设施齐备情况</v>
      </c>
    </row>
    <row r="20" spans="1:18" ht="85.5">
      <c r="A20" s="644"/>
      <c r="B20" s="2399" t="s">
        <v>2106</v>
      </c>
      <c r="C20" s="2397" t="str">
        <f>C9</f>
        <v>周边有嘉宾公园、深圳河水系，绿化条件较好，有深圳大剧院、至正艺术博物馆、深圳广播电视大学等场所，综合确定自然及人文环境较好。</v>
      </c>
      <c r="D20" s="2368"/>
      <c r="E20" s="2398"/>
      <c r="F20" s="1792" t="s">
        <v>2107</v>
      </c>
      <c r="G20" s="135" t="str">
        <f>G6</f>
        <v>估价对象所在区域基础设施水平</v>
      </c>
    </row>
    <row r="21" spans="1:18" ht="99.75">
      <c r="A21" s="644"/>
      <c r="B21" s="1792" t="s">
        <v>2089</v>
      </c>
      <c r="C21" s="135" t="str">
        <f>C7</f>
        <v>周边有中国邮政储蓄银行、中国银行、中信银行、罗湖医院、深圳广播电视大学、深圳市南湖小学、深圳市罗湖中学等公共服务配套设施，综合确定公用配套设施齐备情况好。</v>
      </c>
      <c r="D21" s="2363"/>
      <c r="E21" s="2398"/>
      <c r="F21" s="2399" t="s">
        <v>2108</v>
      </c>
      <c r="G21" s="2400"/>
    </row>
    <row r="22" spans="1:18" ht="13.5" customHeight="1">
      <c r="A22" s="644"/>
      <c r="B22" s="1792" t="s">
        <v>2092</v>
      </c>
      <c r="C22" s="135" t="str">
        <f>C8</f>
        <v>估价对象所在区域基础设施水平达“六通”。</v>
      </c>
      <c r="D22" s="2363"/>
      <c r="E22" s="2398"/>
      <c r="F22" s="2399" t="s">
        <v>2097</v>
      </c>
      <c r="G22" s="1566"/>
    </row>
    <row r="23" spans="1:18" s="2361"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7048.35</v>
      </c>
      <c r="C1" s="1739"/>
      <c r="D1" s="1739"/>
      <c r="E1" s="1739"/>
      <c r="F1" s="1739"/>
      <c r="G1" s="1737"/>
    </row>
    <row r="2" spans="1:10" ht="16.5">
      <c r="A2" s="1740" t="s">
        <v>1353</v>
      </c>
      <c r="B2" s="1740">
        <f>SUM(C14:C23)</f>
        <v>1000</v>
      </c>
      <c r="C2" s="1739"/>
      <c r="D2" s="1739"/>
      <c r="E2" s="1739"/>
      <c r="F2" s="1739"/>
      <c r="G2" s="1737"/>
    </row>
    <row r="3" spans="1:10" ht="16.5">
      <c r="A3" s="1740" t="s">
        <v>1362</v>
      </c>
      <c r="B3" s="1741">
        <f>项目基本情况!D3</f>
        <v>43276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36266</v>
      </c>
      <c r="C5" s="1740">
        <f ca="1">ROUND(B5*10000/$B$1,0)</f>
        <v>51453</v>
      </c>
      <c r="D5" s="1740">
        <f ca="1">ROUND(B5*10000/$B$2,0)</f>
        <v>362660</v>
      </c>
      <c r="E5" s="1739"/>
      <c r="F5" s="1737"/>
      <c r="G5" s="1737"/>
    </row>
    <row r="6" spans="1:10" ht="16.5">
      <c r="A6" s="1740" t="s">
        <v>1356</v>
      </c>
      <c r="B6" s="1740">
        <f ca="1">SUM(G14:G23)</f>
        <v>36266</v>
      </c>
      <c r="C6" s="1740">
        <f ca="1">ROUND(B6*10000/$B$1,0)</f>
        <v>51453</v>
      </c>
      <c r="D6" s="1740">
        <f ca="1">ROUND(B6*10000/$B$2,0)</f>
        <v>362660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7048.35</v>
      </c>
      <c r="C14" s="1738">
        <f>结果表!C118</f>
        <v>1000</v>
      </c>
      <c r="D14" s="1738">
        <f ca="1">结果表!H118</f>
        <v>36266</v>
      </c>
      <c r="E14" s="1738">
        <f ca="1">ROUND(D14*10000/B14,0)</f>
        <v>51453</v>
      </c>
      <c r="F14" s="1738">
        <f ca="1">ROUND(D14*10000/C14,0)</f>
        <v>362660</v>
      </c>
      <c r="G14" s="1738">
        <f ca="1">结果表!D122</f>
        <v>36266</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I118" sqref="I118"/>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8" t="s">
        <v>2111</v>
      </c>
      <c r="B1" s="2410"/>
      <c r="C1" s="2411"/>
      <c r="D1" s="2410"/>
      <c r="E1" s="2410"/>
      <c r="F1" s="2412" t="s">
        <v>2112</v>
      </c>
      <c r="G1" s="2064" t="s">
        <v>3063</v>
      </c>
      <c r="H1" s="2413" t="str">
        <f>IF(G1="现房","——","估价对象范围")</f>
        <v>——</v>
      </c>
      <c r="I1" s="2414"/>
    </row>
    <row r="2" spans="1:12" ht="21.75" customHeight="1" thickBot="1">
      <c r="A2" s="3113" t="str">
        <f>项目基本情况!S2</f>
        <v>广东省深圳市罗湖区嘉宾路太平洋商贸大厦107号等25套商业用房房地产房地产</v>
      </c>
      <c r="B2" s="3114"/>
      <c r="C2" s="3114"/>
      <c r="D2" s="3114"/>
      <c r="E2" s="3114"/>
      <c r="F2" s="3114"/>
      <c r="G2" s="3114"/>
      <c r="H2" s="3114"/>
      <c r="I2" s="3115"/>
    </row>
    <row r="3" spans="1:12" ht="12.75">
      <c r="A3" s="3117" t="s">
        <v>2113</v>
      </c>
      <c r="B3" s="3118"/>
      <c r="C3" s="3118"/>
      <c r="D3" s="3118"/>
      <c r="E3" s="3118"/>
      <c r="F3" s="3118"/>
      <c r="G3" s="3118"/>
      <c r="H3" s="3118"/>
      <c r="I3" s="3118"/>
    </row>
    <row r="4" spans="1:12" ht="14.25">
      <c r="A4" s="2417" t="s">
        <v>2114</v>
      </c>
      <c r="B4" s="2418" t="s">
        <v>2115</v>
      </c>
      <c r="C4" s="2419" t="s">
        <v>3183</v>
      </c>
      <c r="D4" s="2419" t="s">
        <v>3177</v>
      </c>
      <c r="E4" s="3110" t="s">
        <v>2116</v>
      </c>
      <c r="F4" s="3111"/>
      <c r="G4" s="3111"/>
      <c r="H4" s="3111"/>
      <c r="I4" s="3119"/>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93" t="s">
        <v>2117</v>
      </c>
      <c r="B5" s="3031">
        <v>25</v>
      </c>
      <c r="C5" s="3096"/>
      <c r="D5" s="3116"/>
      <c r="E5" s="139" t="s">
        <v>2118</v>
      </c>
      <c r="F5" s="2421"/>
      <c r="G5" s="2421"/>
      <c r="H5" s="2421"/>
      <c r="I5" s="1828"/>
    </row>
    <row r="6" spans="1:12" ht="12.75">
      <c r="A6" s="3093"/>
      <c r="B6" s="3031"/>
      <c r="C6" s="3097"/>
      <c r="D6" s="3116"/>
      <c r="E6" s="139" t="s">
        <v>2119</v>
      </c>
      <c r="F6" s="2421"/>
      <c r="G6" s="2421"/>
      <c r="H6" s="2421"/>
      <c r="I6" s="1828"/>
    </row>
    <row r="7" spans="1:12" ht="12.75">
      <c r="A7" s="3093"/>
      <c r="B7" s="3031"/>
      <c r="C7" s="3098"/>
      <c r="D7" s="3116"/>
      <c r="E7" s="139" t="s">
        <v>2120</v>
      </c>
      <c r="F7" s="2421"/>
      <c r="G7" s="2421"/>
      <c r="H7" s="2421"/>
      <c r="I7" s="1828"/>
    </row>
    <row r="8" spans="1:12" ht="12.75">
      <c r="A8" s="3093" t="s">
        <v>2121</v>
      </c>
      <c r="B8" s="3031">
        <v>15</v>
      </c>
      <c r="C8" s="3096"/>
      <c r="D8" s="3116"/>
      <c r="E8" s="139" t="s">
        <v>2122</v>
      </c>
      <c r="F8" s="2421"/>
      <c r="G8" s="2421"/>
      <c r="H8" s="2421"/>
      <c r="I8" s="1828"/>
    </row>
    <row r="9" spans="1:12" ht="12.75">
      <c r="A9" s="3093"/>
      <c r="B9" s="3031"/>
      <c r="C9" s="3098"/>
      <c r="D9" s="3116"/>
      <c r="E9" s="139" t="s">
        <v>2123</v>
      </c>
      <c r="F9" s="2421"/>
      <c r="G9" s="2421"/>
      <c r="H9" s="2421"/>
      <c r="I9" s="1828"/>
    </row>
    <row r="10" spans="1:12" ht="12.75">
      <c r="A10" s="3093" t="s">
        <v>2124</v>
      </c>
      <c r="B10" s="3031">
        <v>15</v>
      </c>
      <c r="C10" s="3096"/>
      <c r="D10" s="3116"/>
      <c r="E10" s="139" t="s">
        <v>2125</v>
      </c>
      <c r="F10" s="2421"/>
      <c r="G10" s="2421"/>
      <c r="H10" s="2421"/>
      <c r="I10" s="1828"/>
    </row>
    <row r="11" spans="1:12" ht="12.75">
      <c r="A11" s="3093"/>
      <c r="B11" s="3031"/>
      <c r="C11" s="3098"/>
      <c r="D11" s="3116"/>
      <c r="E11" s="139" t="s">
        <v>2126</v>
      </c>
      <c r="F11" s="2421"/>
      <c r="G11" s="2421"/>
      <c r="H11" s="2421"/>
      <c r="I11" s="1828"/>
    </row>
    <row r="12" spans="1:12" ht="12.75">
      <c r="A12" s="3093" t="s">
        <v>2127</v>
      </c>
      <c r="B12" s="3031">
        <v>15</v>
      </c>
      <c r="C12" s="3096"/>
      <c r="D12" s="3116"/>
      <c r="E12" s="139" t="s">
        <v>2128</v>
      </c>
      <c r="F12" s="2421"/>
      <c r="G12" s="2421"/>
      <c r="H12" s="2421"/>
      <c r="I12" s="1828"/>
    </row>
    <row r="13" spans="1:12" ht="12.75">
      <c r="A13" s="3093"/>
      <c r="B13" s="3031"/>
      <c r="C13" s="3098"/>
      <c r="D13" s="3116"/>
      <c r="E13" s="139" t="s">
        <v>2129</v>
      </c>
      <c r="F13" s="2421"/>
      <c r="G13" s="2421"/>
      <c r="H13" s="2421"/>
      <c r="I13" s="1828"/>
    </row>
    <row r="14" spans="1:12" ht="12.75">
      <c r="A14" s="3093" t="s">
        <v>2130</v>
      </c>
      <c r="B14" s="3031">
        <v>30</v>
      </c>
      <c r="C14" s="3096">
        <v>7</v>
      </c>
      <c r="D14" s="3116">
        <v>3</v>
      </c>
      <c r="E14" s="139" t="s">
        <v>2131</v>
      </c>
      <c r="F14" s="2421"/>
      <c r="G14" s="2421"/>
      <c r="H14" s="2421"/>
      <c r="I14" s="1828"/>
    </row>
    <row r="15" spans="1:12" ht="12.75">
      <c r="A15" s="3093"/>
      <c r="B15" s="3031"/>
      <c r="C15" s="3097"/>
      <c r="D15" s="3116"/>
      <c r="E15" s="139" t="s">
        <v>2132</v>
      </c>
      <c r="F15" s="2421"/>
      <c r="G15" s="2421"/>
      <c r="H15" s="2421"/>
      <c r="I15" s="1828"/>
    </row>
    <row r="16" spans="1:12" ht="12.75">
      <c r="A16" s="3093"/>
      <c r="B16" s="3031"/>
      <c r="C16" s="3098"/>
      <c r="D16" s="3116"/>
      <c r="E16" s="139" t="s">
        <v>2133</v>
      </c>
      <c r="F16" s="2421"/>
      <c r="G16" s="2421"/>
      <c r="H16" s="2421"/>
      <c r="I16" s="1828"/>
    </row>
    <row r="17" spans="1:35" ht="15">
      <c r="A17" s="2422" t="s">
        <v>2134</v>
      </c>
      <c r="B17" s="63"/>
      <c r="C17" s="140">
        <f>SUM(C5:C16)</f>
        <v>7</v>
      </c>
      <c r="D17" s="140">
        <f>SUM(D5:D16)</f>
        <v>3</v>
      </c>
      <c r="E17" s="137"/>
      <c r="F17" s="137"/>
      <c r="G17" s="137"/>
      <c r="H17" s="137"/>
      <c r="I17" s="137"/>
      <c r="K17" s="2420"/>
      <c r="L17" s="2423" t="s">
        <v>2135</v>
      </c>
      <c r="M17" s="2423" t="s">
        <v>2136</v>
      </c>
    </row>
    <row r="18" spans="1:35" ht="15.75" thickBot="1">
      <c r="A18" s="2424" t="s">
        <v>2137</v>
      </c>
      <c r="B18" s="2425"/>
      <c r="C18" s="141">
        <f>ROUND(C17/SUM(C17:D17),2)</f>
        <v>0.7</v>
      </c>
      <c r="D18" s="141">
        <f>1-C18</f>
        <v>0.30000000000000004</v>
      </c>
      <c r="E18" s="137"/>
      <c r="F18" s="137"/>
      <c r="G18" s="137"/>
      <c r="H18" s="137"/>
      <c r="I18" s="137"/>
      <c r="K18" s="2420" t="s">
        <v>2138</v>
      </c>
      <c r="L18" s="2420">
        <f>IF(C1="",'数据-汇总表'!E3,SUMIF(项目类型,C1,'数据-汇总表'!E17:E26)+SUMIF(项目类型,C1,'数据-汇总表'!I17:I26))</f>
        <v>7048.35</v>
      </c>
      <c r="M18" s="2420">
        <f>IF(C1="",'数据-汇总表'!E3,SUMIF(项目类型,C1,'数据-汇总表'!E17:E26))</f>
        <v>7048.35</v>
      </c>
    </row>
    <row r="19" spans="1:35" ht="15">
      <c r="A19" s="2426" t="s">
        <v>2139</v>
      </c>
      <c r="B19" s="2427" t="s">
        <v>2140</v>
      </c>
      <c r="C19" s="142">
        <f ca="1">SUMIF(INDIRECT("'"&amp;C4&amp;"'"&amp;"!A:A"),结果表!B19,INDIRECT("'"&amp;C4&amp;"'"&amp;"!B:B"))</f>
        <v>40525</v>
      </c>
      <c r="D19" s="143">
        <f ca="1">SUMIF(INDIRECT("'"&amp;D4&amp;"'"&amp;"!A:A"),结果表!B19,INDIRECT("'"&amp;D4&amp;"'"&amp;"!B:B"))</f>
        <v>26329</v>
      </c>
      <c r="E19" s="2426" t="s">
        <v>2141</v>
      </c>
      <c r="F19" s="2427" t="s">
        <v>2140</v>
      </c>
      <c r="G19" s="144">
        <f ca="1">ROUND(C19*$C$18+D19*$D$18,0)</f>
        <v>36266</v>
      </c>
      <c r="H19" s="2428" t="s">
        <v>2142</v>
      </c>
      <c r="I19" s="137"/>
      <c r="K19" s="2420" t="s">
        <v>2143</v>
      </c>
      <c r="L19" s="2420">
        <f>IF(C1="",'数据-汇总表'!D3,SUMIF(项目类型,C1,'数据-汇总表'!D17:D26)+SUMIF(项目类型,C1,'数据-汇总表'!H17:H27))</f>
        <v>1000</v>
      </c>
      <c r="M19" s="2420">
        <f>IF(C1="",'数据-汇总表'!D3,SUMIF(项目类型,C1,'数据-汇总表'!D17:D26))</f>
        <v>1000</v>
      </c>
    </row>
    <row r="20" spans="1:35" ht="15">
      <c r="A20" s="2429"/>
      <c r="B20" s="1244" t="s">
        <v>2144</v>
      </c>
      <c r="C20" s="145">
        <f ca="1">SUMIF(INDIRECT("'"&amp;C4&amp;"'"&amp;"!A:A"),结果表!B20,INDIRECT("'"&amp;C4&amp;"'"&amp;"!B:B"))</f>
        <v>69970</v>
      </c>
      <c r="D20" s="146">
        <f ca="1">SUMIF(INDIRECT("'"&amp;D4&amp;"'"&amp;"!A:A"),结果表!B20,INDIRECT("'"&amp;D4&amp;"'"&amp;"!B:B"))</f>
        <v>37355</v>
      </c>
      <c r="E20" s="2429"/>
      <c r="F20" s="1244" t="s">
        <v>2144</v>
      </c>
      <c r="G20" s="147">
        <f ca="1">ROUND(C20*$C$18+D20*$D$18,0)</f>
        <v>60186</v>
      </c>
      <c r="H20" s="979" t="s">
        <v>2145</v>
      </c>
      <c r="I20" s="137"/>
    </row>
    <row r="21" spans="1:35" ht="15" customHeight="1" thickBot="1">
      <c r="A21" s="999"/>
      <c r="B21" s="2430" t="s">
        <v>2146</v>
      </c>
      <c r="C21" s="785">
        <f ca="1">ROUND(C19*10000/L19,0)</f>
        <v>405250</v>
      </c>
      <c r="D21" s="786">
        <f ca="1">ROUND(D19*10000/L19,0)</f>
        <v>263290</v>
      </c>
      <c r="E21" s="999"/>
      <c r="F21" s="2430" t="s">
        <v>2146</v>
      </c>
      <c r="G21" s="148">
        <f ca="1">ROUND(G19*10000/L19,0)</f>
        <v>362660</v>
      </c>
      <c r="H21" s="2431" t="s">
        <v>2145</v>
      </c>
      <c r="I21" s="137"/>
    </row>
    <row r="22" spans="1:35" ht="15" thickBot="1">
      <c r="A22" s="2274" t="s">
        <v>2147</v>
      </c>
      <c r="B22" s="2432"/>
      <c r="C22" s="2433"/>
      <c r="D22" s="787">
        <f ca="1">IF(C19&lt;D19,D19/C19-1,C19/D19-1)</f>
        <v>0.53917733297884451</v>
      </c>
      <c r="E22" s="137"/>
      <c r="F22" s="137"/>
      <c r="G22" s="137"/>
      <c r="H22" s="137"/>
      <c r="I22" s="137"/>
    </row>
    <row r="23" spans="1:35" ht="13.5" thickBot="1">
      <c r="A23" s="2410"/>
      <c r="B23" s="2410"/>
      <c r="C23" s="2410"/>
      <c r="D23" s="2410"/>
      <c r="E23" s="137"/>
      <c r="F23" s="137"/>
      <c r="G23" s="137"/>
      <c r="H23" s="137"/>
      <c r="I23" s="137"/>
    </row>
    <row r="24" spans="1:35" ht="14.25">
      <c r="A24" s="3087" t="s">
        <v>2148</v>
      </c>
      <c r="B24" s="2427" t="s">
        <v>2140</v>
      </c>
      <c r="C24" s="144">
        <f>IF(B30=0,0,D30)</f>
        <v>0</v>
      </c>
      <c r="D24" s="2434"/>
      <c r="E24" s="137"/>
      <c r="F24" s="137"/>
      <c r="G24" s="137"/>
      <c r="H24" s="137"/>
      <c r="I24" s="137"/>
    </row>
    <row r="25" spans="1:35" ht="14.25">
      <c r="A25" s="3088"/>
      <c r="B25" s="1244" t="s">
        <v>2144</v>
      </c>
      <c r="C25" s="149">
        <f>IF(B30=0,0,C30)</f>
        <v>0</v>
      </c>
      <c r="D25" s="2435"/>
      <c r="E25" s="137"/>
      <c r="F25" s="137"/>
      <c r="G25" s="137"/>
      <c r="H25" s="137"/>
      <c r="I25" s="137"/>
    </row>
    <row r="26" spans="1:35" ht="13.5" customHeight="1">
      <c r="A26" s="2436" t="s">
        <v>2149</v>
      </c>
      <c r="B26" s="150" t="s">
        <v>2150</v>
      </c>
      <c r="C26" s="150" t="s">
        <v>2151</v>
      </c>
      <c r="D26" s="151" t="s">
        <v>2152</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2153</v>
      </c>
      <c r="B30" s="150"/>
      <c r="C30" s="150"/>
      <c r="D30" s="150"/>
      <c r="E30" s="2919" t="s">
        <v>3031</v>
      </c>
      <c r="F30" s="137"/>
      <c r="G30" s="137"/>
      <c r="H30" s="137"/>
      <c r="I30" s="137"/>
    </row>
    <row r="31" spans="1:35" s="2438" customFormat="1" ht="15" thickBot="1">
      <c r="A31" s="2437"/>
      <c r="B31" s="2437"/>
      <c r="C31" s="2437"/>
      <c r="D31" s="2437"/>
      <c r="E31" s="137"/>
      <c r="F31" s="137"/>
      <c r="G31" s="137"/>
      <c r="H31" s="137"/>
      <c r="I31" s="137"/>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2154</v>
      </c>
      <c r="B32" s="2440"/>
      <c r="C32" s="152">
        <f ca="1">IF(D32="总价",G19-C24,G20-C25)</f>
        <v>36266</v>
      </c>
      <c r="D32" s="2441" t="s">
        <v>2155</v>
      </c>
      <c r="E32" s="137"/>
      <c r="F32" s="137"/>
      <c r="G32" s="137"/>
      <c r="H32" s="137"/>
      <c r="I32" s="137"/>
    </row>
    <row r="33" spans="1:15" ht="15">
      <c r="A33" s="956" t="s">
        <v>2156</v>
      </c>
      <c r="B33" s="2442"/>
      <c r="C33" s="2443"/>
      <c r="D33" s="2444"/>
      <c r="E33" s="2445" t="s">
        <v>2157</v>
      </c>
      <c r="F33" s="2446" t="str">
        <f>IF(D32="楼面单价","取值（单价）","取值（总价）")</f>
        <v>取值（总价）</v>
      </c>
      <c r="G33" s="137"/>
      <c r="H33" s="137"/>
      <c r="I33" s="137"/>
    </row>
    <row r="34" spans="1:15" ht="15">
      <c r="A34" s="2447"/>
      <c r="B34" s="2448" t="s">
        <v>2158</v>
      </c>
      <c r="C34" s="156" t="e">
        <f ca="1">IF(C33="自定义",F34,C32-C35)</f>
        <v>#REF!</v>
      </c>
      <c r="D34" s="1054" t="e">
        <f ca="1">IF(C33="自定义",ROUND(C34/C32,3),IF(C33="收益比率",SUMIF(INDIRECT("'"&amp;D33&amp;"'"&amp;"!b:b"),"土地收益比率",INDIRECT("'"&amp;D33&amp;"'"&amp;"!c:c")),SUMIF(INDIRECT("'"&amp;D33&amp;"'"&amp;"!b:b"),"土地成本比率",INDIRECT("'"&amp;D33&amp;"'"&amp;"!c:c"))))</f>
        <v>#REF!</v>
      </c>
      <c r="E34" s="2449" t="s">
        <v>2159</v>
      </c>
      <c r="F34" s="1733"/>
      <c r="G34" s="137"/>
      <c r="H34" s="137"/>
      <c r="I34" s="137"/>
    </row>
    <row r="35" spans="1:15" ht="15.75" thickBot="1">
      <c r="A35" s="2450"/>
      <c r="B35" s="2451" t="s">
        <v>2160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2161</v>
      </c>
      <c r="F35" s="162"/>
      <c r="G35" s="137"/>
      <c r="H35" s="137"/>
      <c r="I35" s="137"/>
    </row>
    <row r="36" spans="1:15" ht="15.75" thickBot="1">
      <c r="A36" s="3105" t="s">
        <v>2162</v>
      </c>
      <c r="B36" s="2453" t="s">
        <v>2163</v>
      </c>
      <c r="C36" s="153"/>
      <c r="D36" s="2454"/>
      <c r="E36" s="2455"/>
      <c r="F36" s="2456"/>
      <c r="G36" s="137"/>
      <c r="H36" s="137"/>
      <c r="I36" s="137"/>
    </row>
    <row r="37" spans="1:15" ht="15.75" thickBot="1">
      <c r="A37" s="3106"/>
      <c r="B37" s="2260" t="s">
        <v>2164</v>
      </c>
      <c r="C37" s="155"/>
      <c r="D37" s="1389"/>
      <c r="E37" s="1389"/>
      <c r="F37" s="2456"/>
      <c r="G37" s="137"/>
      <c r="H37" s="137"/>
      <c r="I37" s="137"/>
    </row>
    <row r="38" spans="1:15" ht="15.75" thickBot="1">
      <c r="A38" s="3107"/>
      <c r="B38" s="2457" t="s">
        <v>2165</v>
      </c>
      <c r="C38" s="723"/>
      <c r="D38" s="2458" t="s">
        <v>2166</v>
      </c>
      <c r="E38" s="1389"/>
      <c r="F38" s="2456"/>
      <c r="G38" s="137"/>
      <c r="H38" s="137"/>
      <c r="I38" s="137"/>
    </row>
    <row r="39" spans="1:15" ht="15">
      <c r="A39" s="2429" t="s">
        <v>2167</v>
      </c>
      <c r="B39" s="2459" t="s">
        <v>2168</v>
      </c>
      <c r="C39" s="2460" t="s">
        <v>2169</v>
      </c>
      <c r="D39" s="2460" t="s">
        <v>2170</v>
      </c>
      <c r="E39" s="2461" t="s">
        <v>2171</v>
      </c>
      <c r="F39" s="2456"/>
      <c r="G39" s="137"/>
      <c r="H39" s="137"/>
      <c r="I39" s="137"/>
    </row>
    <row r="40" spans="1:15" ht="14.25">
      <c r="A40" s="2462" t="s">
        <v>2172</v>
      </c>
      <c r="B40" s="157"/>
      <c r="C40" s="158"/>
      <c r="D40" s="158"/>
      <c r="E40" s="159"/>
      <c r="F40" s="2456"/>
      <c r="G40" s="137"/>
      <c r="H40" s="137"/>
      <c r="I40" s="137"/>
    </row>
    <row r="41" spans="1:15" ht="14.25">
      <c r="A41" s="2462" t="s">
        <v>2173</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084" t="s">
        <v>2176</v>
      </c>
      <c r="B45" s="3085"/>
      <c r="C45" s="3086"/>
      <c r="D45" s="163">
        <f ca="1">ROUND(H101*F45,0)</f>
        <v>36266</v>
      </c>
      <c r="E45" s="164" t="s">
        <v>2177</v>
      </c>
      <c r="F45" s="165">
        <v>1</v>
      </c>
      <c r="G45" s="166" t="s">
        <v>2178</v>
      </c>
      <c r="H45" s="137"/>
      <c r="I45" s="137"/>
      <c r="J45" s="3144" t="s">
        <v>2179</v>
      </c>
      <c r="K45" s="3144"/>
      <c r="L45" s="3144"/>
      <c r="M45" s="3144"/>
      <c r="N45" s="3144"/>
      <c r="O45" s="3144"/>
    </row>
    <row r="46" spans="1:15" ht="14.25" customHeight="1">
      <c r="A46" s="3081" t="s">
        <v>2180</v>
      </c>
      <c r="B46" s="3082"/>
      <c r="C46" s="3082"/>
      <c r="D46" s="3082"/>
      <c r="E46" s="3082"/>
      <c r="F46" s="3082"/>
      <c r="G46" s="3083"/>
      <c r="H46" s="2472"/>
      <c r="I46" s="167"/>
      <c r="J46" s="1806">
        <v>1</v>
      </c>
      <c r="K46" s="3144" t="s">
        <v>2181</v>
      </c>
      <c r="L46" s="3144"/>
      <c r="M46" s="3164"/>
      <c r="N46" s="3164"/>
      <c r="O46" s="3164"/>
    </row>
    <row r="47" spans="1:15" ht="12" customHeight="1">
      <c r="A47" s="168" t="s">
        <v>2182</v>
      </c>
      <c r="B47" s="169"/>
      <c r="C47" s="170"/>
      <c r="D47" s="171" t="s">
        <v>2183</v>
      </c>
      <c r="E47" s="23" t="s">
        <v>2184</v>
      </c>
      <c r="F47" s="172" t="s">
        <v>2185</v>
      </c>
      <c r="G47" s="173" t="s">
        <v>2186</v>
      </c>
      <c r="H47" s="2472"/>
      <c r="I47" s="167"/>
      <c r="J47" s="1806">
        <v>2</v>
      </c>
      <c r="K47" s="3144" t="s">
        <v>2187</v>
      </c>
      <c r="L47" s="3144"/>
      <c r="M47" s="3165">
        <f>'数据-取费表'!B2</f>
        <v>43276</v>
      </c>
      <c r="N47" s="3165"/>
      <c r="O47" s="3165"/>
    </row>
    <row r="48" spans="1:15" ht="25.5">
      <c r="A48" s="3112" t="s">
        <v>2188</v>
      </c>
      <c r="B48" s="3095"/>
      <c r="C48" s="3095"/>
      <c r="D48" s="139">
        <f>IF(H48="情况1",0,IF(H48="情况2",D52,IF(H48="情况3",D53,IF(H48="情况4",D54))))</f>
        <v>0</v>
      </c>
      <c r="E48" s="1795" t="str">
        <f>IF(H48="情况4","(销售额-原购置价)×税（费）率","销售额×税（费）率")</f>
        <v>销售额×税（费）率</v>
      </c>
      <c r="F48" s="174" t="str">
        <f>IF(H48="情况1","免征",'数据-取费表'!B41)</f>
        <v>免征</v>
      </c>
      <c r="G48" s="2473" t="s">
        <v>2189</v>
      </c>
      <c r="H48" s="2474" t="s">
        <v>2190</v>
      </c>
      <c r="I48" s="2472"/>
      <c r="J48" s="1806">
        <v>3</v>
      </c>
      <c r="K48" s="3144" t="s">
        <v>2191</v>
      </c>
      <c r="L48" s="3144"/>
      <c r="M48" s="3166">
        <f ca="1">H101</f>
        <v>36266</v>
      </c>
      <c r="N48" s="3166"/>
      <c r="O48" s="3166"/>
    </row>
    <row r="49" spans="1:35" ht="25.5" customHeight="1">
      <c r="A49" s="175" t="s">
        <v>2192</v>
      </c>
      <c r="B49" s="3080" t="s">
        <v>2193</v>
      </c>
      <c r="C49" s="3080"/>
      <c r="D49" s="176">
        <v>0</v>
      </c>
      <c r="E49" s="22" t="s">
        <v>2194</v>
      </c>
      <c r="F49" s="27" t="s">
        <v>34</v>
      </c>
      <c r="G49" s="3150"/>
      <c r="H49" s="137"/>
      <c r="I49" s="2475"/>
      <c r="J49" s="1806">
        <v>4</v>
      </c>
      <c r="K49" s="3144" t="str">
        <f>IF(项目基本情况!E8="房地产抵押价值","房地产抵押价值","抵押担保权已注销时的房地产抵押价值")</f>
        <v>房地产抵押价值</v>
      </c>
      <c r="L49" s="3144"/>
      <c r="M49" s="3166">
        <f ca="1">IF(项目基本情况!E8="房地产抵押价值",H107,H109)</f>
        <v>36266</v>
      </c>
      <c r="N49" s="3166"/>
      <c r="O49" s="3166"/>
    </row>
    <row r="50" spans="1:35" ht="25.5" customHeight="1">
      <c r="A50" s="177"/>
      <c r="B50" s="3080" t="s">
        <v>2195</v>
      </c>
      <c r="C50" s="3080"/>
      <c r="D50" s="178"/>
      <c r="E50" s="30"/>
      <c r="F50" s="179"/>
      <c r="G50" s="3151"/>
      <c r="H50" s="137"/>
      <c r="I50" s="2475"/>
      <c r="J50" s="3144" t="s">
        <v>2196</v>
      </c>
      <c r="K50" s="3144"/>
      <c r="L50" s="3144"/>
      <c r="M50" s="3144"/>
      <c r="N50" s="3144"/>
      <c r="O50" s="3144"/>
    </row>
    <row r="51" spans="1:35" ht="12" customHeight="1">
      <c r="A51" s="180"/>
      <c r="B51" s="3080" t="s">
        <v>2197</v>
      </c>
      <c r="C51" s="3080"/>
      <c r="D51" s="181"/>
      <c r="E51" s="29"/>
      <c r="F51" s="179"/>
      <c r="G51" s="3152"/>
      <c r="H51" s="137"/>
      <c r="I51" s="2475"/>
      <c r="J51" s="2476" t="s">
        <v>2198</v>
      </c>
      <c r="K51" s="3144" t="s">
        <v>2199</v>
      </c>
      <c r="L51" s="3144"/>
      <c r="M51" s="2476" t="s">
        <v>2200</v>
      </c>
      <c r="N51" s="2476" t="s">
        <v>2201</v>
      </c>
      <c r="O51" s="2476" t="s">
        <v>2202</v>
      </c>
    </row>
    <row r="52" spans="1:35" ht="24" customHeight="1">
      <c r="A52" s="182" t="s">
        <v>2203</v>
      </c>
      <c r="B52" s="3080" t="s">
        <v>2204</v>
      </c>
      <c r="C52" s="3080"/>
      <c r="D52" s="181">
        <f ca="1">ROUND(D45*'数据-取费表'!B41/(1+'数据-取费表'!C42),0)</f>
        <v>1934</v>
      </c>
      <c r="E52" s="11" t="s">
        <v>2205</v>
      </c>
      <c r="F52" s="183">
        <f>'数据-取费表'!B41</f>
        <v>5.6000000000000001E-2</v>
      </c>
      <c r="G52" s="2477"/>
      <c r="H52" s="137"/>
      <c r="I52" s="2475"/>
      <c r="J52" s="1806">
        <v>1</v>
      </c>
      <c r="K52" s="3145" t="s">
        <v>2206</v>
      </c>
      <c r="L52" s="3145"/>
      <c r="M52" s="1748">
        <f>D48</f>
        <v>0</v>
      </c>
      <c r="N52" s="1806" t="str">
        <f>E48</f>
        <v>销售额×税（费）率</v>
      </c>
      <c r="O52" s="1749" t="str">
        <f>F48</f>
        <v>免征</v>
      </c>
    </row>
    <row r="53" spans="1:35" ht="12" customHeight="1">
      <c r="A53" s="182" t="s">
        <v>2207</v>
      </c>
      <c r="B53" s="3103" t="s">
        <v>2208</v>
      </c>
      <c r="C53" s="3104"/>
      <c r="D53" s="181">
        <f ca="1">ROUND(D45*'数据-取费表'!B41/(1+'数据-取费表'!C42),0)</f>
        <v>1934</v>
      </c>
      <c r="E53" s="11" t="s">
        <v>2205</v>
      </c>
      <c r="F53" s="183">
        <f>'数据-取费表'!B41</f>
        <v>5.6000000000000001E-2</v>
      </c>
      <c r="G53" s="2477"/>
      <c r="H53" s="137"/>
      <c r="I53" s="2475"/>
      <c r="J53" s="1806">
        <v>2</v>
      </c>
      <c r="K53" s="3145" t="s">
        <v>2209</v>
      </c>
      <c r="L53" s="3145"/>
      <c r="M53" s="1748">
        <f t="shared" ref="M53:O54" ca="1" si="0">D55</f>
        <v>18</v>
      </c>
      <c r="N53" s="1806" t="str">
        <f t="shared" si="0"/>
        <v>销售额×税（费）率</v>
      </c>
      <c r="O53" s="1749">
        <f t="shared" si="0"/>
        <v>5.0000000000000001E-4</v>
      </c>
    </row>
    <row r="54" spans="1:35" ht="12" customHeight="1">
      <c r="A54" s="182" t="s">
        <v>2210</v>
      </c>
      <c r="B54" s="3103" t="s">
        <v>2211</v>
      </c>
      <c r="C54" s="3104"/>
      <c r="D54" s="181">
        <f ca="1">C68</f>
        <v>1934</v>
      </c>
      <c r="E54" s="29" t="s">
        <v>2212</v>
      </c>
      <c r="F54" s="183">
        <f>'数据-取费表'!B41</f>
        <v>5.6000000000000001E-2</v>
      </c>
      <c r="G54" s="2477"/>
      <c r="H54" s="2478"/>
      <c r="I54" s="2475"/>
      <c r="J54" s="1806">
        <v>3</v>
      </c>
      <c r="K54" s="3145" t="s">
        <v>2213</v>
      </c>
      <c r="L54" s="3145"/>
      <c r="M54" s="1748">
        <f t="shared" ca="1" si="0"/>
        <v>20527</v>
      </c>
      <c r="N54" s="1806" t="str">
        <f t="shared" si="0"/>
        <v>增值额×税（费）率</v>
      </c>
      <c r="O54" s="1750" t="str">
        <f t="shared" si="0"/>
        <v>——</v>
      </c>
    </row>
    <row r="55" spans="1:35" ht="24" customHeight="1">
      <c r="A55" s="3094" t="s">
        <v>2214</v>
      </c>
      <c r="B55" s="3095"/>
      <c r="C55" s="3095"/>
      <c r="D55" s="184">
        <f ca="1">IF(H55="个人住宅",0,ROUND(D45*I55,0))</f>
        <v>18</v>
      </c>
      <c r="E55" s="11" t="s">
        <v>2215</v>
      </c>
      <c r="F55" s="183">
        <f>IF(H55="正常",I55,"免征")</f>
        <v>5.0000000000000001E-4</v>
      </c>
      <c r="G55" s="2477"/>
      <c r="H55" s="2474" t="s">
        <v>2216</v>
      </c>
      <c r="I55" s="185">
        <f>'数据-取费表'!B49</f>
        <v>5.0000000000000001E-4</v>
      </c>
      <c r="J55" s="1806" t="str">
        <f>IF(H59="非个人房产","",4)</f>
        <v/>
      </c>
      <c r="K55" s="3145" t="str">
        <f>IF(H59="非个人房产","——","个人所得税")</f>
        <v>——</v>
      </c>
      <c r="L55" s="3145"/>
      <c r="M55" s="1751" t="str">
        <f>D59</f>
        <v>——</v>
      </c>
      <c r="N55" s="1804" t="str">
        <f>E59</f>
        <v>——</v>
      </c>
      <c r="O55" s="1752" t="str">
        <f>F59</f>
        <v>——</v>
      </c>
    </row>
    <row r="56" spans="1:35" ht="24.75">
      <c r="A56" s="3094" t="s">
        <v>2217</v>
      </c>
      <c r="B56" s="3095"/>
      <c r="C56" s="3095"/>
      <c r="D56" s="184">
        <f ca="1">IF(H56="个人住宅",D57,D58)</f>
        <v>20527</v>
      </c>
      <c r="E56" s="11" t="s">
        <v>2218</v>
      </c>
      <c r="F56" s="183" t="str">
        <f>IF(H56="正常",F58,"免征")</f>
        <v>——</v>
      </c>
      <c r="G56" s="2479" t="s">
        <v>2219</v>
      </c>
      <c r="H56" s="2480" t="s">
        <v>2216</v>
      </c>
      <c r="I56" s="2481"/>
      <c r="J56" s="1806" t="str">
        <f>IF(项目基本情况!K6="上海银行",IF(J55="",4,J55+1),"")</f>
        <v/>
      </c>
      <c r="K56" s="3168" t="str">
        <f>IF(项目基本情况!K6="上海银行","其他处置费用","")</f>
        <v/>
      </c>
      <c r="L56" s="3169"/>
      <c r="M56" s="1748" t="str">
        <f>IF(项目基本情况!K6="上海银行",M69,"")</f>
        <v/>
      </c>
      <c r="N56" s="3171" t="str">
        <f>IF(项目基本情况!K6="上海银行","包含处置中涉及的律师、诉讼、拍卖、评估等费用","")</f>
        <v/>
      </c>
      <c r="O56" s="3172"/>
    </row>
    <row r="57" spans="1:35" ht="12.75">
      <c r="A57" s="182" t="s">
        <v>2192</v>
      </c>
      <c r="B57" s="3110" t="s">
        <v>2220</v>
      </c>
      <c r="C57" s="3119"/>
      <c r="D57" s="186">
        <v>0</v>
      </c>
      <c r="E57" s="22" t="s">
        <v>2194</v>
      </c>
      <c r="F57" s="154"/>
      <c r="G57" s="2477"/>
      <c r="H57" s="2481"/>
      <c r="I57" s="2481"/>
      <c r="J57" s="3145">
        <f>IF(AND(J55="",J56=""),4,IF(项目基本情况!K6="上海银行",结果表!J56+1,结果表!J55+1))</f>
        <v>4</v>
      </c>
      <c r="K57" s="3145" t="s">
        <v>2221</v>
      </c>
      <c r="L57" s="2482" t="s">
        <v>2222</v>
      </c>
      <c r="M57" s="1753"/>
      <c r="N57" s="1754">
        <f ca="1">SUMIF(M52:M56,"&lt;9e307")</f>
        <v>20545</v>
      </c>
      <c r="O57" s="2483"/>
      <c r="P57" s="1747">
        <f ca="1">N57/M49</f>
        <v>0.56650857552528544</v>
      </c>
    </row>
    <row r="58" spans="1:35" ht="24.75">
      <c r="A58" s="182" t="s">
        <v>2203</v>
      </c>
      <c r="B58" s="3110" t="s">
        <v>2223</v>
      </c>
      <c r="C58" s="3111"/>
      <c r="D58" s="184">
        <f ca="1">IF(H58="转让取得",C81,C97)</f>
        <v>20527</v>
      </c>
      <c r="E58" s="11" t="s">
        <v>2218</v>
      </c>
      <c r="F58" s="23" t="s">
        <v>34</v>
      </c>
      <c r="G58" s="2477"/>
      <c r="H58" s="2480" t="s">
        <v>2224</v>
      </c>
      <c r="I58" s="2481"/>
      <c r="J58" s="3145"/>
      <c r="K58" s="3145"/>
      <c r="L58" s="2482" t="s">
        <v>2225</v>
      </c>
      <c r="M58" s="1755"/>
      <c r="N58" s="2484" t="str">
        <f ca="1">NUMBERSTRING(INT(N57*10000),2)&amp;"元整"</f>
        <v>贰亿零伍佰肆拾伍万元整</v>
      </c>
      <c r="O58" s="2485"/>
    </row>
    <row r="59" spans="1:35" ht="24.75" thickBot="1">
      <c r="A59" s="3148" t="s">
        <v>2226</v>
      </c>
      <c r="B59" s="3149"/>
      <c r="C59" s="3149"/>
      <c r="D59" s="187" t="str">
        <f>IF(H59="非个人房产","——",IF(H59="个人住宅",0,ROUND(D45*I59,0)))</f>
        <v>——</v>
      </c>
      <c r="E59" s="188" t="str">
        <f>IF(H59="非个人房产","——","销售额×税（费）率")</f>
        <v>——</v>
      </c>
      <c r="F59" s="189" t="str">
        <f>IF(H59="非个人房产","——",IF(H59="个人住宅","免征",I59))</f>
        <v>——</v>
      </c>
      <c r="G59" s="2486" t="s">
        <v>2219</v>
      </c>
      <c r="H59" s="2480" t="s">
        <v>2227</v>
      </c>
      <c r="I59" s="190">
        <v>0.01</v>
      </c>
      <c r="J59" s="3146">
        <f>J57+1</f>
        <v>5</v>
      </c>
      <c r="K59" s="3145" t="s">
        <v>2228</v>
      </c>
      <c r="L59" s="1806" t="s">
        <v>2222</v>
      </c>
      <c r="M59" s="1756"/>
      <c r="N59" s="1757">
        <f ca="1">M49-N57</f>
        <v>15721</v>
      </c>
      <c r="O59" s="2487"/>
    </row>
    <row r="60" spans="1:35" ht="12" customHeight="1">
      <c r="A60" s="2488"/>
      <c r="B60" s="2410"/>
      <c r="C60" s="2410"/>
      <c r="D60" s="2410"/>
      <c r="E60" s="2159"/>
      <c r="F60" s="2481"/>
      <c r="G60" s="2481"/>
      <c r="H60" s="2489"/>
      <c r="I60" s="137"/>
      <c r="J60" s="3147"/>
      <c r="K60" s="3145"/>
      <c r="L60" s="2482" t="s">
        <v>2225</v>
      </c>
      <c r="M60" s="1755"/>
      <c r="N60" s="2484" t="str">
        <f ca="1">NUMBERSTRING(INT(N59*10000),2)&amp;"元整"</f>
        <v>壹亿伍仟柒佰贰拾壹万元整</v>
      </c>
      <c r="O60" s="2485"/>
    </row>
    <row r="61" spans="1:35" ht="13.5" thickBot="1">
      <c r="A61" s="3092" t="s">
        <v>2229</v>
      </c>
      <c r="B61" s="3092"/>
      <c r="C61" s="3092"/>
      <c r="D61" s="3092"/>
      <c r="E61" s="3092"/>
      <c r="F61" s="2481"/>
      <c r="G61" s="2481"/>
      <c r="H61" s="2489"/>
      <c r="I61" s="137"/>
      <c r="J61" s="1806">
        <f>J59+1</f>
        <v>6</v>
      </c>
      <c r="K61" s="3145" t="s">
        <v>2230</v>
      </c>
      <c r="L61" s="3145"/>
      <c r="M61" s="1758"/>
      <c r="N61" s="1759">
        <f ca="1">ROUND(N59*10000/'数据-汇总表'!E3,0)</f>
        <v>22305</v>
      </c>
      <c r="O61" s="2490"/>
    </row>
    <row r="62" spans="1:35" ht="12.75">
      <c r="A62" s="3108" t="s">
        <v>2231</v>
      </c>
      <c r="B62" s="3109"/>
      <c r="C62" s="1798"/>
      <c r="D62" s="1798" t="s">
        <v>2232</v>
      </c>
      <c r="E62" s="191" t="s">
        <v>2233</v>
      </c>
      <c r="F62" s="2481"/>
      <c r="G62" s="2481"/>
      <c r="H62" s="2489"/>
      <c r="I62" s="137"/>
    </row>
    <row r="63" spans="1:35" ht="12.75">
      <c r="A63" s="202" t="s">
        <v>775</v>
      </c>
      <c r="B63" s="192" t="s">
        <v>2234</v>
      </c>
      <c r="C63" s="193">
        <f ca="1">ROUND((C64+C65)/(1+'数据-取费表'!C42),0)</f>
        <v>34539</v>
      </c>
      <c r="D63" s="194"/>
      <c r="E63" s="195"/>
      <c r="F63" s="2481"/>
      <c r="G63" s="2481"/>
      <c r="H63" s="2489"/>
      <c r="I63" s="137"/>
      <c r="J63" s="3170" t="s">
        <v>2235</v>
      </c>
      <c r="K63" s="2491" t="s">
        <v>2236</v>
      </c>
      <c r="L63" s="1746">
        <f ca="1">IF(M49&gt;10000,M49*0.5%,IF(AND(M49&gt;1000,M49&lt;=10000),M49*1%,IF(AND(M49&gt;100,M49&lt;=1000),M49*3%,IF(AND(M49&gt;10,M49&lt;=100),M49*5%,M49*8%))))</f>
        <v>181.33</v>
      </c>
      <c r="M63" s="23">
        <f ca="1">ROUND(L63,1)</f>
        <v>181.3</v>
      </c>
      <c r="Z63" s="2415"/>
      <c r="AI63" s="2416"/>
    </row>
    <row r="64" spans="1:35" ht="14.25" customHeight="1">
      <c r="A64" s="196" t="s">
        <v>770</v>
      </c>
      <c r="B64" s="197" t="s">
        <v>2237</v>
      </c>
      <c r="C64" s="198">
        <f ca="1">D45</f>
        <v>36266</v>
      </c>
      <c r="D64" s="199" t="s">
        <v>32</v>
      </c>
      <c r="E64" s="200"/>
      <c r="F64" s="2481"/>
      <c r="G64" s="2481"/>
      <c r="H64" s="2489"/>
      <c r="I64" s="137"/>
      <c r="J64" s="3170"/>
      <c r="K64" s="2491" t="s">
        <v>2238</v>
      </c>
      <c r="L64" s="1746">
        <f ca="1">IF(M49&gt;2000,M49*0.5%,IF(AND(M49&gt;1000,M49&lt;=2000),M49*0.6%,IF(AND(M49&gt;500,M49&lt;=1000),M49*0.7%,IF(AND(M49&gt;200,M49&lt;=500),M49*0.8%,IF(AND(M49&gt;100,M49&lt;=200),M49*0.9%,IF(AND(M49&gt;50,M49&lt;=100),M49*1%,IF(AND(M49&gt;20,M49&lt;=50),M49*1.5%,IF(AND(M49&gt;10,M49&lt;=20),M49*2%,IF(AND(M49&gt;1,M49&lt;=10),M49*2.5%)))))))))</f>
        <v>181.33</v>
      </c>
      <c r="M64" s="23">
        <f t="shared" ref="M64:M65" ca="1" si="1">ROUND(L64,1)</f>
        <v>181.3</v>
      </c>
      <c r="N64" s="137" t="s">
        <v>2239</v>
      </c>
      <c r="Z64" s="2415"/>
      <c r="AI64" s="2416"/>
    </row>
    <row r="65" spans="1:35" ht="14.25" customHeight="1">
      <c r="A65" s="196" t="s">
        <v>771</v>
      </c>
      <c r="B65" s="197" t="s">
        <v>2240</v>
      </c>
      <c r="C65" s="201"/>
      <c r="D65" s="199"/>
      <c r="E65" s="200"/>
      <c r="F65" s="2481"/>
      <c r="G65" s="2481"/>
      <c r="H65" s="2489"/>
      <c r="I65" s="137"/>
      <c r="J65" s="3170"/>
      <c r="K65" s="2491" t="s">
        <v>2241</v>
      </c>
      <c r="L65" s="1746">
        <f ca="1">IF(M49&gt;1000,M49*0.1%,IF(AND(M49&gt;500,M49&lt;=1000),M49*0.5%,IF(AND(M49&gt;50,M49&lt;=500),M49*1%,IF(AND(M49&gt;1,M49&lt;=50),M49*1.5%))))</f>
        <v>36.265999999999998</v>
      </c>
      <c r="M65" s="23">
        <f t="shared" ca="1" si="1"/>
        <v>36.299999999999997</v>
      </c>
      <c r="N65" s="137" t="s">
        <v>2239</v>
      </c>
      <c r="Z65" s="2415"/>
      <c r="AI65" s="2416"/>
    </row>
    <row r="66" spans="1:35" ht="14.25" customHeight="1">
      <c r="A66" s="202" t="s">
        <v>772</v>
      </c>
      <c r="B66" s="203" t="s">
        <v>2242</v>
      </c>
      <c r="C66" s="204"/>
      <c r="D66" s="205" t="s">
        <v>32</v>
      </c>
      <c r="E66" s="1770" t="s">
        <v>1371</v>
      </c>
      <c r="F66" s="2481"/>
      <c r="G66" s="2481"/>
      <c r="H66" s="2489"/>
      <c r="I66" s="137"/>
      <c r="J66" s="3170"/>
      <c r="K66" s="2491" t="s">
        <v>2243</v>
      </c>
      <c r="L66" s="1746">
        <f ca="1">M49*0.5%</f>
        <v>181.33</v>
      </c>
      <c r="M66" s="23">
        <f ca="1">IF(L66&gt;0.5,0.5,ROUND(L66,0))</f>
        <v>0.5</v>
      </c>
      <c r="N66" s="137" t="s">
        <v>2244</v>
      </c>
      <c r="Z66" s="2415"/>
      <c r="AI66" s="2416"/>
    </row>
    <row r="67" spans="1:35" ht="14.25" customHeight="1">
      <c r="A67" s="202" t="s">
        <v>773</v>
      </c>
      <c r="B67" s="203" t="s">
        <v>2245</v>
      </c>
      <c r="C67" s="206">
        <f ca="1">C63-C66</f>
        <v>34539</v>
      </c>
      <c r="D67" s="199" t="s">
        <v>32</v>
      </c>
      <c r="E67" s="200"/>
      <c r="F67" s="2481"/>
      <c r="G67" s="2481"/>
      <c r="H67" s="2489"/>
      <c r="I67" s="137"/>
      <c r="J67" s="3170"/>
      <c r="K67" s="2491" t="s">
        <v>2246</v>
      </c>
      <c r="L67" s="1746">
        <f ca="1">IF(M49&gt;=10000,(8.25+(M49-10000)*0.01%),IF(AND(M49&gt;=8000,M49&lt;10000),(7.85+(M49-8000)*0.02%),IF(AND(M49&gt;=5000,M49&lt;8000),(6.65+(M49-5000)*0.04%),IF(AND(M49&gt;=2000,M49&lt;5000),(4.25+(PM49-2000)*0.08%),IF(AND(M49&gt;=1000,M49&lt;2000),(2.75+(M49-1000)*0.15%),IF(AND(M49&gt;=100,M49&lt;1000),(0.5+(M49-100)*0.25%),IF(AND(M49&gt;0,M49&lt;100),M49*0.5%)))))))</f>
        <v>10.8766</v>
      </c>
      <c r="M67" s="23">
        <f ca="1">ROUND(L67*0.9,1)</f>
        <v>9.8000000000000007</v>
      </c>
      <c r="Z67" s="2415"/>
      <c r="AI67" s="2416"/>
    </row>
    <row r="68" spans="1:35" ht="14.25" customHeight="1" thickBot="1">
      <c r="A68" s="207" t="s">
        <v>774</v>
      </c>
      <c r="B68" s="208" t="s">
        <v>2247</v>
      </c>
      <c r="C68" s="209">
        <f ca="1">IF(C67&lt;=0,0,ROUND(C67*D68,0))</f>
        <v>1934</v>
      </c>
      <c r="D68" s="210">
        <f>'数据-取费表'!B41</f>
        <v>5.6000000000000001E-2</v>
      </c>
      <c r="E68" s="211"/>
      <c r="F68" s="2481"/>
      <c r="G68" s="2481"/>
      <c r="H68" s="2489"/>
      <c r="I68" s="137"/>
      <c r="J68" s="3170"/>
      <c r="K68" s="2491" t="s">
        <v>2248</v>
      </c>
      <c r="L68" s="1746">
        <f ca="1">IF(M49&gt;10000,M49*0.5%,IF(AND(M49&gt;5000,M49&lt;=10000),M49*1%,IF(AND(M49&gt;1000,M49&lt;=5000),M49*2%,IF(AND(M49&gt;200,M49&lt;=1000),M49*3%,M49*5%))))</f>
        <v>181.33</v>
      </c>
      <c r="M68" s="23">
        <f ca="1">ROUND(L68,1)</f>
        <v>181.3</v>
      </c>
      <c r="Z68" s="2415"/>
      <c r="AI68" s="2416"/>
    </row>
    <row r="69" spans="1:35" s="2438" customFormat="1" ht="16.5" customHeight="1">
      <c r="A69" s="2492"/>
      <c r="B69" s="2493"/>
      <c r="C69" s="2494"/>
      <c r="D69" s="2495"/>
      <c r="E69" s="2496"/>
      <c r="F69" s="2159"/>
      <c r="G69" s="2159"/>
      <c r="H69" s="2158"/>
      <c r="I69" s="2410"/>
      <c r="J69" s="3170"/>
      <c r="K69" s="2491" t="s">
        <v>2249</v>
      </c>
      <c r="L69" s="2497"/>
      <c r="M69" s="23">
        <f ca="1">ROUND(SUM(M63:M68),0)</f>
        <v>591</v>
      </c>
      <c r="N69" s="1747">
        <f ca="1">M69/M49</f>
        <v>1.6296255445872168E-2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29" t="s">
        <v>2250</v>
      </c>
      <c r="B70" s="3130"/>
      <c r="C70" s="3130"/>
      <c r="D70" s="3130"/>
      <c r="E70" s="3130"/>
      <c r="F70" s="3130"/>
      <c r="G70" s="3130"/>
      <c r="H70" s="313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8" t="s">
        <v>2231</v>
      </c>
      <c r="B71" s="3109"/>
      <c r="C71" s="1798"/>
      <c r="D71" s="1798" t="s">
        <v>2232</v>
      </c>
      <c r="E71" s="212" t="s">
        <v>2233</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2251</v>
      </c>
      <c r="C72" s="206">
        <f ca="1">ROUND(D45/(1+'数据-取费表'!C42),0)</f>
        <v>34539</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2252</v>
      </c>
      <c r="C73" s="206">
        <f ca="1">C74+C78</f>
        <v>207</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2253</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2254</v>
      </c>
      <c r="C75" s="217"/>
      <c r="D75" s="199" t="s">
        <v>32</v>
      </c>
      <c r="E75" s="218" t="s">
        <v>2255</v>
      </c>
      <c r="F75" s="2503" t="s">
        <v>2256</v>
      </c>
      <c r="G75" s="218" t="s">
        <v>2257</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2258</v>
      </c>
      <c r="C76" s="199">
        <f>IF(F75="购房发票",ROUND(C75*H75*D76,0),0)</f>
        <v>0</v>
      </c>
      <c r="D76" s="221">
        <v>0.05</v>
      </c>
      <c r="E76" s="3103" t="s">
        <v>2259</v>
      </c>
      <c r="F76" s="3080"/>
      <c r="G76" s="3080"/>
      <c r="H76" s="312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05" t="s">
        <v>2262</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2263</v>
      </c>
      <c r="C78" s="224">
        <f ca="1">ROUND(D45*D78/(1+'数据-取费表'!C42),0)</f>
        <v>207</v>
      </c>
      <c r="D78" s="225">
        <f>'数据-取费表'!B43</f>
        <v>6.000000000000001E-3</v>
      </c>
      <c r="E78" s="3089" t="s">
        <v>2264</v>
      </c>
      <c r="F78" s="3090"/>
      <c r="G78" s="3090"/>
      <c r="H78" s="309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2265</v>
      </c>
      <c r="C79" s="206">
        <f ca="1">C72-C73</f>
        <v>34332</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2266</v>
      </c>
      <c r="C80" s="226">
        <f ca="1">IF(C79&lt;=0,0,C79/C73)</f>
        <v>165.85507246376812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2267</v>
      </c>
      <c r="C81" s="227">
        <f ca="1">ROUND(IF(C79&lt;=0,0,IF(C80&gt;=200%,C79*60%-C73*35%,IF(C80&gt;=100%,C79*50%-C73*15%,IF(C80&gt;=50%,C79*40%-C73*5%,IF(C80&lt;50%,C79*30%,0))))),0)</f>
        <v>20527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9" t="s">
        <v>2268</v>
      </c>
      <c r="B83" s="3130"/>
      <c r="C83" s="3130"/>
      <c r="D83" s="3130"/>
      <c r="E83" s="3130"/>
      <c r="F83" s="3130"/>
      <c r="G83" s="3130"/>
      <c r="H83" s="313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8" t="s">
        <v>2231</v>
      </c>
      <c r="B84" s="3109"/>
      <c r="C84" s="1798"/>
      <c r="D84" s="1798" t="s">
        <v>2232</v>
      </c>
      <c r="E84" s="212" t="s">
        <v>2233</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2251</v>
      </c>
      <c r="C85" s="206">
        <f ca="1">ROUND(D45/(1+'数据-取费表'!C42),0)</f>
        <v>34539</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2252</v>
      </c>
      <c r="C86" s="206">
        <f ca="1">IF(H88="仅含出让金",C87+C90+C91+C92+C93+C94,C87+C91+C92+C93+C94)</f>
        <v>207</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2269</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2270</v>
      </c>
      <c r="C88" s="235"/>
      <c r="D88" s="225"/>
      <c r="E88" s="236" t="s">
        <v>2271</v>
      </c>
      <c r="F88" s="1794"/>
      <c r="G88" s="237"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2260</v>
      </c>
      <c r="C89" s="224">
        <f>ROUND(C88*D89,0)</f>
        <v>0</v>
      </c>
      <c r="D89" s="225">
        <f>'数据-取费表'!B48+'数据-取费表'!B49</f>
        <v>3.0499999999999999E-2</v>
      </c>
      <c r="E89" s="236" t="s">
        <v>2273</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2274</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2275</v>
      </c>
      <c r="B91" s="197" t="s">
        <v>2276</v>
      </c>
      <c r="C91" s="224">
        <f>IF(H91="——",成本法!C33,I91)</f>
        <v>0</v>
      </c>
      <c r="D91" s="225"/>
      <c r="E91" s="3089" t="s">
        <v>2277</v>
      </c>
      <c r="F91" s="3090"/>
      <c r="G91" s="3090"/>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2279</v>
      </c>
      <c r="B92" s="197" t="s">
        <v>2280</v>
      </c>
      <c r="C92" s="224">
        <f>ROUND((C87+C90+C91)*D92,0)</f>
        <v>0</v>
      </c>
      <c r="D92" s="225">
        <v>0.1</v>
      </c>
      <c r="E92" s="3089" t="s">
        <v>2281</v>
      </c>
      <c r="F92" s="3090"/>
      <c r="G92" s="3090"/>
      <c r="H92" s="309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2282</v>
      </c>
      <c r="B93" s="197" t="s">
        <v>2263</v>
      </c>
      <c r="C93" s="224">
        <f ca="1">ROUND(D45*D93/(1+'数据-取费表'!C42),0)</f>
        <v>207</v>
      </c>
      <c r="D93" s="225">
        <f>'数据-取费表'!B43</f>
        <v>6.000000000000001E-3</v>
      </c>
      <c r="E93" s="3089" t="s">
        <v>2264</v>
      </c>
      <c r="F93" s="3090"/>
      <c r="G93" s="3090"/>
      <c r="H93" s="309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2283</v>
      </c>
      <c r="B94" s="197" t="s">
        <v>2284</v>
      </c>
      <c r="C94" s="235">
        <f>ROUND((C87+C90+C91)*D94,0)</f>
        <v>0</v>
      </c>
      <c r="D94" s="225">
        <v>0.2</v>
      </c>
      <c r="E94" s="3100" t="s">
        <v>2285</v>
      </c>
      <c r="F94" s="3101"/>
      <c r="G94" s="3101"/>
      <c r="H94" s="310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2265</v>
      </c>
      <c r="C95" s="206">
        <f ca="1">ROUND(C85-C86,0)</f>
        <v>34332</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2266</v>
      </c>
      <c r="C96" s="226">
        <f ca="1">IF(C95&lt;=0,0,C95/C86)</f>
        <v>165.85507246376812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2267</v>
      </c>
      <c r="C97" s="227">
        <f ca="1">ROUND(IF(C95&lt;=0,0,IF(C96&gt;=200%,C95*60%-C86*35%,IF(C96&gt;=100%,C95*50%-C86*15%,IF(C96&gt;=50%,C95*40%-C86*5%,IF(C96&lt;50%,C95*30%,0))))),0)</f>
        <v>20527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2286</v>
      </c>
      <c r="B99" s="2410"/>
      <c r="C99" s="2410"/>
      <c r="D99" s="2410"/>
      <c r="E99" s="2159"/>
      <c r="F99" s="2159"/>
      <c r="G99" s="2159"/>
      <c r="H99" s="2158"/>
      <c r="I99" s="137"/>
    </row>
    <row r="100" spans="1:35" ht="18.75" customHeight="1">
      <c r="A100" s="3074" t="s">
        <v>2287</v>
      </c>
      <c r="B100" s="3075"/>
      <c r="C100" s="3075"/>
      <c r="D100" s="3091"/>
      <c r="E100" s="3075" t="s">
        <v>2288</v>
      </c>
      <c r="F100" s="3075"/>
      <c r="G100" s="3075"/>
      <c r="H100" s="3091"/>
      <c r="I100" s="137"/>
    </row>
    <row r="101" spans="1:35" ht="18.75" customHeight="1">
      <c r="A101" s="3153" t="s">
        <v>2289</v>
      </c>
      <c r="B101" s="3154"/>
      <c r="C101" s="732" t="str">
        <f>C4</f>
        <v>典型户型修正</v>
      </c>
      <c r="D101" s="733" t="str">
        <f>D4</f>
        <v>收益法</v>
      </c>
      <c r="E101" s="3167" t="s">
        <v>2290</v>
      </c>
      <c r="F101" s="3121"/>
      <c r="G101" s="2512" t="s">
        <v>2291</v>
      </c>
      <c r="H101" s="1044">
        <f ca="1">H118</f>
        <v>36266</v>
      </c>
      <c r="I101" s="137"/>
    </row>
    <row r="102" spans="1:35" ht="18.75" customHeight="1">
      <c r="A102" s="3123" t="s">
        <v>2292</v>
      </c>
      <c r="B102" s="2512" t="s">
        <v>2291</v>
      </c>
      <c r="C102" s="732">
        <f ca="1">C19</f>
        <v>40525</v>
      </c>
      <c r="D102" s="733">
        <f ca="1">D19</f>
        <v>26329</v>
      </c>
      <c r="E102" s="3167"/>
      <c r="F102" s="3121"/>
      <c r="G102" s="2512" t="s">
        <v>2293</v>
      </c>
      <c r="H102" s="370">
        <f ca="1">I118</f>
        <v>51453</v>
      </c>
      <c r="I102" s="137"/>
    </row>
    <row r="103" spans="1:35" ht="42.75" customHeight="1">
      <c r="A103" s="3123"/>
      <c r="B103" s="2512" t="s">
        <v>2293</v>
      </c>
      <c r="C103" s="734">
        <f ca="1">C20</f>
        <v>69970</v>
      </c>
      <c r="D103" s="735">
        <f ca="1">D20</f>
        <v>37355</v>
      </c>
      <c r="E103" s="3162" t="s">
        <v>2294</v>
      </c>
      <c r="F103" s="3163"/>
      <c r="G103" s="2513" t="s">
        <v>2295</v>
      </c>
      <c r="H103" s="1044">
        <f>IF(D36="正常操作",H104+H105+H106,H105+H106)</f>
        <v>0</v>
      </c>
      <c r="I103" s="137"/>
    </row>
    <row r="104" spans="1:35" ht="18.75" customHeight="1">
      <c r="A104" s="3123" t="s">
        <v>2296</v>
      </c>
      <c r="B104" s="2514" t="s">
        <v>2291</v>
      </c>
      <c r="C104" s="736">
        <f ca="1">H118</f>
        <v>36266</v>
      </c>
      <c r="D104" s="737"/>
      <c r="E104" s="2260" t="s">
        <v>2297</v>
      </c>
      <c r="F104" s="2251"/>
      <c r="G104" s="2513" t="s">
        <v>2295</v>
      </c>
      <c r="H104" s="1045">
        <f>IF(D36="同一抵押权人同一抵押物续贷",C36&amp;"（未扣减，详见特别提示）",C36)</f>
        <v>0</v>
      </c>
      <c r="I104" s="137"/>
    </row>
    <row r="105" spans="1:35" ht="18.75" customHeight="1" thickBot="1">
      <c r="A105" s="3124"/>
      <c r="B105" s="2515" t="s">
        <v>2293</v>
      </c>
      <c r="C105" s="738">
        <f ca="1">I118</f>
        <v>51453</v>
      </c>
      <c r="D105" s="739"/>
      <c r="E105" s="2260" t="s">
        <v>2298</v>
      </c>
      <c r="F105" s="2251"/>
      <c r="G105" s="2513" t="s">
        <v>2295</v>
      </c>
      <c r="H105" s="1045">
        <f>C37</f>
        <v>0</v>
      </c>
      <c r="I105" s="137"/>
    </row>
    <row r="106" spans="1:35" ht="18.75" customHeight="1">
      <c r="A106" s="2410" t="s">
        <v>2299</v>
      </c>
      <c r="B106" s="2410"/>
      <c r="C106" s="2410"/>
      <c r="D106" s="2410"/>
      <c r="E106" s="2516" t="s">
        <v>2300</v>
      </c>
      <c r="F106" s="2251"/>
      <c r="G106" s="2513" t="s">
        <v>2295</v>
      </c>
      <c r="H106" s="1045">
        <f>C38</f>
        <v>0</v>
      </c>
      <c r="I106" s="137"/>
    </row>
    <row r="107" spans="1:35" ht="18.75" customHeight="1">
      <c r="A107" s="137"/>
      <c r="B107" s="137"/>
      <c r="C107" s="137"/>
      <c r="D107" s="137"/>
      <c r="E107" s="3120" t="str">
        <f>IF(项目基本情况!E8="已注销","——","3.房地产抵押价值")</f>
        <v>3.房地产抵押价值</v>
      </c>
      <c r="F107" s="3121"/>
      <c r="G107" s="2512" t="s">
        <v>2291</v>
      </c>
      <c r="H107" s="1044">
        <f ca="1">IF(E107="——","——",H101-H103)</f>
        <v>36266</v>
      </c>
      <c r="I107" s="137"/>
    </row>
    <row r="108" spans="1:35" ht="18.75" customHeight="1">
      <c r="A108" s="137"/>
      <c r="B108" s="137"/>
      <c r="C108" s="137"/>
      <c r="D108" s="137"/>
      <c r="E108" s="3120"/>
      <c r="F108" s="3121"/>
      <c r="G108" s="2512" t="s">
        <v>2293</v>
      </c>
      <c r="H108" s="370">
        <f ca="1">ROUND(H107*10000/'数据-汇总表'!E3,0)</f>
        <v>51453</v>
      </c>
      <c r="I108" s="137"/>
    </row>
    <row r="109" spans="1:35" ht="18.75" customHeight="1">
      <c r="A109" s="137"/>
      <c r="B109" s="137"/>
      <c r="C109" s="137"/>
      <c r="D109" s="137"/>
      <c r="E109" s="3120" t="str">
        <f>IF(项目基本情况!E8="已注销及未注销","4.抵押担保权已注销时的房地产抵押价值",IF(项目基本情况!E8="已注销","3.抵押担保权已注销时的房地产抵押价值","——"))</f>
        <v>——</v>
      </c>
      <c r="F109" s="3121"/>
      <c r="G109" s="2512" t="s">
        <v>2291</v>
      </c>
      <c r="H109" s="347" t="str">
        <f>IF(E109="——","——",H101-H105-H106)</f>
        <v>——</v>
      </c>
      <c r="I109" s="137"/>
    </row>
    <row r="110" spans="1:35" ht="18.75" customHeight="1">
      <c r="A110" s="137"/>
      <c r="B110" s="137"/>
      <c r="C110" s="137"/>
      <c r="D110" s="137"/>
      <c r="E110" s="3120"/>
      <c r="F110" s="3121"/>
      <c r="G110" s="2512" t="s">
        <v>2293</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2" t="s">
        <v>2291</v>
      </c>
      <c r="H111" s="1044" t="str">
        <f>IF(E111="——","——",N59)</f>
        <v>——</v>
      </c>
      <c r="I111" s="137"/>
    </row>
    <row r="112" spans="1:35" ht="18.75" customHeight="1" thickBot="1">
      <c r="A112" s="137"/>
      <c r="B112" s="137"/>
      <c r="C112" s="137"/>
      <c r="D112" s="137"/>
      <c r="E112" s="3157"/>
      <c r="F112" s="3158"/>
      <c r="G112" s="2517" t="s">
        <v>2293</v>
      </c>
      <c r="H112" s="786" t="str">
        <f>IF(E111="——","——",N61)</f>
        <v>——</v>
      </c>
      <c r="I112" s="137"/>
    </row>
    <row r="113" spans="1:11" ht="18.75" customHeight="1">
      <c r="A113" s="137"/>
      <c r="B113" s="137"/>
      <c r="C113" s="137"/>
      <c r="D113" s="137"/>
      <c r="E113" s="3125" t="s">
        <v>2299</v>
      </c>
      <c r="F113" s="3125"/>
      <c r="G113" s="3125"/>
      <c r="H113" s="3125"/>
      <c r="I113" s="137"/>
    </row>
    <row r="114" spans="1:11" ht="3.75" customHeight="1">
      <c r="A114" s="2410"/>
      <c r="B114" s="2410"/>
      <c r="C114" s="2410"/>
      <c r="D114" s="2410"/>
      <c r="E114" s="2488"/>
      <c r="F114" s="2488"/>
      <c r="G114" s="2488"/>
      <c r="H114" s="2488"/>
      <c r="I114" s="2410"/>
    </row>
    <row r="115" spans="1:11" ht="18.75" customHeight="1">
      <c r="A115" s="3138" t="s">
        <v>2301</v>
      </c>
      <c r="B115" s="3139"/>
      <c r="C115" s="3139"/>
      <c r="D115" s="3139"/>
      <c r="E115" s="3139"/>
      <c r="F115" s="3139"/>
      <c r="G115" s="3139"/>
      <c r="H115" s="3139"/>
      <c r="I115" s="3140"/>
    </row>
    <row r="116" spans="1:11" ht="27" customHeight="1">
      <c r="A116" s="3031" t="s">
        <v>2302</v>
      </c>
      <c r="B116" s="3126" t="s">
        <v>2303</v>
      </c>
      <c r="C116" s="3126" t="s">
        <v>2304</v>
      </c>
      <c r="D116" s="3142" t="s">
        <v>2305</v>
      </c>
      <c r="E116" s="3143"/>
      <c r="F116" s="3134" t="s">
        <v>2306</v>
      </c>
      <c r="G116" s="3134"/>
      <c r="H116" s="3031" t="s">
        <v>2307</v>
      </c>
      <c r="I116" s="3031"/>
    </row>
    <row r="117" spans="1:11" ht="18.75" customHeight="1">
      <c r="A117" s="3031"/>
      <c r="B117" s="3127"/>
      <c r="C117" s="3127"/>
      <c r="D117" s="1792" t="s">
        <v>2308</v>
      </c>
      <c r="E117" s="1792" t="s">
        <v>2309</v>
      </c>
      <c r="F117" s="1792" t="s">
        <v>2308</v>
      </c>
      <c r="G117" s="1792" t="s">
        <v>2310</v>
      </c>
      <c r="H117" s="1792" t="s">
        <v>2308</v>
      </c>
      <c r="I117" s="1792" t="s">
        <v>2310</v>
      </c>
    </row>
    <row r="118" spans="1:11" ht="24.75" customHeight="1">
      <c r="A118" s="2518" t="str">
        <f>项目基本情况!S2</f>
        <v>广东省深圳市罗湖区嘉宾路太平洋商贸大厦107号等25套商业用房房地产房地产</v>
      </c>
      <c r="B118" s="1792">
        <f>M18</f>
        <v>7048.35</v>
      </c>
      <c r="C118" s="1792">
        <f>M19</f>
        <v>1000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36266</v>
      </c>
      <c r="I118" s="1792">
        <f ca="1">ROUND(IF(D32="楼面单价",C32,H118*10000/B118),0)</f>
        <v>51453</v>
      </c>
    </row>
    <row r="119" spans="1:11" ht="18.75" customHeight="1">
      <c r="A119" s="3031" t="s">
        <v>2311</v>
      </c>
      <c r="B119" s="3031"/>
      <c r="C119" s="3031"/>
      <c r="D119" s="3131" t="e">
        <f ca="1">NUMBERSTRING(INT(D118*10000),2)&amp;"元整"</f>
        <v>#REF!</v>
      </c>
      <c r="E119" s="3133"/>
      <c r="F119" s="3131" t="e">
        <f ca="1">NUMBERSTRING(INT(F118*10000),2)&amp;"元整"</f>
        <v>#REF!</v>
      </c>
      <c r="G119" s="3133"/>
      <c r="H119" s="3131" t="str">
        <f ca="1">NUMBERSTRING(INT(H118*10000),2)&amp;"元整"</f>
        <v>叁亿陆仟贰佰陆拾陆万元整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5" t="str">
        <f>IF(D120=0,"故，本次评估不存在"&amp;A120,"故，本次评估"&amp;A120&amp;"为人民币"&amp;D120&amp;"万元整。")</f>
        <v>故，本次评估不存在估价师知悉的法定优先受偿款</v>
      </c>
    </row>
    <row r="121" spans="1:11" ht="18.75" customHeight="1">
      <c r="A121" s="3135" t="s">
        <v>2311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36266</v>
      </c>
      <c r="E122" s="3160"/>
      <c r="F122" s="3160"/>
      <c r="G122" s="3160"/>
      <c r="H122" s="3160"/>
      <c r="I122" s="3161"/>
    </row>
    <row r="123" spans="1:11" ht="18.75" customHeight="1">
      <c r="A123" s="3031" t="s">
        <v>2311</v>
      </c>
      <c r="B123" s="3031"/>
      <c r="C123" s="3031"/>
      <c r="D123" s="3131" t="str">
        <f ca="1">NUMBERSTRING(INT(D122*10000),2)&amp;"元整"</f>
        <v>叁亿陆仟贰佰陆拾陆万元整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2311</v>
      </c>
      <c r="B127" s="3031"/>
      <c r="C127" s="3031"/>
      <c r="D127" s="3131" t="e">
        <f>NUMBERSTRING(INT(D126*10000),2)&amp;"元整"</f>
        <v>#VALUE!</v>
      </c>
      <c r="E127" s="3132"/>
      <c r="F127" s="3132"/>
      <c r="G127" s="3132"/>
      <c r="H127" s="3132"/>
      <c r="I127" s="3133"/>
    </row>
    <row r="128" spans="1:11" ht="21.75" customHeight="1">
      <c r="A128" s="3141" t="s">
        <v>2312</v>
      </c>
      <c r="B128" s="3141"/>
      <c r="C128" s="3141"/>
      <c r="D128" s="3141"/>
      <c r="E128" s="3141"/>
      <c r="F128" s="3141"/>
      <c r="G128" s="3141"/>
      <c r="H128" s="3141"/>
      <c r="I128" s="3141"/>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2315</v>
      </c>
      <c r="G135" s="2536"/>
      <c r="H135" s="2536"/>
      <c r="I135" s="2537" t="s">
        <v>2316</v>
      </c>
    </row>
    <row r="136" spans="1:35" ht="21.75" customHeight="1">
      <c r="A136" s="791"/>
      <c r="B136" s="2538" t="s">
        <v>2317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2318</v>
      </c>
    </row>
    <row r="139" spans="1:35" ht="21.75" customHeight="1">
      <c r="A139" s="791"/>
      <c r="B139" s="2538" t="s">
        <v>2319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2318</v>
      </c>
    </row>
    <row r="142" spans="1:35" ht="21.75" customHeight="1">
      <c r="A142" s="791"/>
      <c r="B142" s="2538"/>
      <c r="C142" s="2539"/>
      <c r="D142" s="2540"/>
      <c r="E142" s="2540"/>
      <c r="F142" s="2334"/>
      <c r="G142" s="791"/>
      <c r="H142" s="791"/>
      <c r="I142" s="791"/>
    </row>
    <row r="143" spans="1:35" s="138"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4"/>
      <c r="C1" s="241"/>
      <c r="D1" s="241"/>
      <c r="E1" s="241"/>
      <c r="F1" s="241"/>
      <c r="G1" s="1376">
        <f>MATCH(B1,'数据-取费表'!A6:A16,0)+5</f>
        <v>7</v>
      </c>
    </row>
    <row r="2" spans="1:9" s="243" customFormat="1" ht="18" customHeight="1">
      <c r="A2" s="244" t="s">
        <v>2321</v>
      </c>
      <c r="B2" s="245">
        <f ca="1">IF(D2="——",C52,C52-E2)</f>
        <v>2904</v>
      </c>
      <c r="C2" s="242" t="s">
        <v>2322</v>
      </c>
      <c r="D2" s="2541" t="s">
        <v>70</v>
      </c>
      <c r="E2" s="1437" t="e">
        <f ca="1">SUMIF(INDIRECT("'"&amp;G2&amp;"'"&amp;"!A:A"),"承租人权益价值",INDIRECT("'"&amp;G2&amp;"'"&amp;"!c:c"))</f>
        <v>#REF!</v>
      </c>
      <c r="F2" s="2542" t="s">
        <v>2322</v>
      </c>
      <c r="G2" s="2543"/>
    </row>
    <row r="3" spans="1:9" s="243" customFormat="1" ht="18" customHeight="1" thickBot="1">
      <c r="A3" s="246" t="s">
        <v>2323</v>
      </c>
      <c r="B3" s="247">
        <f ca="1">ROUND(B2*10000/(IF(B1="",'数据-汇总表'!E3,INDIRECT("'数据-取费表'!k"&amp;$G$1))),0)</f>
        <v>4120</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48" t="s">
        <v>2331</v>
      </c>
      <c r="B6" s="258" t="s">
        <v>2332</v>
      </c>
      <c r="C6" s="259"/>
      <c r="D6" s="260"/>
      <c r="E6" s="261"/>
      <c r="F6" s="261"/>
      <c r="G6" s="262"/>
    </row>
    <row r="7" spans="1:9" s="257" customFormat="1" ht="13.5" customHeight="1">
      <c r="A7" s="948" t="s">
        <v>2333</v>
      </c>
      <c r="B7" s="258" t="s">
        <v>2334</v>
      </c>
      <c r="C7" s="263">
        <f>ROUND(C6*F7,0)</f>
        <v>0</v>
      </c>
      <c r="D7" s="263"/>
      <c r="E7" s="261"/>
      <c r="F7" s="264">
        <f>'数据-取费表'!B48+'数据-取费表'!B49</f>
        <v>3.0499999999999999E-2</v>
      </c>
      <c r="G7" s="262"/>
    </row>
    <row r="8" spans="1:9" s="266" customFormat="1">
      <c r="A8" s="948" t="s">
        <v>2335</v>
      </c>
      <c r="B8" s="258" t="s">
        <v>2336</v>
      </c>
      <c r="C8" s="263">
        <f>IF(G8="已包含在土地购买价格中","0",IF(B1="",'数据-取费表'!B29,IF(G9="全部缴纳",C9+C10,H9)))</f>
        <v>0</v>
      </c>
      <c r="D8" s="265"/>
      <c r="E8" s="263"/>
      <c r="F8" s="264"/>
      <c r="G8" s="2544"/>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5"/>
      <c r="H9" s="1387"/>
      <c r="I9" s="2546" t="s">
        <v>2338</v>
      </c>
    </row>
    <row r="10" spans="1:9" s="257" customFormat="1" ht="13.5" customHeight="1">
      <c r="A10" s="949" t="s">
        <v>801</v>
      </c>
      <c r="B10" s="267" t="s">
        <v>2339</v>
      </c>
      <c r="C10" s="268">
        <f ca="1">ROUND(D10*E10/10000,0)</f>
        <v>0</v>
      </c>
      <c r="D10" s="1031">
        <f ca="1">IF(B1="",'数据-汇总表'!E6,IF(INDIRECT("'数据-取费表'!c"&amp;$G$1)="住宅",INDIRECT("'数据-取费表'!s"&amp;$G$1),INDIRECT("'数据-取费表'!k"&amp;$G$1)+INDIRECT("'数据-取费表'!s"&amp;$G$1)))</f>
        <v>7048.35</v>
      </c>
      <c r="E10" s="268">
        <f>'数据-取费表'!B28</f>
        <v>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f ca="1">IF(G19="已包含在土地取得成本中","0",ROUND(D19*E19/10000,0))</f>
        <v>141</v>
      </c>
      <c r="D19" s="1035">
        <f ca="1">D9+D10</f>
        <v>7048.35</v>
      </c>
      <c r="E19" s="254">
        <f>'数据-取费表'!B31</f>
        <v>200</v>
      </c>
      <c r="F19" s="274"/>
      <c r="G19" s="2544"/>
    </row>
    <row r="20" spans="1:7" s="257" customFormat="1" ht="13.5" customHeight="1">
      <c r="A20" s="298" t="s">
        <v>2352</v>
      </c>
      <c r="B20" s="253" t="s">
        <v>2353</v>
      </c>
      <c r="C20" s="275">
        <f ca="1">ROUND((C5+C19)*F20,0)</f>
        <v>2</v>
      </c>
      <c r="D20" s="275"/>
      <c r="E20" s="275"/>
      <c r="F20" s="276">
        <f>'数据-取费表'!B37</f>
        <v>1.4999999999999999E-2</v>
      </c>
      <c r="G20" s="277" t="s">
        <v>2354</v>
      </c>
    </row>
    <row r="21" spans="1:7" s="257" customFormat="1" ht="13.5" customHeight="1">
      <c r="A21" s="298" t="s">
        <v>2355</v>
      </c>
      <c r="B21" s="253" t="s">
        <v>2356</v>
      </c>
      <c r="C21" s="278">
        <f>F21</f>
        <v>1.4999999999999999E-2</v>
      </c>
      <c r="D21" s="279" t="s">
        <v>2357</v>
      </c>
      <c r="E21" s="275"/>
      <c r="F21" s="276">
        <f>'数据-取费表'!B38</f>
        <v>1.4999999999999999E-2</v>
      </c>
      <c r="G21" s="277" t="s">
        <v>2358</v>
      </c>
    </row>
    <row r="22" spans="1:7" s="257" customFormat="1" ht="13.5" customHeight="1">
      <c r="A22" s="298" t="s">
        <v>2359</v>
      </c>
      <c r="B22" s="253" t="s">
        <v>2360</v>
      </c>
      <c r="C22" s="1351">
        <f ca="1">ROUND(SUM(C23:C25),0)</f>
        <v>14</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2">
        <f ca="1">ROUND(IF('数据-取费表'!B22&lt;=1,C5*F22*'数据-取费表'!B23,C5*(POWER((1+F22),'数据-取费表'!B23)-1)),0)</f>
        <v>0</v>
      </c>
      <c r="D23" s="281"/>
      <c r="E23" s="281"/>
      <c r="F23" s="282"/>
      <c r="G23" s="283" t="s">
        <v>2363</v>
      </c>
    </row>
    <row r="24" spans="1:7" s="257" customFormat="1" ht="13.5" customHeight="1">
      <c r="A24" s="950" t="s">
        <v>2364</v>
      </c>
      <c r="B24" s="258" t="s">
        <v>2365</v>
      </c>
      <c r="C24" s="1352">
        <f ca="1">ROUND(IF('数据-取费表'!B22&lt;=1,C19*F22*('数据-取费表'!B19/2+'数据-取费表'!B21),C19*(POWER((1+F22),('数据-取费表'!B19/2+'数据-取费表'!B21))-1)),0)</f>
        <v>14</v>
      </c>
      <c r="D24" s="281"/>
      <c r="E24" s="281"/>
      <c r="F24" s="282"/>
      <c r="G24" s="283" t="s">
        <v>2366</v>
      </c>
    </row>
    <row r="25" spans="1:7" s="257" customFormat="1" ht="24">
      <c r="A25" s="950" t="s">
        <v>2367</v>
      </c>
      <c r="B25" s="258" t="s">
        <v>2368</v>
      </c>
      <c r="C25" s="1352">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36</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ROUND((C5+C19+C20)*F27*'数据-取费表'!B21/'数据-取费表'!B20,0)</f>
        <v>36</v>
      </c>
      <c r="D28" s="278"/>
      <c r="E28" s="279"/>
      <c r="F28" s="289"/>
      <c r="G28" s="290"/>
    </row>
    <row r="29" spans="1:7" s="257" customFormat="1" ht="13.5" customHeight="1">
      <c r="A29" s="950" t="s">
        <v>792</v>
      </c>
      <c r="B29" s="291" t="s">
        <v>2376</v>
      </c>
      <c r="C29" s="281">
        <f ca="1">ROUND(C21*F27*'数据-取费表'!B21/'数据-取费表'!B20,4)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2498</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2255</v>
      </c>
      <c r="D34" s="260"/>
      <c r="E34" s="263"/>
      <c r="F34" s="300">
        <f ca="1">IF('数据-取费表'!B24=0,1,IF(B1="",'数据-取费表'!N16,INDIRECT("'数据-取费表'!n"&amp;$G$1)))</f>
        <v>1</v>
      </c>
      <c r="G34" s="262" t="s">
        <v>2385</v>
      </c>
    </row>
    <row r="35" spans="1:7" ht="13.5" customHeight="1">
      <c r="A35" s="950" t="s">
        <v>796</v>
      </c>
      <c r="B35" s="258" t="s">
        <v>2386</v>
      </c>
      <c r="C35" s="263">
        <f ca="1">ROUND(C34*F35,0)</f>
        <v>68</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141</v>
      </c>
      <c r="D37" s="260">
        <f ca="1">D19</f>
        <v>7048.35</v>
      </c>
      <c r="E37" s="292">
        <f>'数据-取费表'!B35</f>
        <v>200</v>
      </c>
      <c r="F37" s="302"/>
      <c r="G37" s="304" t="s">
        <v>2391</v>
      </c>
    </row>
    <row r="38" spans="1:7" ht="13.5" customHeight="1">
      <c r="A38" s="950" t="s">
        <v>799</v>
      </c>
      <c r="B38" s="258" t="s">
        <v>2392</v>
      </c>
      <c r="C38" s="263">
        <f ca="1">ROUND(C34*F38,0)</f>
        <v>34</v>
      </c>
      <c r="D38" s="263"/>
      <c r="E38" s="263"/>
      <c r="F38" s="302">
        <f>'数据-取费表'!B36</f>
        <v>1.4999999999999999E-2</v>
      </c>
      <c r="G38" s="262" t="s">
        <v>2387</v>
      </c>
    </row>
    <row r="39" spans="1:7" s="257" customFormat="1" ht="13.5" customHeight="1">
      <c r="A39" s="298" t="s">
        <v>2393</v>
      </c>
      <c r="B39" s="253" t="s">
        <v>2394</v>
      </c>
      <c r="C39" s="275">
        <f ca="1">ROUND(C33*F20,0)</f>
        <v>37</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121</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119</v>
      </c>
      <c r="D42" s="281"/>
      <c r="E42" s="281"/>
      <c r="F42" s="282"/>
      <c r="G42" s="3173" t="s">
        <v>2403</v>
      </c>
    </row>
    <row r="43" spans="1:7" ht="13.5" customHeight="1">
      <c r="A43" s="950" t="s">
        <v>792</v>
      </c>
      <c r="B43" s="258" t="s">
        <v>2404</v>
      </c>
      <c r="C43" s="281">
        <f ca="1">ROUND(IF('数据-取费表'!B22&lt;=1,C39*F22*'数据-取费表'!B21/2,C39*(POWER((1+F22),'数据-取费表'!B21/2)-1)),0)</f>
        <v>2</v>
      </c>
      <c r="D43" s="281"/>
      <c r="E43" s="281"/>
      <c r="F43" s="282"/>
      <c r="G43" s="3174"/>
    </row>
    <row r="44" spans="1:7" ht="13.5" customHeight="1">
      <c r="A44" s="950" t="s">
        <v>793</v>
      </c>
      <c r="B44" s="258" t="s">
        <v>2405</v>
      </c>
      <c r="C44" s="281">
        <f ca="1">ROUND(IF('数据-取费表'!B22&lt;=1,C40*F22*'数据-取费表'!B21/2,C40*(POWER((1+F22),'数据-取费表'!B21/2)-1)),4)</f>
        <v>6.9999999999999999E-4</v>
      </c>
      <c r="D44" s="281"/>
      <c r="E44" s="281"/>
      <c r="F44" s="282"/>
      <c r="G44" s="3175"/>
    </row>
    <row r="45" spans="1:7" s="257" customFormat="1" ht="13.5" customHeight="1">
      <c r="A45" s="298" t="s">
        <v>2406</v>
      </c>
      <c r="B45" s="287" t="s">
        <v>2372</v>
      </c>
      <c r="C45" s="288">
        <f ca="1">C46</f>
        <v>634</v>
      </c>
      <c r="D45" s="278">
        <f ca="1">C47</f>
        <v>3.8E-3</v>
      </c>
      <c r="E45" s="279" t="s">
        <v>2398</v>
      </c>
      <c r="F45" s="289"/>
      <c r="G45" s="290" t="s">
        <v>2407</v>
      </c>
    </row>
    <row r="46" spans="1:7" s="257" customFormat="1" ht="13.5" customHeight="1">
      <c r="A46" s="950" t="s">
        <v>791</v>
      </c>
      <c r="B46" s="291" t="s">
        <v>2408</v>
      </c>
      <c r="C46" s="292">
        <f ca="1">ROUND((C33+C39)*F27,0)</f>
        <v>634</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1725">
        <f>ROUND(F30/(1+'数据-取费表'!C42),4)</f>
        <v>5.33E-2</v>
      </c>
      <c r="D48" s="279" t="s">
        <v>2398</v>
      </c>
      <c r="E48" s="275"/>
      <c r="F48" s="280"/>
      <c r="G48" s="277" t="s">
        <v>2411</v>
      </c>
    </row>
    <row r="49" spans="1:7" ht="16.5" customHeight="1">
      <c r="A49" s="298" t="s">
        <v>2377</v>
      </c>
      <c r="B49" s="253" t="s">
        <v>2412</v>
      </c>
      <c r="C49" s="275">
        <f ca="1">ROUND((C33+C39+C41+C45)/(1-C40-D41-D45-C48),0)</f>
        <v>3548</v>
      </c>
      <c r="D49" s="275"/>
      <c r="E49" s="275"/>
      <c r="F49" s="307"/>
      <c r="G49" s="277" t="s">
        <v>2413</v>
      </c>
    </row>
    <row r="50" spans="1:7" s="301" customFormat="1" ht="24">
      <c r="A50" s="298" t="s">
        <v>2414</v>
      </c>
      <c r="B50" s="253" t="s">
        <v>2415</v>
      </c>
      <c r="C50" s="275"/>
      <c r="D50" s="275"/>
      <c r="E50" s="275"/>
      <c r="F50" s="307">
        <f>IF('数据-取费表'!B24=0,'数据-取费表'!N16,1)</f>
        <v>0.76</v>
      </c>
      <c r="G50" s="290" t="s">
        <v>2416</v>
      </c>
    </row>
    <row r="51" spans="1:7" ht="16.5" customHeight="1">
      <c r="A51" s="298" t="s">
        <v>2417</v>
      </c>
      <c r="B51" s="253" t="s">
        <v>2418</v>
      </c>
      <c r="C51" s="275">
        <f ca="1">ROUND(C49*F50,0)</f>
        <v>2696</v>
      </c>
      <c r="D51" s="275"/>
      <c r="E51" s="275"/>
      <c r="F51" s="307"/>
      <c r="G51" s="277" t="s">
        <v>2419</v>
      </c>
    </row>
    <row r="52" spans="1:7" s="251" customFormat="1" ht="16.5" thickBot="1">
      <c r="A52" s="308" t="s">
        <v>2420</v>
      </c>
      <c r="B52" s="309"/>
      <c r="C52" s="310">
        <f ca="1">C31+C51</f>
        <v>2904</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7" t="str">
        <f>项目基本情况!B1</f>
        <v>广东省深圳市罗湖区嘉宾路太平洋商贸大厦107号等25套商业用房房地产房地产抵押价值预评估</v>
      </c>
      <c r="C37" s="2987"/>
      <c r="D37" s="2987"/>
      <c r="E37" s="2987"/>
      <c r="F37" s="2987"/>
      <c r="G37" s="2987"/>
      <c r="H37" s="2987"/>
      <c r="I37" s="2987"/>
    </row>
    <row r="38" spans="1:9">
      <c r="A38" s="1015"/>
      <c r="B38" s="1015"/>
    </row>
    <row r="39" spans="1:9">
      <c r="A39" s="1013" t="s">
        <v>818</v>
      </c>
      <c r="B39" s="1013" t="s">
        <v>820</v>
      </c>
    </row>
    <row r="40" spans="1:9">
      <c r="A40" s="1013"/>
      <c r="B40" s="1939" t="str">
        <f>项目基本情况!B5</f>
        <v>昆仑信托有限责任公司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吴薇（注册号：1419970001)、刘梅（注册号：1120140022)</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4"/>
      <c r="C1" s="2547" t="s">
        <v>2422</v>
      </c>
      <c r="D1" s="241"/>
      <c r="E1" s="241"/>
      <c r="F1" s="241"/>
      <c r="G1" s="1376">
        <f>MATCH(B1,'数据-取费表'!A6:A16,0)+5</f>
        <v>7</v>
      </c>
      <c r="H1" s="1279" t="str">
        <f>IF(ISERROR(FIND("住宅",B1)),"非住宅","住宅")</f>
        <v>非住宅</v>
      </c>
    </row>
    <row r="2" spans="1:8" s="243" customFormat="1" ht="18" customHeight="1">
      <c r="A2" s="244" t="s">
        <v>2321</v>
      </c>
      <c r="B2" s="245">
        <f ca="1">ROUND(IF(D2="——",C52/10000,C52/10000-E2),0)</f>
        <v>2904</v>
      </c>
      <c r="C2" s="242" t="s">
        <v>2322</v>
      </c>
      <c r="D2" s="2541" t="s">
        <v>70</v>
      </c>
      <c r="E2" s="1437" t="e">
        <f ca="1">SUMIF(INDIRECT("'"&amp;G2&amp;"'"&amp;"!A:A"),"承租人权益价值",INDIRECT("'"&amp;G2&amp;"'"&amp;"!c:c"))</f>
        <v>#REF!</v>
      </c>
      <c r="F2" s="2542" t="s">
        <v>2322</v>
      </c>
      <c r="G2" s="2543"/>
    </row>
    <row r="3" spans="1:8" s="243" customFormat="1" ht="18" customHeight="1" thickBot="1">
      <c r="A3" s="246" t="s">
        <v>2323</v>
      </c>
      <c r="B3" s="247">
        <f ca="1">ROUND(B2*10000/(IF(B1="",'数据-汇总表'!E3,INDIRECT("'数据-取费表'!k"&amp;$G$1))),0)</f>
        <v>4120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'数据-取费表'!B48+'数据-取费表'!B49</f>
        <v>3.0499999999999999E-2</v>
      </c>
      <c r="G7" s="262"/>
    </row>
    <row r="8" spans="1:8" s="266" customFormat="1">
      <c r="A8" s="948" t="s">
        <v>2335</v>
      </c>
      <c r="B8" s="258" t="s">
        <v>2336</v>
      </c>
      <c r="C8" s="263">
        <f ca="1">IF(G8="已包含在土地购买价格中",0,C9+C10)</f>
        <v>0</v>
      </c>
      <c r="D8" s="265"/>
      <c r="E8" s="263"/>
      <c r="F8" s="264"/>
      <c r="G8" s="2544"/>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0</v>
      </c>
      <c r="D10" s="1031">
        <f ca="1">IF(B1="",'数据-汇总表'!E6,IF(INDIRECT("'数据-取费表'!c"&amp;$G$1)="住宅",INDIRECT("'数据-取费表'!s"&amp;$G$1),INDIRECT("'数据-取费表'!k"&amp;$G$1)+INDIRECT("'数据-取费表'!s"&amp;$G$1)))</f>
        <v>7048.35</v>
      </c>
      <c r="E10" s="268">
        <f>'数据-取费表'!B28</f>
        <v>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1409670</v>
      </c>
      <c r="D19" s="1035">
        <f ca="1">D9+D10</f>
        <v>7048.35</v>
      </c>
      <c r="E19" s="254">
        <f>'数据-取费表'!B31</f>
        <v>200</v>
      </c>
      <c r="F19" s="274"/>
      <c r="G19" s="2544"/>
    </row>
    <row r="20" spans="1:7" s="257" customFormat="1" ht="13.5" customHeight="1">
      <c r="A20" s="298" t="s">
        <v>2433</v>
      </c>
      <c r="B20" s="253" t="s">
        <v>2434</v>
      </c>
      <c r="C20" s="275">
        <f ca="1">ROUND((C5+C19)*F20,0)</f>
        <v>21145</v>
      </c>
      <c r="D20" s="275"/>
      <c r="E20" s="275"/>
      <c r="F20" s="276">
        <f>'数据-取费表'!B37</f>
        <v>1.4999999999999999E-2</v>
      </c>
      <c r="G20" s="277" t="s">
        <v>2435</v>
      </c>
    </row>
    <row r="21" spans="1:7" s="257" customFormat="1" ht="13.5" customHeight="1">
      <c r="A21" s="298" t="s">
        <v>2436</v>
      </c>
      <c r="B21" s="253" t="s">
        <v>2437</v>
      </c>
      <c r="C21" s="278">
        <f>F21</f>
        <v>1.4999999999999999E-2</v>
      </c>
      <c r="D21" s="279" t="s">
        <v>2438</v>
      </c>
      <c r="E21" s="275"/>
      <c r="F21" s="276">
        <f>'数据-取费表'!B38</f>
        <v>1.4999999999999999E-2</v>
      </c>
      <c r="G21" s="277" t="s">
        <v>2439</v>
      </c>
    </row>
    <row r="22" spans="1:7" s="257" customFormat="1" ht="13.5" customHeight="1">
      <c r="A22" s="298" t="s">
        <v>2440</v>
      </c>
      <c r="B22" s="253" t="s">
        <v>2441</v>
      </c>
      <c r="C22" s="1377">
        <f ca="1">ROUND(SUM(C23:C25),0)</f>
        <v>138103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78">
        <f ca="1">ROUND(IF('数据-取费表'!B22&lt;=1,C5*F22*'数据-取费表'!B22,C5*(POWER((1+F22),'数据-取费表'!B22)-1)),0)</f>
        <v>0</v>
      </c>
      <c r="D23" s="281"/>
      <c r="E23" s="281"/>
      <c r="F23" s="282"/>
      <c r="G23" s="283" t="s">
        <v>2443</v>
      </c>
    </row>
    <row r="24" spans="1:7" s="257" customFormat="1" ht="13.5" customHeight="1">
      <c r="A24" s="950" t="s">
        <v>2333</v>
      </c>
      <c r="B24" s="258" t="s">
        <v>2444</v>
      </c>
      <c r="C24" s="1378">
        <f ca="1">ROUND(IF('数据-取费表'!B22&lt;=1,C19*F22*('数据-取费表'!B19/2+'数据-取费表'!B20),C19*(POWER((1+F22),('数据-取费表'!B19/2+'数据-取费表'!B20))-1)),0)</f>
        <v>137099</v>
      </c>
      <c r="D24" s="281"/>
      <c r="E24" s="281"/>
      <c r="F24" s="282"/>
      <c r="G24" s="283" t="s">
        <v>2445</v>
      </c>
    </row>
    <row r="25" spans="1:7" s="257" customFormat="1" ht="24">
      <c r="A25" s="950" t="s">
        <v>2335</v>
      </c>
      <c r="B25" s="258" t="s">
        <v>2446</v>
      </c>
      <c r="C25" s="1378">
        <f ca="1">ROUND(IF('数据-取费表'!B22&lt;=1,C20*F22*'数据-取费表'!B22/2,C20*(POWER((1+F22),'数据-取费表'!B22/2)-1)),0)</f>
        <v>1004</v>
      </c>
      <c r="D25" s="281"/>
      <c r="E25" s="284"/>
      <c r="F25" s="282"/>
      <c r="G25" s="285" t="s">
        <v>2447</v>
      </c>
    </row>
    <row r="26" spans="1:7" s="257" customFormat="1">
      <c r="A26" s="950"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357704</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ROUND((C5+C19+C20)*F27,0)</f>
        <v>357704</v>
      </c>
      <c r="D28" s="278"/>
      <c r="E28" s="279"/>
      <c r="F28" s="289"/>
      <c r="G28" s="290"/>
    </row>
    <row r="29" spans="1:7" s="257" customFormat="1" ht="13.5" customHeight="1">
      <c r="A29" s="950" t="s">
        <v>792</v>
      </c>
      <c r="B29" s="291" t="s">
        <v>2376</v>
      </c>
      <c r="C29" s="281">
        <f ca="1">ROUND(C21*F27,4)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2077893</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24979353</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22554720</v>
      </c>
      <c r="D34" s="260"/>
      <c r="E34" s="263"/>
      <c r="F34" s="300"/>
      <c r="G34" s="262"/>
    </row>
    <row r="35" spans="1:7" ht="13.5" customHeight="1">
      <c r="A35" s="950" t="s">
        <v>796</v>
      </c>
      <c r="B35" s="258" t="s">
        <v>2386</v>
      </c>
      <c r="C35" s="263">
        <f ca="1">ROUND(C34*F35,0)</f>
        <v>676642</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1409670</v>
      </c>
      <c r="D37" s="260">
        <f ca="1">D19</f>
        <v>7048.35</v>
      </c>
      <c r="E37" s="292">
        <f>'数据-取费表'!B35</f>
        <v>200</v>
      </c>
      <c r="F37" s="302"/>
      <c r="G37" s="304"/>
    </row>
    <row r="38" spans="1:7" ht="13.5" customHeight="1">
      <c r="A38" s="950" t="s">
        <v>799</v>
      </c>
      <c r="B38" s="258" t="s">
        <v>2392</v>
      </c>
      <c r="C38" s="263">
        <f ca="1">ROUND(C34*F38,0)</f>
        <v>338321</v>
      </c>
      <c r="D38" s="263"/>
      <c r="E38" s="263"/>
      <c r="F38" s="302">
        <f>'数据-取费表'!B36</f>
        <v>1.4999999999999999E-2</v>
      </c>
      <c r="G38" s="262" t="s">
        <v>2387</v>
      </c>
    </row>
    <row r="39" spans="1:7" s="257" customFormat="1" ht="13.5" customHeight="1">
      <c r="A39" s="298" t="s">
        <v>2393</v>
      </c>
      <c r="B39" s="253" t="s">
        <v>2394</v>
      </c>
      <c r="C39" s="275">
        <f ca="1">ROUND(C33*F20,0)</f>
        <v>374690</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1204317</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1186519</v>
      </c>
      <c r="D42" s="281"/>
      <c r="E42" s="281"/>
      <c r="F42" s="282"/>
      <c r="G42" s="3173" t="s">
        <v>2450</v>
      </c>
    </row>
    <row r="43" spans="1:7" ht="13.5" customHeight="1">
      <c r="A43" s="950" t="s">
        <v>792</v>
      </c>
      <c r="B43" s="258" t="s">
        <v>2404</v>
      </c>
      <c r="C43" s="281">
        <f ca="1">ROUND(IF('数据-取费表'!B22&lt;=1,C39*F22*'数据-取费表'!B20/2,C39*(POWER((1+F22),'数据-取费表'!B20/2)-1)),0)</f>
        <v>17798</v>
      </c>
      <c r="D43" s="281"/>
      <c r="E43" s="281"/>
      <c r="F43" s="282"/>
      <c r="G43" s="3174"/>
    </row>
    <row r="44" spans="1:7" ht="13.5" customHeight="1">
      <c r="A44" s="950" t="s">
        <v>793</v>
      </c>
      <c r="B44" s="258" t="s">
        <v>2405</v>
      </c>
      <c r="C44" s="281">
        <f ca="1">ROUND(IF('数据-取费表'!B22&lt;=1,C40*F22*'数据-取费表'!B20/2,C40*(POWER((1+F22),'数据-取费表'!B20/2)-1)),4)</f>
        <v>6.9999999999999999E-4</v>
      </c>
      <c r="D44" s="281"/>
      <c r="E44" s="281"/>
      <c r="F44" s="282"/>
      <c r="G44" s="3175"/>
    </row>
    <row r="45" spans="1:7" s="257" customFormat="1" ht="13.5" customHeight="1">
      <c r="A45" s="298" t="s">
        <v>2406</v>
      </c>
      <c r="B45" s="287" t="s">
        <v>2372</v>
      </c>
      <c r="C45" s="288">
        <f ca="1">C46</f>
        <v>6338511</v>
      </c>
      <c r="D45" s="278">
        <f ca="1">C47</f>
        <v>3.8E-3</v>
      </c>
      <c r="E45" s="279" t="s">
        <v>2398</v>
      </c>
      <c r="F45" s="289"/>
      <c r="G45" s="290" t="s">
        <v>2407</v>
      </c>
    </row>
    <row r="46" spans="1:7" s="257" customFormat="1" ht="13.5" customHeight="1">
      <c r="A46" s="950" t="s">
        <v>791</v>
      </c>
      <c r="B46" s="291" t="s">
        <v>2408</v>
      </c>
      <c r="C46" s="292">
        <f ca="1">ROUND((C33+C39)*F27,0)</f>
        <v>6338511</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35479800</v>
      </c>
      <c r="D49" s="275"/>
      <c r="E49" s="275"/>
      <c r="F49" s="307"/>
      <c r="G49" s="277" t="s">
        <v>2413</v>
      </c>
    </row>
    <row r="50" spans="1:7" s="301" customFormat="1">
      <c r="A50" s="298" t="s">
        <v>2414</v>
      </c>
      <c r="B50" s="253" t="s">
        <v>2415</v>
      </c>
      <c r="C50" s="275"/>
      <c r="D50" s="275"/>
      <c r="E50" s="275"/>
      <c r="F50" s="307">
        <f>IF('数据-取费表'!B24=0,'数据-取费表'!N16,1)</f>
        <v>0.76</v>
      </c>
      <c r="G50" s="290"/>
    </row>
    <row r="51" spans="1:7" ht="16.5" customHeight="1">
      <c r="A51" s="298" t="s">
        <v>2417</v>
      </c>
      <c r="B51" s="253" t="s">
        <v>2452</v>
      </c>
      <c r="C51" s="275">
        <f ca="1">ROUND(C49*F50,0)</f>
        <v>26964648</v>
      </c>
      <c r="D51" s="275"/>
      <c r="E51" s="275"/>
      <c r="F51" s="307"/>
      <c r="G51" s="277" t="s">
        <v>2419</v>
      </c>
    </row>
    <row r="52" spans="1:7" s="251" customFormat="1" ht="16.5" thickBot="1">
      <c r="A52" s="308" t="s">
        <v>2420</v>
      </c>
      <c r="B52" s="309"/>
      <c r="C52" s="310">
        <f ca="1">C31+C51</f>
        <v>29042541</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78"/>
      <c r="C1" s="1579"/>
      <c r="D1" s="1577"/>
      <c r="E1" s="319"/>
      <c r="F1" s="319"/>
      <c r="G1" s="1578"/>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48" t="s">
        <v>2459</v>
      </c>
      <c r="D5" s="2548" t="s">
        <v>2460</v>
      </c>
      <c r="E5" s="2548" t="s">
        <v>2461</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1334</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2475</v>
      </c>
      <c r="C12" s="23">
        <f ca="1">ROUND(C11*F12,0)</f>
        <v>0</v>
      </c>
      <c r="D12" s="972"/>
      <c r="E12" s="374"/>
      <c r="F12" s="975">
        <f>'数据-取费表'!B33</f>
        <v>0.03</v>
      </c>
      <c r="G12" s="8" t="s">
        <v>2476</v>
      </c>
      <c r="H12" s="967"/>
      <c r="I12" s="967"/>
      <c r="J12" s="967"/>
      <c r="K12" s="968"/>
    </row>
    <row r="13" spans="1:33" s="974" customFormat="1" ht="13.5" customHeight="1">
      <c r="A13" s="970" t="s">
        <v>1336</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1337</v>
      </c>
      <c r="B14" s="971" t="s">
        <v>2479</v>
      </c>
      <c r="C14" s="23">
        <f ca="1">ROUND(D14*E14*F11/10000,0)</f>
        <v>0</v>
      </c>
      <c r="D14" s="1032">
        <f ca="1">IF(C1="",'数据-汇总表'!E3,INDIRECT("'数据-取费表'!K"&amp;$K$1)+INDIRECT("'数据-取费表'!S"&amp;$K$1))</f>
        <v>7048.35</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7048.35</v>
      </c>
      <c r="E17" s="23">
        <f>'数据-取费表'!B32</f>
        <v>0</v>
      </c>
      <c r="F17" s="977"/>
      <c r="G17" s="139" t="s">
        <v>2485</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2486</v>
      </c>
      <c r="C18" s="23">
        <f ca="1">C19+C20-IF(C1="",'数据-取费表'!B29,IF(G18="已全部缴纳",C19+C20,H18))</f>
        <v>0</v>
      </c>
      <c r="D18" s="1032"/>
      <c r="E18" s="23"/>
      <c r="F18" s="975"/>
      <c r="G18" s="2550"/>
      <c r="H18" s="1574"/>
      <c r="I18" s="2551"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0</v>
      </c>
      <c r="F19" s="975"/>
      <c r="G19" s="14"/>
      <c r="H19" s="1576"/>
      <c r="I19" s="980"/>
      <c r="J19" s="980"/>
      <c r="K19" s="981"/>
    </row>
    <row r="20" spans="1:33" s="974" customFormat="1" ht="13.5" customHeight="1">
      <c r="A20" s="970" t="s">
        <v>806</v>
      </c>
      <c r="B20" s="971" t="s">
        <v>2489</v>
      </c>
      <c r="C20" s="23">
        <f ca="1">ROUND(D20*E20/10000,0)</f>
        <v>0</v>
      </c>
      <c r="D20" s="1032">
        <f ca="1">IF(C1="",'数据-汇总表'!E6,IF(INDIRECT("'数据-取费表'!c"&amp;$K$1)="住宅",INDIRECT("'数据-取费表'!s"&amp;$K$1),INDIRECT("'数据-取费表'!k"&amp;$K$1)+INDIRECT("'数据-取费表'!s"&amp;$K$1)))</f>
        <v>7048.35</v>
      </c>
      <c r="E20" s="23">
        <f>'数据-取费表'!B28</f>
        <v>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1.4999999999999999E-2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1.4999999999999999E-2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'数据-取费表'!B48+'数据-取费表'!B49</f>
        <v>3.0499999999999999E-2</v>
      </c>
      <c r="G24" s="8" t="s">
        <v>2498</v>
      </c>
      <c r="H24" s="989"/>
      <c r="I24" s="989"/>
      <c r="J24" s="989"/>
      <c r="K24" s="990"/>
    </row>
    <row r="25" spans="1:33" s="974" customFormat="1" ht="13.5" customHeight="1">
      <c r="A25" s="960" t="s">
        <v>2499</v>
      </c>
      <c r="B25" s="986" t="s">
        <v>2500</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8"/>
      <c r="I27" s="978"/>
      <c r="J27" s="978"/>
      <c r="K27" s="979"/>
    </row>
    <row r="28" spans="1:33" s="332" customFormat="1" ht="13.5" customHeight="1">
      <c r="A28" s="960" t="s">
        <v>2503</v>
      </c>
      <c r="B28" s="2553" t="s">
        <v>2504</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4"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61" sqref="D6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1377</v>
      </c>
      <c r="D1" s="1817" t="s">
        <v>70</v>
      </c>
      <c r="E1" s="1818" t="s">
        <v>1387</v>
      </c>
      <c r="F1" s="1280">
        <f ca="1">J53</f>
        <v>25.49</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1514</v>
      </c>
      <c r="B2" s="1841">
        <f ca="1">C40+J29+L46</f>
        <v>26329</v>
      </c>
      <c r="C2" s="1842" t="s">
        <v>1515</v>
      </c>
      <c r="D2" s="1842"/>
      <c r="E2" s="1843"/>
      <c r="F2" s="1844"/>
      <c r="G2" s="1845"/>
      <c r="H2" s="1837"/>
      <c r="I2" s="1837"/>
      <c r="J2" s="1837"/>
      <c r="K2" s="1838"/>
      <c r="L2" s="1837"/>
      <c r="M2" s="1837"/>
    </row>
    <row r="3" spans="1:37" ht="18" customHeight="1" thickBot="1">
      <c r="A3" s="1846" t="s">
        <v>1516</v>
      </c>
      <c r="B3" s="1847">
        <f ca="1">IF(ISERROR(B2*10000/F43),0,ROUND(B2*10000/F43,0))</f>
        <v>37355</v>
      </c>
      <c r="C3" s="1842" t="s">
        <v>1517</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617</v>
      </c>
      <c r="D5" s="1819" t="s">
        <v>1402</v>
      </c>
      <c r="E5" s="1290"/>
      <c r="F5" s="1291"/>
      <c r="G5" s="1848"/>
      <c r="H5" s="343">
        <v>1</v>
      </c>
      <c r="I5" s="344" t="s">
        <v>1401</v>
      </c>
      <c r="J5" s="1289">
        <f ca="1">J6+J10+J12</f>
        <v>2783</v>
      </c>
      <c r="K5" s="1819" t="s">
        <v>1402</v>
      </c>
      <c r="L5" s="1290"/>
      <c r="M5" s="1291"/>
    </row>
    <row r="6" spans="1:37" ht="18" customHeight="1">
      <c r="A6" s="1288" t="s">
        <v>1035</v>
      </c>
      <c r="B6" s="3178" t="s">
        <v>1403</v>
      </c>
      <c r="C6" s="1293">
        <f ca="1">ROUND(F6*F8*F7*(1-F9)/10000,0)</f>
        <v>615</v>
      </c>
      <c r="D6" s="163" t="s">
        <v>3027</v>
      </c>
      <c r="E6" s="346" t="s">
        <v>1405</v>
      </c>
      <c r="F6" s="347">
        <f ca="1">INDIRECT("'数据-取费表'!u"&amp;$G$1)</f>
        <v>2.39</v>
      </c>
      <c r="G6" s="1848"/>
      <c r="H6" s="1288" t="s">
        <v>1035</v>
      </c>
      <c r="I6" s="3178" t="s">
        <v>1403</v>
      </c>
      <c r="J6" s="345">
        <f ca="1">ROUND(M6*M8*M7*(1-M9)/10000,0)</f>
        <v>2776</v>
      </c>
      <c r="K6" s="163" t="s">
        <v>3026</v>
      </c>
      <c r="L6" s="346" t="s">
        <v>1405</v>
      </c>
      <c r="M6" s="347">
        <f ca="1">INDIRECT("'数据-取费表'!z"&amp;$G$1)</f>
        <v>11.99</v>
      </c>
    </row>
    <row r="7" spans="1:37" ht="18" customHeight="1">
      <c r="A7" s="1292"/>
      <c r="B7" s="3179"/>
      <c r="C7" s="1294"/>
      <c r="D7" s="351"/>
      <c r="E7" s="1295" t="s">
        <v>1406</v>
      </c>
      <c r="F7" s="347">
        <f ca="1">IF(INDIRECT("'数据-取费表'!ah"&amp;$G$1)="",INDIRECT("'数据-取费表'!k"&amp;$G$1),INDIRECT("'数据-取费表'!ah"&amp;$G$1))</f>
        <v>7048.35</v>
      </c>
      <c r="G7" s="1848"/>
      <c r="H7" s="348"/>
      <c r="I7" s="3179"/>
      <c r="J7" s="350"/>
      <c r="K7" s="351"/>
      <c r="L7" s="346" t="s">
        <v>1406</v>
      </c>
      <c r="M7" s="347">
        <f ca="1">F7</f>
        <v>7048.35</v>
      </c>
    </row>
    <row r="8" spans="1:37" ht="18" customHeight="1">
      <c r="A8" s="348"/>
      <c r="B8" s="3179"/>
      <c r="C8" s="350"/>
      <c r="D8" s="351"/>
      <c r="E8" s="346" t="s">
        <v>1407</v>
      </c>
      <c r="F8" s="347">
        <f ca="1">INDIRECT("'数据-取费表'!ai"&amp;$G$1)</f>
        <v>365</v>
      </c>
      <c r="G8" s="1848"/>
      <c r="H8" s="348"/>
      <c r="I8" s="3179"/>
      <c r="J8" s="350"/>
      <c r="K8" s="351"/>
      <c r="L8" s="346" t="s">
        <v>1407</v>
      </c>
      <c r="M8" s="347">
        <f ca="1">INDIRECT("'数据-取费表'!ai"&amp;$G$1)</f>
        <v>365</v>
      </c>
    </row>
    <row r="9" spans="1:37" ht="18" customHeight="1">
      <c r="A9" s="348"/>
      <c r="B9" s="3180"/>
      <c r="C9" s="350"/>
      <c r="D9" s="351"/>
      <c r="E9" s="346" t="s">
        <v>1408</v>
      </c>
      <c r="F9" s="356">
        <f ca="1">INDIRECT("'数据-取费表'!w"&amp;$G$1)</f>
        <v>0</v>
      </c>
      <c r="G9" s="1848"/>
      <c r="H9" s="348"/>
      <c r="I9" s="3180"/>
      <c r="J9" s="350"/>
      <c r="K9" s="351"/>
      <c r="L9" s="357" t="s">
        <v>1408</v>
      </c>
      <c r="M9" s="358">
        <f ca="1">INDIRECT("'数据-取费表'!ab"&amp;$G$1)</f>
        <v>0.1</v>
      </c>
    </row>
    <row r="10" spans="1:37" ht="18" customHeight="1">
      <c r="A10" s="1288" t="s">
        <v>1039</v>
      </c>
      <c r="B10" s="1820" t="s">
        <v>1409</v>
      </c>
      <c r="C10" s="360">
        <f ca="1">ROUND(IF(F10="押一",C6/12*F11,IF(F10="押二",C6/12*2*F11,IF(F10="押三",C6/12*3*F11,C11*F11))),0)</f>
        <v>2</v>
      </c>
      <c r="D10" s="1821" t="s">
        <v>3036</v>
      </c>
      <c r="E10" s="357" t="s">
        <v>1410</v>
      </c>
      <c r="F10" s="1363" t="s">
        <v>3189</v>
      </c>
      <c r="G10" s="1848"/>
      <c r="H10" s="1288" t="s">
        <v>1039</v>
      </c>
      <c r="I10" s="1820" t="s">
        <v>1409</v>
      </c>
      <c r="J10" s="345">
        <f ca="1">ROUND(IF(M10="押一",J6/12*M11,IF(M10="押二",J6/12*2*M11,IF(M10="押三",J6/12*3*M11,J11*M11))),0)</f>
        <v>7</v>
      </c>
      <c r="K10" s="1821" t="s">
        <v>3035</v>
      </c>
      <c r="L10" s="357" t="s">
        <v>1410</v>
      </c>
      <c r="M10" s="1363" t="s">
        <v>3189</v>
      </c>
    </row>
    <row r="11" spans="1:37" ht="18" customHeight="1">
      <c r="A11" s="352"/>
      <c r="B11" s="1822" t="s">
        <v>1388</v>
      </c>
      <c r="C11" s="1177"/>
      <c r="D11" s="1823"/>
      <c r="E11" s="357" t="s">
        <v>1411</v>
      </c>
      <c r="F11" s="358">
        <f ca="1">'数据-取费表'!B39</f>
        <v>1.4999999999999999E-2</v>
      </c>
      <c r="G11" s="1848"/>
      <c r="H11" s="1296"/>
      <c r="I11" s="1822" t="s">
        <v>1388</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2696</v>
      </c>
      <c r="D13" s="1328" t="s">
        <v>1414</v>
      </c>
      <c r="E13" s="1328" t="s">
        <v>1415</v>
      </c>
      <c r="F13" s="1329">
        <f ca="1">INDIRECT("'数据-取费表'!y"&amp;$G$1)</f>
        <v>0.76</v>
      </c>
      <c r="G13" s="1848"/>
      <c r="H13" s="1326">
        <v>2</v>
      </c>
      <c r="I13" s="1327" t="s">
        <v>1413</v>
      </c>
      <c r="J13" s="1287">
        <f ca="1">ROUND(J14*J15,0)</f>
        <v>2519</v>
      </c>
      <c r="K13" s="1334" t="s">
        <v>1414</v>
      </c>
      <c r="L13" s="1849"/>
      <c r="M13" s="1850"/>
    </row>
    <row r="14" spans="1:37" ht="18" customHeight="1">
      <c r="A14" s="1200" t="s">
        <v>1034</v>
      </c>
      <c r="B14" s="346" t="s">
        <v>1416</v>
      </c>
      <c r="C14" s="362">
        <f ca="1">INDIRECT("'数据-取费表'!m"&amp;$G$1)+INDIRECT("'数据-取费表'!t"&amp;$G$1)</f>
        <v>2255</v>
      </c>
      <c r="D14" s="1797" t="s">
        <v>1417</v>
      </c>
      <c r="E14" s="1791"/>
      <c r="F14" s="363"/>
      <c r="G14" s="1848"/>
      <c r="H14" s="1200" t="s">
        <v>1035</v>
      </c>
      <c r="I14" s="346" t="s">
        <v>1418</v>
      </c>
      <c r="J14" s="23">
        <f ca="1">C29</f>
        <v>3548</v>
      </c>
      <c r="K14" s="14"/>
      <c r="L14" s="978"/>
      <c r="M14" s="979"/>
    </row>
    <row r="15" spans="1:37" s="1855" customFormat="1" ht="18" customHeight="1" thickBot="1">
      <c r="A15" s="1200" t="s">
        <v>1036</v>
      </c>
      <c r="B15" s="346" t="s">
        <v>1419</v>
      </c>
      <c r="C15" s="23">
        <f ca="1">ROUND(C14*F15,0)</f>
        <v>68</v>
      </c>
      <c r="D15" s="364" t="s">
        <v>1420</v>
      </c>
      <c r="E15" s="364" t="s">
        <v>1421</v>
      </c>
      <c r="F15" s="365">
        <f>'数据-取费表'!B33</f>
        <v>0.03</v>
      </c>
      <c r="G15" s="1851"/>
      <c r="H15" s="1336" t="s">
        <v>1039</v>
      </c>
      <c r="I15" s="1337" t="s">
        <v>1415</v>
      </c>
      <c r="J15" s="1346">
        <f ca="1">INDIRECT("'数据-取费表'!ad"&amp;$G$1)</f>
        <v>0.71</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570</v>
      </c>
      <c r="K16" s="1334" t="s">
        <v>1424</v>
      </c>
      <c r="L16" s="1335"/>
      <c r="M16" s="1291"/>
    </row>
    <row r="17" spans="1:37" s="1855" customFormat="1" ht="18" customHeight="1">
      <c r="A17" s="1200" t="s">
        <v>1390</v>
      </c>
      <c r="B17" s="346" t="s">
        <v>1425</v>
      </c>
      <c r="C17" s="23">
        <f ca="1">ROUND(F17*(F43+INDIRECT("'数据-取费表'!S"&amp;$G$1))/10000,0)</f>
        <v>141</v>
      </c>
      <c r="D17" s="346" t="s">
        <v>1426</v>
      </c>
      <c r="E17" s="346" t="s">
        <v>1427</v>
      </c>
      <c r="F17" s="25">
        <f>'数据-取费表'!B35</f>
        <v>200</v>
      </c>
      <c r="G17" s="1851"/>
      <c r="H17" s="1200" t="s">
        <v>1035</v>
      </c>
      <c r="I17" s="346" t="s">
        <v>1428</v>
      </c>
      <c r="J17" s="23">
        <f ca="1">ROUND(IF(项目基本情况!B11="自然人",J5*M17,J18+J19+J20),1)</f>
        <v>485.4</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34</v>
      </c>
      <c r="D18" s="346" t="s">
        <v>1420</v>
      </c>
      <c r="E18" s="346" t="s">
        <v>1421</v>
      </c>
      <c r="F18" s="366">
        <f>'数据-取费表'!B36</f>
        <v>1.4999999999999999E-2</v>
      </c>
      <c r="G18" s="1851"/>
      <c r="H18" s="1200" t="s">
        <v>1034</v>
      </c>
      <c r="I18" s="346" t="s">
        <v>1432</v>
      </c>
      <c r="J18" s="23">
        <f ca="1">ROUND(J5*M18/(1+'数据-取费表'!C42),2)</f>
        <v>148.43</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2498</v>
      </c>
      <c r="D19" s="139" t="s">
        <v>1435</v>
      </c>
      <c r="E19" s="1815"/>
      <c r="F19" s="25"/>
      <c r="G19" s="1848"/>
      <c r="H19" s="1200" t="s">
        <v>1036</v>
      </c>
      <c r="I19" s="346" t="s">
        <v>1436</v>
      </c>
      <c r="J19" s="23">
        <f ca="1">IF(K19="按租金收入计税",ROUND(J5*M19,2),ROUND(C29*M19*0.7,2))</f>
        <v>333.96</v>
      </c>
      <c r="K19" s="1825" t="s">
        <v>3077</v>
      </c>
      <c r="L19" s="346" t="s">
        <v>1421</v>
      </c>
      <c r="M19" s="366">
        <f>IF(K19="按租金收入计税",'数据-取费表'!B51,'数据-取费表'!B50)</f>
        <v>0.12</v>
      </c>
    </row>
    <row r="20" spans="1:37" s="1855" customFormat="1" ht="18" customHeight="1">
      <c r="A20" s="1200" t="s">
        <v>1039</v>
      </c>
      <c r="B20" s="346" t="s">
        <v>1438</v>
      </c>
      <c r="C20" s="23">
        <f ca="1">ROUND(C19*F20,0)</f>
        <v>37</v>
      </c>
      <c r="D20" s="368" t="s">
        <v>1439</v>
      </c>
      <c r="E20" s="346" t="s">
        <v>1421</v>
      </c>
      <c r="F20" s="366">
        <f>'数据-取费表'!B37</f>
        <v>1.4999999999999999E-2</v>
      </c>
      <c r="G20" s="1851"/>
      <c r="H20" s="1200" t="s">
        <v>1389</v>
      </c>
      <c r="I20" s="163" t="s">
        <v>1440</v>
      </c>
      <c r="J20" s="24">
        <f ca="1">ROUND(M20*M21/10000,2)</f>
        <v>3</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18</v>
      </c>
      <c r="D21" s="368" t="s">
        <v>1444</v>
      </c>
      <c r="E21" s="346" t="s">
        <v>1445</v>
      </c>
      <c r="F21" s="366">
        <f>'数据-取费表'!B38</f>
        <v>1.4999999999999999E-2</v>
      </c>
      <c r="G21" s="1851"/>
      <c r="H21" s="371"/>
      <c r="I21" s="355"/>
      <c r="J21" s="28"/>
      <c r="K21" s="372"/>
      <c r="L21" s="346" t="s">
        <v>1446</v>
      </c>
      <c r="M21" s="347">
        <f ca="1">INDIRECT("'数据-取费表'!r"&amp;$G$1)</f>
        <v>1000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ROUND(J14*M22,1)</f>
        <v>53.2</v>
      </c>
      <c r="K22" s="1795" t="s">
        <v>1449</v>
      </c>
      <c r="L22" s="346" t="s">
        <v>1421</v>
      </c>
      <c r="M22" s="373">
        <f ca="1">INDIRECT("'数据-取费表'!Ak"&amp;$G$1)</f>
        <v>1.4999999999999999E-2</v>
      </c>
    </row>
    <row r="23" spans="1:37" s="1855" customFormat="1" ht="18" customHeight="1">
      <c r="A23" s="1200" t="s">
        <v>1034</v>
      </c>
      <c r="B23" s="346" t="s">
        <v>1450</v>
      </c>
      <c r="C23" s="23">
        <f ca="1">IF('数据-取费表'!B22&lt;=1,ROUND(C19*F24*F23/2,0)+ROUND(C20*F24*F23/2,0),ROUND(C19*(POWER((1+F24),F23/2)-1),0)+ROUND(C20*(POWER((1+F24),F23/2)-1),0))</f>
        <v>121</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ROUND(J13*M23,1)</f>
        <v>3.8</v>
      </c>
      <c r="K23" s="1795" t="s">
        <v>1453</v>
      </c>
      <c r="L23" s="346" t="s">
        <v>1454</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ROUND(J5*M24,1)</f>
        <v>27.8</v>
      </c>
      <c r="K24" s="1339" t="s">
        <v>1458</v>
      </c>
      <c r="L24" s="1337" t="s">
        <v>1454</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1459</v>
      </c>
      <c r="B25" s="346" t="s">
        <v>1460</v>
      </c>
      <c r="C25" s="23"/>
      <c r="D25" s="139" t="s">
        <v>1461</v>
      </c>
      <c r="E25" s="1815"/>
      <c r="F25" s="25"/>
      <c r="G25" s="1848"/>
      <c r="H25" s="1326" t="s">
        <v>1031</v>
      </c>
      <c r="I25" s="1341" t="s">
        <v>1462</v>
      </c>
      <c r="J25" s="354">
        <f ca="1">J5-J16</f>
        <v>2213</v>
      </c>
      <c r="K25" s="1342" t="s">
        <v>1463</v>
      </c>
      <c r="L25" s="1343"/>
      <c r="M25" s="1344"/>
    </row>
    <row r="26" spans="1:37">
      <c r="A26" s="1200" t="s">
        <v>1034</v>
      </c>
      <c r="B26" s="346" t="s">
        <v>1464</v>
      </c>
      <c r="C26" s="23">
        <f ca="1">ROUND((C19+C20)*F26,0)</f>
        <v>634</v>
      </c>
      <c r="D26" s="368" t="s">
        <v>1465</v>
      </c>
      <c r="E26" s="357" t="s">
        <v>1466</v>
      </c>
      <c r="F26" s="356">
        <f ca="1">INDIRECT("'数据-取费表'!q"&amp;$G$1)</f>
        <v>0.25</v>
      </c>
      <c r="G26" s="1848"/>
      <c r="H26" s="343" t="s">
        <v>1032</v>
      </c>
      <c r="I26" s="344" t="s">
        <v>1467</v>
      </c>
      <c r="J26" s="345">
        <f ca="1">IF(J5&lt;&gt;0,ROUND(J25*(1-((1+M28)/(1+M26))^M27)/(M26-M28),0),0)</f>
        <v>33038</v>
      </c>
      <c r="K26" s="369" t="s">
        <v>1468</v>
      </c>
      <c r="L26" s="346" t="s">
        <v>1469</v>
      </c>
      <c r="M26" s="356">
        <f ca="1">INDIRECT("'数据-取费表'!I"&amp;$G$1)</f>
        <v>5.5E-2</v>
      </c>
    </row>
    <row r="27" spans="1:37" ht="18" customHeight="1">
      <c r="A27" s="1200" t="s">
        <v>1036</v>
      </c>
      <c r="B27" s="346" t="s">
        <v>1470</v>
      </c>
      <c r="C27" s="23">
        <f ca="1">ROUND(F21*F26,4)</f>
        <v>3.8E-3</v>
      </c>
      <c r="D27" s="368" t="s">
        <v>1471</v>
      </c>
      <c r="E27" s="364"/>
      <c r="F27" s="365"/>
      <c r="G27" s="1848"/>
      <c r="H27" s="348"/>
      <c r="I27" s="349"/>
      <c r="J27" s="350"/>
      <c r="K27" s="377" t="s">
        <v>1472</v>
      </c>
      <c r="L27" s="346" t="s">
        <v>1473</v>
      </c>
      <c r="M27" s="378">
        <f ca="1">INDIRECT("'数据-取费表'!ag"&amp;$G$1)</f>
        <v>19.479999999999997</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3548</v>
      </c>
      <c r="D29" s="1339"/>
      <c r="E29" s="1337"/>
      <c r="F29" s="1340"/>
      <c r="G29" s="1851"/>
      <c r="H29" s="379" t="s">
        <v>1033</v>
      </c>
      <c r="I29" s="380" t="s">
        <v>1478</v>
      </c>
      <c r="J29" s="381">
        <f ca="1">ROUND(J26/(1+F40)^F41,0)</f>
        <v>23948</v>
      </c>
      <c r="K29" s="382" t="s">
        <v>1479</v>
      </c>
      <c r="L29" s="383"/>
      <c r="M29" s="384">
        <f ca="1">INDIRECT("'数据-取费表'!k"&amp;$G$1)</f>
        <v>7048.35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141</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ROUND(IF(项目基本情况!B11="自然人",C5*F31,C32+C33+C34),1)</f>
        <v>77.900000000000006</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IF(项目基本情况!B11="自然人","——",ROUND(C5*F32/(1+'数据-取费表'!C42),2))</f>
        <v>32.909999999999997</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IF(项目基本情况!B11="自然人","——",IF(D33="按租金收入计税",ROUND(C5*F33,2),IF(D33="按房产原值计税",ROUND(C29*F33*0.7,2),INDIRECT("'数据-取费表'!Aj"&amp;$G$1))))</f>
        <v>42</v>
      </c>
      <c r="D33" s="1825" t="s">
        <v>3195</v>
      </c>
      <c r="E33" s="346" t="s">
        <v>1421</v>
      </c>
      <c r="F33" s="366" t="str">
        <f>IF(D33="按票据","——",IF(D33="按租金收入计税",'数据-取费表'!B51,'数据-取费表'!B50))</f>
        <v>——</v>
      </c>
      <c r="G33" s="1848"/>
      <c r="H33" s="1856"/>
      <c r="I33" s="1857"/>
      <c r="J33" s="1858"/>
      <c r="K33" s="1859"/>
      <c r="L33" s="1856"/>
      <c r="M33" s="1856"/>
    </row>
    <row r="34" spans="1:18" ht="18" customHeight="1">
      <c r="A34" s="1288" t="s">
        <v>1389</v>
      </c>
      <c r="B34" s="163" t="s">
        <v>1440</v>
      </c>
      <c r="C34" s="2950">
        <f ca="1">IF(项目基本情况!B11="自然人","——",ROUND(F34*F35/10000,2))</f>
        <v>3</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1000</v>
      </c>
      <c r="G35" s="1848"/>
      <c r="H35" s="741"/>
      <c r="I35" s="1857"/>
      <c r="J35" s="1858"/>
      <c r="K35" s="1859"/>
      <c r="L35" s="1856"/>
      <c r="M35" s="1856"/>
    </row>
    <row r="36" spans="1:18" ht="18" customHeight="1">
      <c r="A36" s="1349" t="s">
        <v>1039</v>
      </c>
      <c r="B36" s="346" t="s">
        <v>1448</v>
      </c>
      <c r="C36" s="23">
        <f ca="1">ROUND(C29*F36,1)</f>
        <v>53.2</v>
      </c>
      <c r="D36" s="1795" t="s">
        <v>1481</v>
      </c>
      <c r="E36" s="346" t="s">
        <v>1421</v>
      </c>
      <c r="F36" s="373">
        <f ca="1">INDIRECT("'数据-取费表'!Ak"&amp;$G$1)</f>
        <v>1.4999999999999999E-2</v>
      </c>
      <c r="G36" s="1848"/>
      <c r="H36" s="1856"/>
      <c r="I36" s="1857"/>
      <c r="J36" s="1858"/>
      <c r="K36" s="747"/>
      <c r="L36" s="1856"/>
      <c r="M36" s="1856"/>
    </row>
    <row r="37" spans="1:18" ht="18" customHeight="1">
      <c r="A37" s="1200" t="s">
        <v>1075</v>
      </c>
      <c r="B37" s="346" t="s">
        <v>1452</v>
      </c>
      <c r="C37" s="23">
        <f ca="1">ROUND(C13*F37,1)</f>
        <v>4</v>
      </c>
      <c r="D37" s="1795" t="s">
        <v>1453</v>
      </c>
      <c r="E37" s="346" t="s">
        <v>1454</v>
      </c>
      <c r="F37" s="375">
        <f ca="1">INDIRECT("'数据-取费表'!Al"&amp;$G$1)</f>
        <v>1.5E-3</v>
      </c>
      <c r="G37" s="1848"/>
      <c r="H37" s="1856"/>
      <c r="I37" s="1857"/>
      <c r="J37" s="1858"/>
      <c r="K37" s="747"/>
      <c r="L37" s="1856"/>
      <c r="M37" s="1856"/>
    </row>
    <row r="38" spans="1:18" ht="18" customHeight="1" thickBot="1">
      <c r="A38" s="1336" t="s">
        <v>1393</v>
      </c>
      <c r="B38" s="1337" t="s">
        <v>1438</v>
      </c>
      <c r="C38" s="1338">
        <f ca="1">ROUND(C5*F38,1)</f>
        <v>6.2</v>
      </c>
      <c r="D38" s="1339" t="s">
        <v>1458</v>
      </c>
      <c r="E38" s="1337" t="s">
        <v>1454</v>
      </c>
      <c r="F38" s="1333">
        <f ca="1">INDIRECT("'数据-取费表'!Am"&amp;$G$1)</f>
        <v>0.01</v>
      </c>
      <c r="G38" s="1848"/>
      <c r="H38" s="1856"/>
      <c r="I38" s="1857"/>
      <c r="J38" s="1858"/>
      <c r="K38" s="1862"/>
      <c r="L38" s="1856"/>
      <c r="M38" s="1856"/>
    </row>
    <row r="39" spans="1:18" ht="24.6" customHeight="1" thickTop="1">
      <c r="A39" s="1326" t="s">
        <v>1031</v>
      </c>
      <c r="B39" s="1341" t="s">
        <v>1482</v>
      </c>
      <c r="C39" s="354">
        <f ca="1">C5-C30</f>
        <v>476</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2381</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6.01</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f ca="1">ROUND(C40*10000/F43,0)</f>
        <v>3378</v>
      </c>
      <c r="D43" s="382" t="s">
        <v>1487</v>
      </c>
      <c r="E43" s="383" t="s">
        <v>1488</v>
      </c>
      <c r="F43" s="384">
        <f ca="1">INDIRECT("'数据-取费表'!k"&amp;$G$1)</f>
        <v>7048.35</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1518</v>
      </c>
      <c r="P45" s="1836"/>
      <c r="Q45" s="1836"/>
      <c r="R45" s="1836"/>
    </row>
    <row r="46" spans="1:18" s="1839" customFormat="1" ht="13.5" thickBot="1">
      <c r="A46" s="1867" t="s">
        <v>1519</v>
      </c>
      <c r="C46" s="1868">
        <f ca="1">C68-C40</f>
        <v>8792</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4" t="s">
        <v>1396</v>
      </c>
      <c r="B47" s="1196" t="s">
        <v>1397</v>
      </c>
      <c r="C47" s="1364" t="s">
        <v>1398</v>
      </c>
      <c r="D47" s="1196" t="s">
        <v>1399</v>
      </c>
      <c r="E47" s="1276" t="s">
        <v>1400</v>
      </c>
      <c r="F47" s="1277"/>
      <c r="G47" s="788"/>
      <c r="I47" s="1877" t="s">
        <v>1525</v>
      </c>
      <c r="J47" s="1878" t="s">
        <v>3107</v>
      </c>
      <c r="K47" s="1879" t="s">
        <v>1526</v>
      </c>
      <c r="L47" s="1880">
        <f ca="1">INDIRECT("'数据-取费表'!d"&amp;$G$1)</f>
        <v>40</v>
      </c>
      <c r="M47" s="1835" t="str">
        <f>IF(ISNUMBER(FIND("住宅",C1)),"住宅","非住宅")</f>
        <v>非住宅</v>
      </c>
      <c r="O47" s="1881" t="s">
        <v>1040</v>
      </c>
      <c r="P47" s="1882" t="s">
        <v>1527</v>
      </c>
      <c r="Q47" s="1883">
        <f ca="1">C40+J29</f>
        <v>26329</v>
      </c>
      <c r="R47" s="1883" t="s">
        <v>1528</v>
      </c>
    </row>
    <row r="48" spans="1:18" s="1839" customFormat="1" ht="28.5" thickBot="1">
      <c r="A48" s="1357" t="s">
        <v>1135</v>
      </c>
      <c r="B48" s="344" t="s">
        <v>1401</v>
      </c>
      <c r="C48" s="1814">
        <f ca="1">C49+C53+C55</f>
        <v>2331</v>
      </c>
      <c r="D48" s="1359"/>
      <c r="E48" s="1360"/>
      <c r="F48" s="1180"/>
      <c r="G48" s="788"/>
      <c r="H48" s="789"/>
      <c r="I48" s="1884" t="s">
        <v>1529</v>
      </c>
      <c r="J48" s="1885" t="s">
        <v>3178</v>
      </c>
      <c r="K48" s="1886" t="s">
        <v>1530</v>
      </c>
      <c r="L48" s="1887">
        <f ca="1">INDIRECT("'数据-取费表'!f"&amp;$G$1)</f>
        <v>25.49</v>
      </c>
      <c r="O48" s="1881" t="s">
        <v>1041</v>
      </c>
      <c r="P48" s="1882" t="s">
        <v>1531</v>
      </c>
      <c r="Q48" s="1883" t="str">
        <f ca="1">J60</f>
        <v>0</v>
      </c>
      <c r="R48" s="1883" t="s">
        <v>1532</v>
      </c>
    </row>
    <row r="49" spans="1:18" s="1839" customFormat="1" ht="13.5" thickBot="1">
      <c r="A49" s="1193" t="s">
        <v>1136</v>
      </c>
      <c r="B49" s="1826" t="s">
        <v>1489</v>
      </c>
      <c r="C49" s="1361">
        <f ca="1">ROUND(F49*F51*F50*(1-F52)/10000,0)</f>
        <v>2325</v>
      </c>
      <c r="D49" s="1273" t="s">
        <v>3028</v>
      </c>
      <c r="E49" s="1827" t="s">
        <v>1490</v>
      </c>
      <c r="F49" s="1278">
        <f>市场租约!A7</f>
        <v>10.039999999999999</v>
      </c>
      <c r="G49" s="1888"/>
      <c r="H49" s="789"/>
      <c r="I49" s="1884" t="s">
        <v>1533</v>
      </c>
      <c r="J49" s="1889">
        <v>1998</v>
      </c>
      <c r="K49" s="1886" t="s">
        <v>1534</v>
      </c>
      <c r="L49" s="1890"/>
      <c r="O49" s="1891" t="s">
        <v>1042</v>
      </c>
      <c r="P49" s="1882" t="s">
        <v>1535</v>
      </c>
      <c r="Q49" s="1883">
        <f ca="1">C29</f>
        <v>3548</v>
      </c>
      <c r="R49" s="1883" t="s">
        <v>1528</v>
      </c>
    </row>
    <row r="50" spans="1:18" s="1839" customFormat="1" ht="13.5" thickBot="1">
      <c r="A50" s="1194"/>
      <c r="B50" s="1197"/>
      <c r="C50" s="1365"/>
      <c r="D50" s="1171"/>
      <c r="E50" s="1274" t="s">
        <v>1406</v>
      </c>
      <c r="F50" s="1275">
        <f ca="1">F7</f>
        <v>7048.35</v>
      </c>
      <c r="H50" s="789"/>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5"/>
      <c r="B51" s="1197"/>
      <c r="C51" s="1198"/>
      <c r="D51" s="1171"/>
      <c r="E51" s="1199" t="s">
        <v>1407</v>
      </c>
      <c r="F51" s="347">
        <f ca="1">F8</f>
        <v>365</v>
      </c>
      <c r="I51" s="1895" t="s">
        <v>1539</v>
      </c>
      <c r="J51" s="1896">
        <f>IF(J49="",J50,J49+J50-YEAR('数据-取费表'!B2))</f>
        <v>40</v>
      </c>
      <c r="K51" s="1897" t="s">
        <v>1540</v>
      </c>
      <c r="L51" s="1898">
        <f ca="1">ROUND(-PV(INDIRECT("'数据-取费表'!h"&amp;$G$1),L48,(C39-C13*C76),0),0)</f>
        <v>3513</v>
      </c>
      <c r="M51" s="1899"/>
      <c r="O51" s="1891" t="s">
        <v>1044</v>
      </c>
      <c r="P51" s="1882" t="s">
        <v>1541</v>
      </c>
      <c r="Q51" s="1894">
        <f>J52</f>
        <v>0.09</v>
      </c>
      <c r="R51" s="1883"/>
    </row>
    <row r="52" spans="1:18" s="1839" customFormat="1" ht="13.5" thickBot="1">
      <c r="A52" s="1195"/>
      <c r="B52" s="1197"/>
      <c r="C52" s="1198"/>
      <c r="D52" s="1171"/>
      <c r="E52" s="1199" t="s">
        <v>1408</v>
      </c>
      <c r="F52" s="1272">
        <f>'数据-取费表'!AB6</f>
        <v>0.1</v>
      </c>
      <c r="I52" s="1900" t="s">
        <v>1542</v>
      </c>
      <c r="J52" s="1901">
        <v>0.09</v>
      </c>
      <c r="K52" s="1900" t="s">
        <v>1543</v>
      </c>
      <c r="L52" s="1901"/>
      <c r="O52" s="1891" t="s">
        <v>1045</v>
      </c>
      <c r="P52" s="1882" t="s">
        <v>1544</v>
      </c>
      <c r="Q52" s="1883">
        <f ca="1">J53</f>
        <v>25.49</v>
      </c>
      <c r="R52" s="1883" t="s">
        <v>1545</v>
      </c>
    </row>
    <row r="53" spans="1:18" s="1839" customFormat="1" ht="24.75" thickBot="1">
      <c r="A53" s="1402" t="s">
        <v>1137</v>
      </c>
      <c r="B53" s="1828" t="s">
        <v>1409</v>
      </c>
      <c r="C53" s="360">
        <f ca="1">ROUND(IF(F53="押一",C49/12*F11,IF(F53="押二",C49/12*2*F11,IF(F53="押三",C49/12*3*F11,C54*F11))),0)</f>
        <v>6</v>
      </c>
      <c r="D53" s="1821" t="s">
        <v>3035</v>
      </c>
      <c r="E53" s="357" t="s">
        <v>1410</v>
      </c>
      <c r="F53" s="1363" t="s">
        <v>3189</v>
      </c>
      <c r="I53" s="1902" t="s">
        <v>1546</v>
      </c>
      <c r="J53" s="1903">
        <f ca="1">IF(M47="住宅",IF(D1="——",MAX(J51,L48),IF(D1="在建（套用方法）",MAX(J51,L48-'数据-取费表'!B24),MAX(J51,L48-'数据-取费表'!B20))),IF(D1="——",MIN(J51,L48),IF(D1="在建（套用方法）",MIN(J51,L48-'数据-取费表'!B24),IF(D1="土地（套用方法）",MIN(J51,L48-'数据-取费表'!B20)))))</f>
        <v>25.49</v>
      </c>
      <c r="K53" s="3176" t="s">
        <v>1547</v>
      </c>
      <c r="L53" s="3177"/>
      <c r="O53" s="1881" t="s">
        <v>1046</v>
      </c>
      <c r="P53" s="1882" t="s">
        <v>1548</v>
      </c>
      <c r="Q53" s="1883">
        <f ca="1">Q47+Q48</f>
        <v>26329</v>
      </c>
      <c r="R53" s="1883" t="s">
        <v>1047</v>
      </c>
    </row>
    <row r="54" spans="1:18" s="1839" customFormat="1" ht="13.5" thickBot="1">
      <c r="A54" s="1403"/>
      <c r="B54" s="1822" t="s">
        <v>1388</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5">
        <v>2</v>
      </c>
      <c r="B56" s="1176" t="s">
        <v>1413</v>
      </c>
      <c r="C56" s="275">
        <f ca="1">C13</f>
        <v>2696</v>
      </c>
      <c r="D56" s="1911"/>
      <c r="E56" s="1912"/>
      <c r="F56" s="1904"/>
      <c r="I56" s="1913" t="s">
        <v>1553</v>
      </c>
      <c r="J56" s="1914" t="s">
        <v>3058</v>
      </c>
      <c r="K56" s="1884" t="s">
        <v>1554</v>
      </c>
      <c r="L56" s="1887" t="str">
        <f ca="1">IF(L48&lt;J51,"——",L48-J53)</f>
        <v>——</v>
      </c>
      <c r="O56" s="1881" t="s">
        <v>1040</v>
      </c>
      <c r="P56" s="1882" t="s">
        <v>1527</v>
      </c>
      <c r="Q56" s="1883">
        <f ca="1">C40+J29</f>
        <v>26329</v>
      </c>
      <c r="R56" s="1883" t="s">
        <v>1528</v>
      </c>
    </row>
    <row r="57" spans="1:18" s="1839" customFormat="1" ht="24.75" thickBot="1">
      <c r="A57" s="1915"/>
      <c r="B57" s="1168" t="s">
        <v>1477</v>
      </c>
      <c r="C57" s="281">
        <f ca="1">C29</f>
        <v>3548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6" t="s">
        <v>1423</v>
      </c>
      <c r="C58" s="360">
        <f ca="1">ROUND(C59+C64+C65+C66,0)</f>
        <v>250</v>
      </c>
      <c r="D58" s="1178" t="s">
        <v>1424</v>
      </c>
      <c r="E58" s="1179"/>
      <c r="F58" s="1180"/>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ROUND(IF(项目基本情况!B11="自然人",C48*F59,C60+C61+C62),1)</f>
        <v>169.3</v>
      </c>
      <c r="D59" s="1181" t="s">
        <v>1429</v>
      </c>
      <c r="E59" s="1182"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IF(项目基本情况!B11="自然人","——",ROUND(C48*F60/(1+'数据-取费表'!C42),2))</f>
        <v>124.32</v>
      </c>
      <c r="D60" s="1182" t="s">
        <v>1433</v>
      </c>
      <c r="E60" s="1168"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IF(项目基本情况!B11="自然人","——",IF(D61="按租金收入计税",ROUND(C48*F61,2),IF(D61="按房产原值计税",ROUND(C57*F61*0.7,2),INDIRECT("'数据-取费表'!Aj"&amp;$G$1))))</f>
        <v>42</v>
      </c>
      <c r="D61" s="1825" t="s">
        <v>3195</v>
      </c>
      <c r="E61" s="1168" t="s">
        <v>1493</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1494</v>
      </c>
      <c r="B62" s="1167" t="s">
        <v>1495</v>
      </c>
      <c r="C62" s="24">
        <f ca="1">IF(项目基本情况!B11="自然人","——",ROUND(F62*F63/10000,2))</f>
        <v>3</v>
      </c>
      <c r="D62" s="1183" t="s">
        <v>1496</v>
      </c>
      <c r="E62" s="1168" t="s">
        <v>1497</v>
      </c>
      <c r="F62" s="370">
        <f t="shared" si="0"/>
        <v>30</v>
      </c>
      <c r="I62" s="1926" t="s">
        <v>1569</v>
      </c>
      <c r="J62" s="1927" t="s">
        <v>1570</v>
      </c>
      <c r="K62" s="1927" t="s">
        <v>1571</v>
      </c>
      <c r="L62" s="1927" t="s">
        <v>1572</v>
      </c>
      <c r="M62" s="1928" t="s">
        <v>1573</v>
      </c>
      <c r="O62" s="1881" t="s">
        <v>1046</v>
      </c>
      <c r="P62" s="1882" t="s">
        <v>1574</v>
      </c>
      <c r="Q62" s="1883">
        <f ca="1">Q56+Q57</f>
        <v>26329</v>
      </c>
      <c r="R62" s="1883" t="s">
        <v>1047</v>
      </c>
    </row>
    <row r="63" spans="1:18" s="1839" customFormat="1" ht="13.5" thickBot="1">
      <c r="A63" s="371"/>
      <c r="B63" s="1174"/>
      <c r="C63" s="28"/>
      <c r="D63" s="1184"/>
      <c r="E63" s="1168" t="s">
        <v>1498</v>
      </c>
      <c r="F63" s="347">
        <f t="shared" ca="1" si="0"/>
        <v>1000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ROUND(C57*F64,1)</f>
        <v>53.2</v>
      </c>
      <c r="D64" s="1182" t="s">
        <v>1501</v>
      </c>
      <c r="E64" s="1168" t="s">
        <v>1493</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ROUND(C56*F65,1)</f>
        <v>4</v>
      </c>
      <c r="D65" s="1182" t="s">
        <v>1453</v>
      </c>
      <c r="E65" s="1168" t="s">
        <v>1454</v>
      </c>
      <c r="F65" s="375">
        <f t="shared" ca="1" si="0"/>
        <v>1.5E-3</v>
      </c>
      <c r="I65" s="1926" t="s">
        <v>1578</v>
      </c>
      <c r="J65" s="1927">
        <v>40</v>
      </c>
      <c r="K65" s="1927">
        <v>30</v>
      </c>
      <c r="L65" s="1927">
        <v>50</v>
      </c>
      <c r="M65" s="1929">
        <v>0.02</v>
      </c>
      <c r="O65" s="1881" t="s">
        <v>1040</v>
      </c>
      <c r="P65" s="1882" t="s">
        <v>1579</v>
      </c>
      <c r="Q65" s="1883">
        <f ca="1">C40+J29</f>
        <v>26329</v>
      </c>
      <c r="R65" s="1883" t="s">
        <v>1528</v>
      </c>
    </row>
    <row r="66" spans="1:18" s="1839" customFormat="1" ht="16.5" thickBot="1">
      <c r="A66" s="1200" t="s">
        <v>1503</v>
      </c>
      <c r="B66" s="1168" t="s">
        <v>1438</v>
      </c>
      <c r="C66" s="23">
        <f ca="1">ROUND(C48*F66,1)</f>
        <v>23.3</v>
      </c>
      <c r="D66" s="1182" t="s">
        <v>1504</v>
      </c>
      <c r="E66" s="1168" t="s">
        <v>1421</v>
      </c>
      <c r="F66" s="356">
        <f t="shared" ca="1" si="0"/>
        <v>0.01</v>
      </c>
      <c r="O66" s="1881" t="s">
        <v>1041</v>
      </c>
      <c r="P66" s="1882" t="s">
        <v>1557</v>
      </c>
      <c r="Q66" s="1883">
        <f ca="1">L60</f>
        <v>0</v>
      </c>
      <c r="R66" s="1883" t="s">
        <v>1580</v>
      </c>
    </row>
    <row r="67" spans="1:18" s="1839" customFormat="1" ht="16.5" thickBot="1">
      <c r="A67" s="1175" t="s">
        <v>1031</v>
      </c>
      <c r="B67" s="1185" t="s">
        <v>1462</v>
      </c>
      <c r="C67" s="360">
        <f ca="1">C48-C58</f>
        <v>2081</v>
      </c>
      <c r="D67" s="1181" t="s">
        <v>1463</v>
      </c>
      <c r="E67" s="1186"/>
      <c r="F67" s="1187"/>
      <c r="O67" s="1891" t="s">
        <v>1042</v>
      </c>
      <c r="P67" s="1882" t="s">
        <v>1561</v>
      </c>
      <c r="Q67" s="1930">
        <f ca="1">L51</f>
        <v>3513</v>
      </c>
      <c r="R67" s="1883" t="s">
        <v>1581</v>
      </c>
    </row>
    <row r="68" spans="1:18" s="1839" customFormat="1" ht="16.5" thickBot="1">
      <c r="A68" s="1165" t="s">
        <v>1032</v>
      </c>
      <c r="B68" s="1166" t="s">
        <v>1484</v>
      </c>
      <c r="C68" s="345">
        <f ca="1">ROUND(C67*(1-((1+F70)/(1+F68))^F69)/(F68-F70),0)</f>
        <v>11173</v>
      </c>
      <c r="D68" s="1183" t="s">
        <v>1468</v>
      </c>
      <c r="E68" s="1168" t="s">
        <v>1469</v>
      </c>
      <c r="F68" s="356">
        <f ca="1">F40</f>
        <v>5.5E-2</v>
      </c>
      <c r="O68" s="1891" t="s">
        <v>1043</v>
      </c>
      <c r="P68" s="1931" t="s">
        <v>1582</v>
      </c>
      <c r="Q68" s="1883">
        <f ca="1">ROUND(Q69-Q70*Q71,0)</f>
        <v>247</v>
      </c>
      <c r="R68" s="1883" t="s">
        <v>1051</v>
      </c>
    </row>
    <row r="69" spans="1:18" s="1839" customFormat="1" ht="13.5" thickBot="1">
      <c r="A69" s="1169"/>
      <c r="B69" s="1170"/>
      <c r="C69" s="350"/>
      <c r="D69" s="1188" t="s">
        <v>1472</v>
      </c>
      <c r="E69" s="1168" t="s">
        <v>1473</v>
      </c>
      <c r="F69" s="378">
        <f ca="1">F41</f>
        <v>6.01</v>
      </c>
      <c r="O69" s="1891" t="s">
        <v>1048</v>
      </c>
      <c r="P69" s="1931" t="s">
        <v>1583</v>
      </c>
      <c r="Q69" s="1883">
        <f ca="1">C39</f>
        <v>476</v>
      </c>
      <c r="R69" s="1883" t="s">
        <v>1528</v>
      </c>
    </row>
    <row r="70" spans="1:18" s="1839" customFormat="1" ht="13.5" thickBot="1">
      <c r="A70" s="1172"/>
      <c r="B70" s="1173"/>
      <c r="C70" s="354"/>
      <c r="D70" s="1184"/>
      <c r="E70" s="1168" t="s">
        <v>1476</v>
      </c>
      <c r="F70" s="1272">
        <f>市场租约!F2</f>
        <v>0.03</v>
      </c>
      <c r="O70" s="1891" t="s">
        <v>1049</v>
      </c>
      <c r="P70" s="1931" t="s">
        <v>1584</v>
      </c>
      <c r="Q70" s="1883">
        <f ca="1">C13</f>
        <v>2696</v>
      </c>
      <c r="R70" s="1883" t="s">
        <v>1528</v>
      </c>
    </row>
    <row r="71" spans="1:18" s="1839" customFormat="1" ht="13.5" thickBot="1">
      <c r="A71" s="1189" t="s">
        <v>1033</v>
      </c>
      <c r="B71" s="1190" t="s">
        <v>1486</v>
      </c>
      <c r="C71" s="381">
        <f ca="1">ROUND(C68*10000/F71,0)</f>
        <v>15852</v>
      </c>
      <c r="D71" s="1191" t="s">
        <v>1487</v>
      </c>
      <c r="E71" s="1192" t="s">
        <v>1488</v>
      </c>
      <c r="F71" s="384">
        <f ca="1">F43</f>
        <v>7048.35</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229</v>
      </c>
      <c r="D75" s="1839"/>
      <c r="E75" s="1839"/>
      <c r="F75" s="1839"/>
      <c r="K75" s="1865"/>
      <c r="L75" s="1839"/>
      <c r="O75" s="1881" t="s">
        <v>1046</v>
      </c>
      <c r="P75" s="1882" t="s">
        <v>1548</v>
      </c>
      <c r="Q75" s="1883">
        <f ca="1">Q65+Q66</f>
        <v>26329</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0.51900000000000002</v>
      </c>
    </row>
    <row r="80" spans="1:18">
      <c r="B80" s="385" t="s">
        <v>1510</v>
      </c>
      <c r="C80" s="317">
        <f ca="1">ROUND(C75/C39,3)</f>
        <v>0.48099999999999998</v>
      </c>
    </row>
    <row r="81" spans="2:3">
      <c r="B81" s="313" t="s">
        <v>1511</v>
      </c>
      <c r="C81" s="281"/>
    </row>
    <row r="82" spans="2:3">
      <c r="B82" s="316" t="s">
        <v>1512</v>
      </c>
      <c r="C82" s="318">
        <f ca="1">1-C83</f>
        <v>-0.1319999999999999</v>
      </c>
    </row>
    <row r="83" spans="2:3">
      <c r="B83" s="316" t="s">
        <v>1513</v>
      </c>
      <c r="C83" s="317">
        <f ca="1">ROUND(C13/C40,3)</f>
        <v>1.1319999999999999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178" t="s">
        <v>1403</v>
      </c>
      <c r="C6" s="1293">
        <f ca="1">ROUND(F6*F8*F7*(1-F9),0)</f>
        <v>0</v>
      </c>
      <c r="D6" s="163" t="s">
        <v>3024</v>
      </c>
      <c r="E6" s="346" t="s">
        <v>1405</v>
      </c>
      <c r="F6" s="347">
        <f ca="1">INDIRECT("'数据-取费表'!u"&amp;$G$1)</f>
        <v>0</v>
      </c>
      <c r="G6" s="1848"/>
      <c r="H6" s="1288" t="s">
        <v>1035</v>
      </c>
      <c r="I6" s="3178" t="s">
        <v>1403</v>
      </c>
      <c r="J6" s="345">
        <f ca="1">ROUND(M6*M8*M7*(1-M9),0)</f>
        <v>0</v>
      </c>
      <c r="K6" s="1831" t="s">
        <v>3025</v>
      </c>
      <c r="L6" s="346" t="s">
        <v>1405</v>
      </c>
      <c r="M6" s="347">
        <f ca="1">INDIRECT("'数据-取费表'!z"&amp;$G$1)</f>
        <v>0</v>
      </c>
    </row>
    <row r="7" spans="1:37" ht="18" customHeight="1">
      <c r="A7" s="1292"/>
      <c r="B7" s="3179"/>
      <c r="C7" s="1294"/>
      <c r="D7" s="351"/>
      <c r="E7" s="1295" t="s">
        <v>1406</v>
      </c>
      <c r="F7" s="347">
        <f ca="1">IF(INDIRECT("'数据-取费表'!ah"&amp;$G$1)="",INDIRECT("'数据-取费表'!k"&amp;$G$1),INDIRECT("'数据-取费表'!ah"&amp;$G$1))</f>
        <v>0</v>
      </c>
      <c r="G7" s="1848"/>
      <c r="H7" s="348"/>
      <c r="I7" s="3179"/>
      <c r="J7" s="350"/>
      <c r="K7" s="351"/>
      <c r="L7" s="346" t="s">
        <v>1406</v>
      </c>
      <c r="M7" s="347">
        <f ca="1">F7</f>
        <v>0</v>
      </c>
    </row>
    <row r="8" spans="1:37" ht="18" customHeight="1">
      <c r="A8" s="348"/>
      <c r="B8" s="3179"/>
      <c r="C8" s="350"/>
      <c r="D8" s="351"/>
      <c r="E8" s="346" t="s">
        <v>1407</v>
      </c>
      <c r="F8" s="347">
        <f ca="1">INDIRECT("'数据-取费表'!ai"&amp;$G$1)</f>
        <v>0</v>
      </c>
      <c r="G8" s="1848"/>
      <c r="H8" s="348"/>
      <c r="I8" s="3179"/>
      <c r="J8" s="350"/>
      <c r="K8" s="351"/>
      <c r="L8" s="346" t="s">
        <v>1407</v>
      </c>
      <c r="M8" s="347">
        <f ca="1">INDIRECT("'数据-取费表'!ai"&amp;$G$1)</f>
        <v>0</v>
      </c>
    </row>
    <row r="9" spans="1:37" ht="18" customHeight="1">
      <c r="A9" s="348"/>
      <c r="B9" s="3180"/>
      <c r="C9" s="350"/>
      <c r="D9" s="351"/>
      <c r="E9" s="346" t="s">
        <v>1408</v>
      </c>
      <c r="F9" s="356">
        <f ca="1">INDIRECT("'数据-取费表'!w"&amp;$G$1)</f>
        <v>0</v>
      </c>
      <c r="G9" s="1848"/>
      <c r="H9" s="348"/>
      <c r="I9" s="3180"/>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3035</v>
      </c>
      <c r="E10" s="357" t="s">
        <v>1410</v>
      </c>
      <c r="F10" s="1363"/>
      <c r="G10" s="1848"/>
      <c r="H10" s="1288" t="s">
        <v>1039</v>
      </c>
      <c r="I10" s="1820" t="s">
        <v>1409</v>
      </c>
      <c r="J10" s="345">
        <f ca="1">ROUND(IF(M10="押一",J6/12*M11,IF(M10="押二",J6/12*2*M11,IF(M10="押三",J6/12*3*M11,J11*M11))),0)</f>
        <v>0</v>
      </c>
      <c r="K10" s="1832" t="s">
        <v>3037</v>
      </c>
      <c r="L10" s="357" t="s">
        <v>1410</v>
      </c>
      <c r="M10" s="1363"/>
    </row>
    <row r="11" spans="1:37" ht="18" customHeight="1">
      <c r="A11" s="352"/>
      <c r="B11" s="1822" t="s">
        <v>1601</v>
      </c>
      <c r="C11" s="1177"/>
      <c r="D11" s="351"/>
      <c r="E11" s="357" t="s">
        <v>1411</v>
      </c>
      <c r="F11" s="358">
        <f ca="1">'数据-取费表'!B39</f>
        <v>1.4999999999999999E-2</v>
      </c>
      <c r="G11" s="1848"/>
      <c r="H11" s="1296"/>
      <c r="I11" s="1822" t="s">
        <v>1602</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8"/>
      <c r="H13" s="1326">
        <v>2</v>
      </c>
      <c r="I13" s="1327" t="s">
        <v>1413</v>
      </c>
      <c r="J13" s="1287">
        <f ca="1">ROUND(J14*J15,0)</f>
        <v>0</v>
      </c>
      <c r="K13" s="1334" t="s">
        <v>1414</v>
      </c>
      <c r="L13" s="1849"/>
      <c r="M13" s="1850"/>
    </row>
    <row r="14" spans="1:37" ht="18" customHeight="1">
      <c r="A14" s="1200" t="s">
        <v>1034</v>
      </c>
      <c r="B14" s="346" t="s">
        <v>1416</v>
      </c>
      <c r="C14" s="362">
        <f ca="1">ROUND(INDIRECT("'数据-取费表'!l"&amp;$G$1)*F43+'数据-取费表'!L14*INDIRECT("'数据-取费表'!S"&amp;$G$1),0)</f>
        <v>0</v>
      </c>
      <c r="D14" s="1797" t="s">
        <v>1417</v>
      </c>
      <c r="E14" s="1791"/>
      <c r="F14" s="363"/>
      <c r="G14" s="1848"/>
      <c r="H14" s="1200" t="s">
        <v>1035</v>
      </c>
      <c r="I14" s="346" t="s">
        <v>1418</v>
      </c>
      <c r="J14" s="23">
        <f ca="1">C29</f>
        <v>0</v>
      </c>
      <c r="K14" s="14"/>
      <c r="L14" s="978"/>
      <c r="M14" s="979"/>
    </row>
    <row r="15" spans="1:37" s="1855" customFormat="1" ht="18" customHeight="1" thickBot="1">
      <c r="A15" s="1200" t="s">
        <v>1036</v>
      </c>
      <c r="B15" s="346" t="s">
        <v>1419</v>
      </c>
      <c r="C15" s="23">
        <f ca="1">ROUND(C14*F15,0)</f>
        <v>0</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ROUND(INDIRECT("'数据-取费表'!l"&amp;$G$1)*F43*F16,0)</f>
        <v>0</v>
      </c>
      <c r="D16" s="346" t="s">
        <v>1420</v>
      </c>
      <c r="E16" s="346" t="s">
        <v>1421</v>
      </c>
      <c r="F16" s="366">
        <f ca="1">IF(INDIRECT("'数据-取费表'!c"&amp;$G$1)="住宅",'数据-取费表'!B34,0)</f>
        <v>0</v>
      </c>
      <c r="G16" s="1848"/>
      <c r="H16" s="1326" t="s">
        <v>1030</v>
      </c>
      <c r="I16" s="1327" t="s">
        <v>1423</v>
      </c>
      <c r="J16" s="354">
        <f ca="1">ROUND(J17+J22+J23+J24,0)</f>
        <v>0</v>
      </c>
      <c r="K16" s="1334" t="s">
        <v>1424</v>
      </c>
      <c r="L16" s="1335"/>
      <c r="M16" s="1291"/>
    </row>
    <row r="17" spans="1:37" s="1855" customFormat="1" ht="18" customHeight="1">
      <c r="A17" s="1200" t="s">
        <v>1390</v>
      </c>
      <c r="B17" s="346" t="s">
        <v>1425</v>
      </c>
      <c r="C17" s="23">
        <f ca="1">ROUND(F17*(F43+INDIRECT("'数据-取费表'!S"&amp;$G$1)),0)</f>
        <v>0</v>
      </c>
      <c r="D17" s="346" t="s">
        <v>1426</v>
      </c>
      <c r="E17" s="346" t="s">
        <v>1427</v>
      </c>
      <c r="F17" s="25">
        <f>'数据-取费表'!B35</f>
        <v>200</v>
      </c>
      <c r="G17" s="1851"/>
      <c r="H17" s="1200" t="s">
        <v>1035</v>
      </c>
      <c r="I17" s="346" t="s">
        <v>1428</v>
      </c>
      <c r="J17" s="23">
        <f ca="1">ROUND(IF(项目基本情况!B11="自然人",J5*M17,J18+J19+J20),0)</f>
        <v>0</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0</v>
      </c>
      <c r="D18" s="346" t="s">
        <v>1420</v>
      </c>
      <c r="E18" s="346" t="s">
        <v>1421</v>
      </c>
      <c r="F18" s="366">
        <f>'数据-取费表'!B36</f>
        <v>1.4999999999999999E-2</v>
      </c>
      <c r="G18" s="1851"/>
      <c r="H18" s="1200" t="s">
        <v>1034</v>
      </c>
      <c r="I18" s="346" t="s">
        <v>1432</v>
      </c>
      <c r="J18" s="23">
        <f ca="1">ROUND(J5*M18/(1+'数据-取费表'!C42),0)</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0</v>
      </c>
      <c r="D19" s="139" t="s">
        <v>1435</v>
      </c>
      <c r="E19" s="1815"/>
      <c r="F19" s="25"/>
      <c r="G19" s="1848"/>
      <c r="H19" s="1200" t="s">
        <v>1036</v>
      </c>
      <c r="I19" s="346" t="s">
        <v>1436</v>
      </c>
      <c r="J19" s="23">
        <f ca="1">IF(K19="按租金收入计税",ROUND(J5*M19,0),ROUND(C29*M19*0.7,0))</f>
        <v>0</v>
      </c>
      <c r="K19" s="1825" t="s">
        <v>1437</v>
      </c>
      <c r="L19" s="346" t="s">
        <v>1421</v>
      </c>
      <c r="M19" s="366">
        <f>IF(K19="按租金收入计税",'数据-取费表'!B51,'数据-取费表'!B50)</f>
        <v>1.2E-2</v>
      </c>
    </row>
    <row r="20" spans="1:37" s="1855" customFormat="1" ht="18" customHeight="1">
      <c r="A20" s="1200" t="s">
        <v>1039</v>
      </c>
      <c r="B20" s="346" t="s">
        <v>1438</v>
      </c>
      <c r="C20" s="23">
        <f ca="1">ROUND(C19*F20,0)</f>
        <v>0</v>
      </c>
      <c r="D20" s="368" t="s">
        <v>1439</v>
      </c>
      <c r="E20" s="346" t="s">
        <v>1421</v>
      </c>
      <c r="F20" s="366">
        <f>'数据-取费表'!B37</f>
        <v>1.4999999999999999E-2</v>
      </c>
      <c r="G20" s="1851"/>
      <c r="H20" s="1200" t="s">
        <v>1389</v>
      </c>
      <c r="I20" s="163" t="s">
        <v>1440</v>
      </c>
      <c r="J20" s="24">
        <f ca="1">ROUND(M20*M21,0)</f>
        <v>0</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v>
      </c>
      <c r="D21" s="368" t="s">
        <v>1444</v>
      </c>
      <c r="E21" s="346" t="s">
        <v>1445</v>
      </c>
      <c r="F21" s="366">
        <f>'数据-取费表'!B38</f>
        <v>1.4999999999999999E-2</v>
      </c>
      <c r="G21" s="1851"/>
      <c r="H21" s="371"/>
      <c r="I21" s="355"/>
      <c r="J21" s="28"/>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ROUND(J14*M22,0)</f>
        <v>0</v>
      </c>
      <c r="K22" s="1795" t="s">
        <v>1449</v>
      </c>
      <c r="L22" s="346" t="s">
        <v>1421</v>
      </c>
      <c r="M22" s="373">
        <f ca="1">INDIRECT("'数据-取费表'!Ak"&amp;$G$1)</f>
        <v>0</v>
      </c>
    </row>
    <row r="23" spans="1:37" s="1855" customFormat="1" ht="18" customHeight="1">
      <c r="A23" s="1200" t="s">
        <v>1034</v>
      </c>
      <c r="B23" s="346" t="s">
        <v>1450</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ROUND(J13*M23,0)</f>
        <v>0</v>
      </c>
      <c r="K23" s="1795" t="s">
        <v>1453</v>
      </c>
      <c r="L23" s="346" t="s">
        <v>1454</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ROUND(J5*M24,0)</f>
        <v>0</v>
      </c>
      <c r="K24" s="1339" t="s">
        <v>1458</v>
      </c>
      <c r="L24" s="1337" t="s">
        <v>1454</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1459</v>
      </c>
      <c r="B25" s="346" t="s">
        <v>1460</v>
      </c>
      <c r="C25" s="23"/>
      <c r="D25" s="139" t="s">
        <v>1461</v>
      </c>
      <c r="E25" s="1815"/>
      <c r="F25" s="25"/>
      <c r="G25" s="1848"/>
      <c r="H25" s="1326" t="s">
        <v>1031</v>
      </c>
      <c r="I25" s="1341" t="s">
        <v>1462</v>
      </c>
      <c r="J25" s="354">
        <f ca="1">J5-J16</f>
        <v>0</v>
      </c>
      <c r="K25" s="1342" t="s">
        <v>1463</v>
      </c>
      <c r="L25" s="1343"/>
      <c r="M25" s="1344"/>
    </row>
    <row r="26" spans="1:37" ht="18" customHeight="1">
      <c r="A26" s="1200" t="s">
        <v>1034</v>
      </c>
      <c r="B26" s="346" t="s">
        <v>1464</v>
      </c>
      <c r="C26" s="23">
        <f ca="1">ROUND((C19+C20)*F26,0)</f>
        <v>0</v>
      </c>
      <c r="D26" s="368" t="s">
        <v>1465</v>
      </c>
      <c r="E26" s="357" t="s">
        <v>1466</v>
      </c>
      <c r="F26" s="356">
        <f ca="1">INDIRECT("'数据-取费表'!q"&amp;$G$1)</f>
        <v>0</v>
      </c>
      <c r="G26" s="1848"/>
      <c r="H26" s="343" t="s">
        <v>1032</v>
      </c>
      <c r="I26" s="344" t="s">
        <v>1467</v>
      </c>
      <c r="J26" s="345">
        <f ca="1">IF(J5&lt;&gt;0,ROUND(J25*(1-((1+M28)/(1+M26))^M27)/(M26-M28),0),0)</f>
        <v>0</v>
      </c>
      <c r="K26" s="369" t="s">
        <v>1468</v>
      </c>
      <c r="L26" s="346" t="s">
        <v>1469</v>
      </c>
      <c r="M26" s="356">
        <f ca="1">INDIRECT("'数据-取费表'!I"&amp;$G$1)</f>
        <v>0</v>
      </c>
    </row>
    <row r="27" spans="1:37" ht="18" customHeight="1">
      <c r="A27" s="1200" t="s">
        <v>1036</v>
      </c>
      <c r="B27" s="346" t="s">
        <v>1470</v>
      </c>
      <c r="C27" s="23">
        <f ca="1">ROUND(F21*F26,4)</f>
        <v>0</v>
      </c>
      <c r="D27" s="368" t="s">
        <v>1471</v>
      </c>
      <c r="E27" s="364"/>
      <c r="F27" s="365"/>
      <c r="G27" s="1848"/>
      <c r="H27" s="348"/>
      <c r="I27" s="349"/>
      <c r="J27" s="350"/>
      <c r="K27" s="377" t="s">
        <v>1472</v>
      </c>
      <c r="L27" s="346" t="s">
        <v>1473</v>
      </c>
      <c r="M27" s="378">
        <f ca="1">INDIRECT("'数据-取费表'!ag"&amp;$G$1)</f>
        <v>0</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0</v>
      </c>
      <c r="D29" s="1339"/>
      <c r="E29" s="1337"/>
      <c r="F29" s="1340"/>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0</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ROUND(IF(项目基本情况!B11="自然人",C5*F31,C32+C33+C34),0)</f>
        <v>0</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IF(项目基本情况!B11="自然人","——",ROUND(C5*F32/(1+'数据-取费表'!C42),0))</f>
        <v>0</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IF(项目基本情况!B11="自然人","——",IF(D33="按租金收入计税",ROUND(C5*F33,0),IF(D33="按房产原值计税",ROUND(C29*F33*0.7,0),INDIRECT("'数据-取费表'!Aj"&amp;$G$1))))</f>
        <v>0</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1389</v>
      </c>
      <c r="B34" s="163" t="s">
        <v>1440</v>
      </c>
      <c r="C34" s="24">
        <f ca="1">IF(项目基本情况!B11="自然人","——",ROUND(F34*F35,))</f>
        <v>0</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0</v>
      </c>
      <c r="G35" s="1848"/>
      <c r="H35" s="741"/>
      <c r="I35" s="1857"/>
      <c r="J35" s="1858"/>
      <c r="K35" s="1859"/>
      <c r="L35" s="1856"/>
      <c r="M35" s="1856"/>
    </row>
    <row r="36" spans="1:18" ht="18" customHeight="1">
      <c r="A36" s="1349" t="s">
        <v>1039</v>
      </c>
      <c r="B36" s="346" t="s">
        <v>1448</v>
      </c>
      <c r="C36" s="23">
        <f ca="1">ROUND(C29*F36,0)</f>
        <v>0</v>
      </c>
      <c r="D36" s="1795" t="s">
        <v>1481</v>
      </c>
      <c r="E36" s="346" t="s">
        <v>1421</v>
      </c>
      <c r="F36" s="373">
        <f ca="1">INDIRECT("'数据-取费表'!Ak"&amp;$G$1)</f>
        <v>0</v>
      </c>
      <c r="G36" s="1848"/>
      <c r="H36" s="1856"/>
      <c r="I36" s="1857"/>
      <c r="J36" s="1858"/>
      <c r="K36" s="747"/>
      <c r="L36" s="1856"/>
      <c r="M36" s="1856"/>
    </row>
    <row r="37" spans="1:18" ht="18" customHeight="1">
      <c r="A37" s="1200" t="s">
        <v>1075</v>
      </c>
      <c r="B37" s="346" t="s">
        <v>1452</v>
      </c>
      <c r="C37" s="23">
        <f ca="1">ROUND(C13*F37,0)</f>
        <v>0</v>
      </c>
      <c r="D37" s="1795" t="s">
        <v>1453</v>
      </c>
      <c r="E37" s="346" t="s">
        <v>1454</v>
      </c>
      <c r="F37" s="375">
        <f ca="1">INDIRECT("'数据-取费表'!Al"&amp;$G$1)</f>
        <v>0</v>
      </c>
      <c r="G37" s="1848"/>
      <c r="H37" s="1856"/>
      <c r="I37" s="1857"/>
      <c r="J37" s="1858"/>
      <c r="K37" s="747"/>
      <c r="L37" s="1856"/>
      <c r="M37" s="1856"/>
    </row>
    <row r="38" spans="1:18" ht="18" customHeight="1" thickBot="1">
      <c r="A38" s="1336" t="s">
        <v>1393</v>
      </c>
      <c r="B38" s="1337" t="s">
        <v>1438</v>
      </c>
      <c r="C38" s="1338">
        <f ca="1">ROUND(C5*F38,1)</f>
        <v>0</v>
      </c>
      <c r="D38" s="1339" t="s">
        <v>1458</v>
      </c>
      <c r="E38" s="1337" t="s">
        <v>1454</v>
      </c>
      <c r="F38" s="1333">
        <f ca="1">INDIRECT("'数据-取费表'!Am"&amp;$G$1)</f>
        <v>0</v>
      </c>
      <c r="G38" s="1848"/>
      <c r="H38" s="1856"/>
      <c r="I38" s="1857"/>
      <c r="J38" s="1858"/>
      <c r="K38" s="1862"/>
      <c r="L38" s="1856"/>
      <c r="M38" s="1856"/>
    </row>
    <row r="39" spans="1:18" ht="24.6" customHeight="1" thickTop="1">
      <c r="A39" s="1326" t="s">
        <v>1031</v>
      </c>
      <c r="B39" s="1341" t="s">
        <v>1482</v>
      </c>
      <c r="C39" s="354">
        <f ca="1">C5-C30</f>
        <v>0</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#DIV/0!</v>
      </c>
      <c r="D40" s="369" t="s">
        <v>1468</v>
      </c>
      <c r="E40" s="346" t="s">
        <v>1469</v>
      </c>
      <c r="F40" s="356">
        <f ca="1">INDIRECT("'数据-取费表'!I"&amp;$G$1)</f>
        <v>0</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t="e">
        <f ca="1">ROUND(C40/F43,0)</f>
        <v>#DIV/0!</v>
      </c>
      <c r="D43" s="382" t="s">
        <v>1487</v>
      </c>
      <c r="E43" s="383" t="s">
        <v>1488</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1518</v>
      </c>
      <c r="P45" s="1836"/>
      <c r="Q45" s="1836"/>
      <c r="R45" s="1836"/>
    </row>
    <row r="46" spans="1:18" s="1839" customFormat="1" ht="13.5" thickBot="1">
      <c r="A46" s="1867" t="s">
        <v>1519</v>
      </c>
      <c r="C46" s="1868" t="e">
        <f ca="1">ROUND(C45/10000,0)</f>
        <v>#DIV/0!</v>
      </c>
      <c r="D46" s="1869" t="str">
        <f>C2</f>
        <v>万元</v>
      </c>
      <c r="I46" s="1870" t="s">
        <v>1520</v>
      </c>
      <c r="J46" s="1871"/>
      <c r="K46" s="1872"/>
      <c r="L46" s="1873" t="e">
        <f ca="1">IF(M47="住宅",0,IF(L48&gt;J51,L60,J60))</f>
        <v>#DIV/0!</v>
      </c>
      <c r="O46" s="1874" t="s">
        <v>1521</v>
      </c>
      <c r="P46" s="1875" t="s">
        <v>1522</v>
      </c>
      <c r="Q46" s="1876" t="s">
        <v>1523</v>
      </c>
      <c r="R46" s="1876" t="s">
        <v>1524</v>
      </c>
    </row>
    <row r="47" spans="1:18" s="1839" customFormat="1" ht="13.5" thickBot="1">
      <c r="A47" s="1164" t="s">
        <v>1396</v>
      </c>
      <c r="B47" s="1196" t="s">
        <v>1397</v>
      </c>
      <c r="C47" s="1196" t="s">
        <v>1398</v>
      </c>
      <c r="D47" s="1196" t="s">
        <v>1399</v>
      </c>
      <c r="E47" s="1276" t="s">
        <v>1400</v>
      </c>
      <c r="F47" s="1277"/>
      <c r="G47" s="788"/>
      <c r="I47" s="1877" t="s">
        <v>1525</v>
      </c>
      <c r="J47" s="1878"/>
      <c r="K47" s="1879" t="s">
        <v>1526</v>
      </c>
      <c r="L47" s="1880">
        <f ca="1">INDIRECT("'数据-取费表'!d"&amp;$G$1)</f>
        <v>0</v>
      </c>
      <c r="M47" s="1835" t="str">
        <f>IF(ISNUMBER(FIND("住宅",C1)),"住宅","非住宅")</f>
        <v>非住宅</v>
      </c>
      <c r="O47" s="1881" t="s">
        <v>1040</v>
      </c>
      <c r="P47" s="1882" t="s">
        <v>1527</v>
      </c>
      <c r="Q47" s="1883" t="e">
        <f ca="1">C40+J29</f>
        <v>#DIV/0!</v>
      </c>
      <c r="R47" s="1883" t="s">
        <v>1528</v>
      </c>
    </row>
    <row r="48" spans="1:18" s="1839" customFormat="1" ht="28.5" thickBot="1">
      <c r="A48" s="1357" t="s">
        <v>1135</v>
      </c>
      <c r="B48" s="344" t="s">
        <v>1401</v>
      </c>
      <c r="C48" s="1814">
        <f ca="1">C49+C53+C55</f>
        <v>0</v>
      </c>
      <c r="D48" s="1359"/>
      <c r="E48" s="1360"/>
      <c r="F48" s="1180"/>
      <c r="G48" s="788"/>
      <c r="H48" s="789"/>
      <c r="I48" s="1884" t="s">
        <v>1529</v>
      </c>
      <c r="J48" s="1885"/>
      <c r="K48" s="1886" t="s">
        <v>1530</v>
      </c>
      <c r="L48" s="1887">
        <f ca="1">INDIRECT("'数据-取费表'!f"&amp;$G$1)</f>
        <v>0</v>
      </c>
      <c r="O48" s="1881" t="s">
        <v>1041</v>
      </c>
      <c r="P48" s="1882" t="s">
        <v>1531</v>
      </c>
      <c r="Q48" s="1883" t="e">
        <f ca="1">J60</f>
        <v>#DIV/0!</v>
      </c>
      <c r="R48" s="1883" t="s">
        <v>1532</v>
      </c>
    </row>
    <row r="49" spans="1:18" s="1839" customFormat="1" ht="13.5" thickBot="1">
      <c r="A49" s="1193" t="s">
        <v>1136</v>
      </c>
      <c r="B49" s="1826" t="s">
        <v>1489</v>
      </c>
      <c r="C49" s="1361">
        <f ca="1">ROUND(F49*F51*F50*(1-F52),0)</f>
        <v>0</v>
      </c>
      <c r="D49" s="1273" t="s">
        <v>1404</v>
      </c>
      <c r="E49" s="1827" t="s">
        <v>1490</v>
      </c>
      <c r="F49" s="1278"/>
      <c r="G49" s="1888"/>
      <c r="H49" s="789"/>
      <c r="I49" s="1884" t="s">
        <v>1533</v>
      </c>
      <c r="J49" s="1889"/>
      <c r="K49" s="1886" t="s">
        <v>1534</v>
      </c>
      <c r="L49" s="1890"/>
      <c r="O49" s="1891" t="s">
        <v>1042</v>
      </c>
      <c r="P49" s="1882" t="s">
        <v>1535</v>
      </c>
      <c r="Q49" s="1883">
        <f ca="1">C29</f>
        <v>0</v>
      </c>
      <c r="R49" s="1883" t="s">
        <v>1528</v>
      </c>
    </row>
    <row r="50" spans="1:18" s="1839" customFormat="1" ht="13.5" thickBot="1">
      <c r="A50" s="1194"/>
      <c r="B50" s="1197"/>
      <c r="C50" s="1198"/>
      <c r="D50" s="1171"/>
      <c r="E50" s="1274" t="s">
        <v>1406</v>
      </c>
      <c r="F50" s="1275">
        <f ca="1">F7</f>
        <v>0</v>
      </c>
      <c r="H50" s="789"/>
      <c r="I50" s="1884" t="s">
        <v>1536</v>
      </c>
      <c r="J50" s="1892">
        <f>SUMPRODUCT((I63:I65=J47)*(J62:L62=J48)*(J63:L65))</f>
        <v>0</v>
      </c>
      <c r="K50" s="1886" t="s">
        <v>1537</v>
      </c>
      <c r="L50" s="1890"/>
      <c r="M50" s="1893"/>
      <c r="O50" s="1891" t="s">
        <v>1043</v>
      </c>
      <c r="P50" s="1882" t="s">
        <v>1538</v>
      </c>
      <c r="Q50" s="1894" t="e">
        <f ca="1">J58</f>
        <v>#DIV/0!</v>
      </c>
      <c r="R50" s="1883"/>
    </row>
    <row r="51" spans="1:18" s="1839" customFormat="1" ht="13.5" thickBot="1">
      <c r="A51" s="1195"/>
      <c r="B51" s="1197"/>
      <c r="C51" s="1198"/>
      <c r="D51" s="1171"/>
      <c r="E51" s="1199" t="s">
        <v>1407</v>
      </c>
      <c r="F51" s="347">
        <f ca="1">F8</f>
        <v>0</v>
      </c>
      <c r="I51" s="1895" t="s">
        <v>1539</v>
      </c>
      <c r="J51" s="1896">
        <f>IF(J49="",J50,J49+J50-YEAR('数据-取费表'!B2))</f>
        <v>0</v>
      </c>
      <c r="K51" s="1897" t="s">
        <v>1540</v>
      </c>
      <c r="L51" s="1898">
        <f ca="1">ROUND(-PV(INDIRECT("'数据-取费表'!h"&amp;$G$1),L48,(C39-C13*C76),0),0)</f>
        <v>0</v>
      </c>
      <c r="M51" s="1899"/>
      <c r="O51" s="1891" t="s">
        <v>1044</v>
      </c>
      <c r="P51" s="1882" t="s">
        <v>1541</v>
      </c>
      <c r="Q51" s="1894">
        <f>J52</f>
        <v>0</v>
      </c>
      <c r="R51" s="1883"/>
    </row>
    <row r="52" spans="1:18" s="1839" customFormat="1" ht="13.5" thickBot="1">
      <c r="A52" s="1195"/>
      <c r="B52" s="1197"/>
      <c r="C52" s="1198"/>
      <c r="D52" s="1171"/>
      <c r="E52" s="1199" t="s">
        <v>1408</v>
      </c>
      <c r="F52" s="1272"/>
      <c r="I52" s="1900" t="s">
        <v>1542</v>
      </c>
      <c r="J52" s="1901"/>
      <c r="K52" s="1900" t="s">
        <v>1543</v>
      </c>
      <c r="L52" s="1901"/>
      <c r="O52" s="1891" t="s">
        <v>1045</v>
      </c>
      <c r="P52" s="1882" t="s">
        <v>1544</v>
      </c>
      <c r="Q52" s="1883" t="b">
        <f>J53</f>
        <v>0</v>
      </c>
      <c r="R52" s="1883" t="s">
        <v>1545</v>
      </c>
    </row>
    <row r="53" spans="1:18" s="1839" customFormat="1" ht="30.75" customHeight="1" thickBot="1">
      <c r="A53" s="1358" t="s">
        <v>1137</v>
      </c>
      <c r="B53" s="368" t="s">
        <v>1409</v>
      </c>
      <c r="C53" s="360">
        <f ca="1">ROUND(IF(F53="押一",C49/12*F11,IF(F53="押二",C49/12*2*F11,IF(F53="押三",C49/12*3*F11,C54*F11))),0)</f>
        <v>0</v>
      </c>
      <c r="D53" s="1821" t="s">
        <v>3038</v>
      </c>
      <c r="E53" s="357" t="s">
        <v>1410</v>
      </c>
      <c r="F53" s="1363"/>
      <c r="I53" s="1902" t="s">
        <v>1546</v>
      </c>
      <c r="J53" s="1903" t="b">
        <f>IF(M47="住宅",IF(D1="——",MAX(J51,L48),IF(D1="在建（套用方法）",MAX(J51,L48-'数据-取费表'!B24),MAX(J51,L48-'数据-取费表'!B20))),IF(D1="——",MIN(J51,L48),IF(D1="在建（套用方法）",MIN(J51,L48-'数据-取费表'!B24),IF(D1="土地（套用方法）",MIN(J51,L48-'数据-取费表'!B20)))))</f>
        <v>0</v>
      </c>
      <c r="K53" s="3176" t="s">
        <v>1547</v>
      </c>
      <c r="L53" s="3177"/>
      <c r="O53" s="1881" t="s">
        <v>1046</v>
      </c>
      <c r="P53" s="1882" t="s">
        <v>1548</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#DIV/0!</v>
      </c>
      <c r="K55" s="1909" t="s">
        <v>1551</v>
      </c>
      <c r="L55" s="1910"/>
      <c r="O55" s="1874" t="s">
        <v>1521</v>
      </c>
      <c r="P55" s="1875" t="s">
        <v>1522</v>
      </c>
      <c r="Q55" s="1876" t="s">
        <v>1523</v>
      </c>
      <c r="R55" s="1876" t="s">
        <v>1524</v>
      </c>
    </row>
    <row r="56" spans="1:18" s="1839" customFormat="1" ht="36" customHeight="1" thickTop="1" thickBot="1">
      <c r="A56" s="1175">
        <v>2</v>
      </c>
      <c r="B56" s="1176" t="s">
        <v>1413</v>
      </c>
      <c r="C56" s="275">
        <f ca="1">C13</f>
        <v>0</v>
      </c>
      <c r="D56" s="1911"/>
      <c r="E56" s="1912"/>
      <c r="F56" s="1904"/>
      <c r="I56" s="1913" t="s">
        <v>1553</v>
      </c>
      <c r="J56" s="1914"/>
      <c r="K56" s="1884" t="s">
        <v>1554</v>
      </c>
      <c r="L56" s="1887">
        <f ca="1">IF(L48&lt;J51,"——",L48-J51)</f>
        <v>0</v>
      </c>
      <c r="O56" s="1881" t="s">
        <v>1040</v>
      </c>
      <c r="P56" s="1882" t="s">
        <v>1527</v>
      </c>
      <c r="Q56" s="1883" t="e">
        <f ca="1">C40+J29</f>
        <v>#DIV/0!</v>
      </c>
      <c r="R56" s="1883" t="s">
        <v>1528</v>
      </c>
    </row>
    <row r="57" spans="1:18" s="1839" customFormat="1" ht="24.75" thickBot="1">
      <c r="A57" s="1915"/>
      <c r="B57" s="1168" t="s">
        <v>1477</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1423</v>
      </c>
      <c r="C58" s="360">
        <f ca="1">ROUND(C59+C64+C65+C66,0)</f>
        <v>0</v>
      </c>
      <c r="D58" s="1178" t="s">
        <v>1424</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ROUND(IF(项目基本情况!B11="自然人",C48*F59,C60+C61+C62),0)</f>
        <v>0</v>
      </c>
      <c r="D59" s="1181" t="s">
        <v>1429</v>
      </c>
      <c r="E59" s="1182" t="s">
        <v>1430</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IF(项目基本情况!B11="自然人","——",ROUND(C48*F60/(1+'数据-取费表'!C42),0))</f>
        <v>0</v>
      </c>
      <c r="D60" s="1182" t="s">
        <v>1433</v>
      </c>
      <c r="E60" s="1168" t="s">
        <v>1421</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IF(项目基本情况!B11="自然人","——",IF(D61="按租金收入计税",ROUND(C48*F61,0),IF(D61="按房产原值计税",ROUND(C57*F61*0.7,0),INDIRECT("'数据-取费表'!Aj"&amp;$G$1))))</f>
        <v>0</v>
      </c>
      <c r="D61" s="1825" t="s">
        <v>1437</v>
      </c>
      <c r="E61" s="1168" t="s">
        <v>1493</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1494</v>
      </c>
      <c r="B62" s="1167" t="s">
        <v>1495</v>
      </c>
      <c r="C62" s="24">
        <f ca="1">IF(项目基本情况!B11="自然人","——",ROUND(F62*F63,0))</f>
        <v>0</v>
      </c>
      <c r="D62" s="1183" t="s">
        <v>1496</v>
      </c>
      <c r="E62" s="1168" t="s">
        <v>1497</v>
      </c>
      <c r="F62" s="370">
        <f t="shared" si="0"/>
        <v>30</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1498</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ROUND(C57*F64,0)</f>
        <v>0</v>
      </c>
      <c r="D64" s="1182" t="s">
        <v>1501</v>
      </c>
      <c r="E64" s="1168" t="s">
        <v>1493</v>
      </c>
      <c r="F64" s="373">
        <f t="shared" ca="1" si="0"/>
        <v>0</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ROUND(C56*F65,0)</f>
        <v>0</v>
      </c>
      <c r="D65" s="1182" t="s">
        <v>1453</v>
      </c>
      <c r="E65" s="1168" t="s">
        <v>1454</v>
      </c>
      <c r="F65" s="375">
        <f t="shared" ca="1" si="0"/>
        <v>0</v>
      </c>
      <c r="I65" s="1926" t="s">
        <v>1578</v>
      </c>
      <c r="J65" s="1927">
        <v>40</v>
      </c>
      <c r="K65" s="1927">
        <v>30</v>
      </c>
      <c r="L65" s="1927">
        <v>50</v>
      </c>
      <c r="M65" s="1929">
        <v>0.02</v>
      </c>
      <c r="O65" s="1881" t="s">
        <v>1040</v>
      </c>
      <c r="P65" s="1882" t="s">
        <v>1579</v>
      </c>
      <c r="Q65" s="1883" t="e">
        <f ca="1">C40+J29</f>
        <v>#DIV/0!</v>
      </c>
      <c r="R65" s="1883" t="s">
        <v>1528</v>
      </c>
    </row>
    <row r="66" spans="1:18" s="1839" customFormat="1" ht="16.5" thickBot="1">
      <c r="A66" s="1200" t="s">
        <v>1503</v>
      </c>
      <c r="B66" s="1168" t="s">
        <v>1438</v>
      </c>
      <c r="C66" s="23">
        <f ca="1">ROUND(C48*F66,0)</f>
        <v>0</v>
      </c>
      <c r="D66" s="1182" t="s">
        <v>1504</v>
      </c>
      <c r="E66" s="1168" t="s">
        <v>1421</v>
      </c>
      <c r="F66" s="356">
        <f t="shared" ca="1" si="0"/>
        <v>0</v>
      </c>
      <c r="O66" s="1881" t="s">
        <v>1041</v>
      </c>
      <c r="P66" s="1882" t="s">
        <v>1557</v>
      </c>
      <c r="Q66" s="1883" t="e">
        <f ca="1">L60</f>
        <v>#DIV/0!</v>
      </c>
      <c r="R66" s="1883" t="s">
        <v>1580</v>
      </c>
    </row>
    <row r="67" spans="1:18" s="1839" customFormat="1" ht="16.5" thickBot="1">
      <c r="A67" s="1175" t="s">
        <v>1031</v>
      </c>
      <c r="B67" s="1185" t="s">
        <v>1462</v>
      </c>
      <c r="C67" s="360">
        <f ca="1">C48-C58</f>
        <v>0</v>
      </c>
      <c r="D67" s="1181" t="s">
        <v>1463</v>
      </c>
      <c r="E67" s="1186"/>
      <c r="F67" s="1187"/>
      <c r="O67" s="1891" t="s">
        <v>1042</v>
      </c>
      <c r="P67" s="1882" t="s">
        <v>1561</v>
      </c>
      <c r="Q67" s="1930">
        <f ca="1">L51</f>
        <v>0</v>
      </c>
      <c r="R67" s="1883" t="s">
        <v>1581</v>
      </c>
    </row>
    <row r="68" spans="1:18" s="1839" customFormat="1" ht="16.5" thickBot="1">
      <c r="A68" s="1165" t="s">
        <v>1032</v>
      </c>
      <c r="B68" s="1166" t="s">
        <v>1484</v>
      </c>
      <c r="C68" s="345" t="e">
        <f ca="1">ROUND(C67*(1-((1+F70)/(1+F68))^F69)/(F68-F70),0)</f>
        <v>#DIV/0!</v>
      </c>
      <c r="D68" s="1183" t="s">
        <v>1468</v>
      </c>
      <c r="E68" s="1168" t="s">
        <v>1469</v>
      </c>
      <c r="F68" s="356">
        <f ca="1">F40</f>
        <v>0</v>
      </c>
      <c r="O68" s="1891" t="s">
        <v>1043</v>
      </c>
      <c r="P68" s="1931" t="s">
        <v>1582</v>
      </c>
      <c r="Q68" s="1883">
        <f ca="1">ROUND(Q69-Q70*Q71,0)</f>
        <v>0</v>
      </c>
      <c r="R68" s="1883" t="s">
        <v>1051</v>
      </c>
    </row>
    <row r="69" spans="1:18" s="1839" customFormat="1" ht="13.5" thickBot="1">
      <c r="A69" s="1169"/>
      <c r="B69" s="1170"/>
      <c r="C69" s="350"/>
      <c r="D69" s="1188" t="s">
        <v>1472</v>
      </c>
      <c r="E69" s="1168" t="s">
        <v>1473</v>
      </c>
      <c r="F69" s="378">
        <f ca="1">F41</f>
        <v>0</v>
      </c>
      <c r="O69" s="1891" t="s">
        <v>1048</v>
      </c>
      <c r="P69" s="1931" t="s">
        <v>1583</v>
      </c>
      <c r="Q69" s="1883">
        <f ca="1">C39</f>
        <v>0</v>
      </c>
      <c r="R69" s="1883" t="s">
        <v>1528</v>
      </c>
    </row>
    <row r="70" spans="1:18" s="1839" customFormat="1" ht="13.5" thickBot="1">
      <c r="A70" s="1172"/>
      <c r="B70" s="1173"/>
      <c r="C70" s="354"/>
      <c r="D70" s="1184"/>
      <c r="E70" s="1168" t="s">
        <v>1476</v>
      </c>
      <c r="F70" s="1272">
        <f ca="1">F42</f>
        <v>0</v>
      </c>
      <c r="O70" s="1891" t="s">
        <v>1049</v>
      </c>
      <c r="P70" s="1931" t="s">
        <v>1584</v>
      </c>
      <c r="Q70" s="1883">
        <f ca="1">C13</f>
        <v>0</v>
      </c>
      <c r="R70" s="1883" t="s">
        <v>1528</v>
      </c>
    </row>
    <row r="71" spans="1:18" s="1839" customFormat="1" ht="13.5" thickBot="1">
      <c r="A71" s="1189" t="s">
        <v>1033</v>
      </c>
      <c r="B71" s="1190" t="s">
        <v>1486</v>
      </c>
      <c r="C71" s="381" t="e">
        <f ca="1">ROUND(C68/F71,0)</f>
        <v>#DIV/0!</v>
      </c>
      <c r="D71" s="1191" t="s">
        <v>1487</v>
      </c>
      <c r="E71" s="1192" t="s">
        <v>1488</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t="e">
        <f ca="1">Q65+Q66</f>
        <v>#DIV/0!</v>
      </c>
      <c r="R75" s="1883" t="s">
        <v>1047</v>
      </c>
    </row>
    <row r="76" spans="1:18">
      <c r="B76" s="387" t="s">
        <v>1506</v>
      </c>
      <c r="C76" s="388">
        <f ca="1">INDIRECT("'数据-取费表'!j"&amp;$G$1)</f>
        <v>0</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2520</v>
      </c>
      <c r="B1" s="2556"/>
      <c r="C1" s="2556"/>
      <c r="D1" s="2556"/>
      <c r="E1" s="2557"/>
    </row>
    <row r="2" spans="1:6" ht="15.75">
      <c r="A2" s="2558" t="s">
        <v>2321</v>
      </c>
      <c r="B2" s="2559">
        <f ca="1">SUMIF(B6:B13,"&lt;&gt;#ref!",B6:B13)</f>
        <v>26329</v>
      </c>
      <c r="C2" s="2560" t="s">
        <v>2513</v>
      </c>
      <c r="D2" s="2561" t="s">
        <v>2514</v>
      </c>
      <c r="E2" s="2562">
        <f>SUM(E6:E13)</f>
        <v>7048.35</v>
      </c>
    </row>
    <row r="3" spans="1:6" ht="15.75">
      <c r="A3" s="2558" t="s">
        <v>1395</v>
      </c>
      <c r="B3" s="2559">
        <f ca="1">ROUND(B2*10000/E2,0)</f>
        <v>37355</v>
      </c>
      <c r="C3" s="2560" t="s">
        <v>2521</v>
      </c>
      <c r="D3" s="2563"/>
      <c r="E3" s="2564"/>
    </row>
    <row r="4" spans="1:6" ht="15.75">
      <c r="A4" s="2565"/>
      <c r="B4" s="2563"/>
      <c r="C4" s="2563"/>
      <c r="D4" s="2563"/>
      <c r="E4" s="2564"/>
    </row>
    <row r="5" spans="1:6" ht="15">
      <c r="A5" s="2566" t="s">
        <v>2515</v>
      </c>
      <c r="B5" s="3181" t="s">
        <v>2516</v>
      </c>
      <c r="C5" s="3181"/>
      <c r="D5" s="2567"/>
      <c r="E5" s="2568" t="s">
        <v>2517</v>
      </c>
      <c r="F5" s="2569" t="s">
        <v>2518</v>
      </c>
    </row>
    <row r="6" spans="1:6">
      <c r="A6" s="2570" t="str">
        <f>'数据-取费表'!AN6</f>
        <v>收益法</v>
      </c>
      <c r="B6" s="2569">
        <f ca="1">IF(F6="是",'数据-取费表'!AO6,0)</f>
        <v>26329</v>
      </c>
      <c r="C6" s="2560" t="s">
        <v>2513</v>
      </c>
      <c r="D6" s="2563"/>
      <c r="E6" s="2571">
        <f>IF(OR(A6=0,F6="否"),0,'数据-取费表'!K6+'数据-取费表'!S6)</f>
        <v>7048.35</v>
      </c>
      <c r="F6" s="2572" t="s">
        <v>2519</v>
      </c>
    </row>
    <row r="7" spans="1:6">
      <c r="A7" s="2570">
        <f>'数据-取费表'!AN7</f>
        <v>0</v>
      </c>
      <c r="B7" s="2569" t="e">
        <f ca="1">IF(F7="是",'数据-取费表'!AO7,0)</f>
        <v>#REF!</v>
      </c>
      <c r="C7" s="2560" t="s">
        <v>2513</v>
      </c>
      <c r="D7" s="2563"/>
      <c r="E7" s="2571">
        <f>IF(OR(A7=0,F7="否"),0,'数据-取费表'!K7+'数据-取费表'!S7)</f>
        <v>0</v>
      </c>
      <c r="F7" s="2572" t="s">
        <v>2519</v>
      </c>
    </row>
    <row r="8" spans="1:6">
      <c r="A8" s="2570">
        <f>'数据-取费表'!AN8</f>
        <v>0</v>
      </c>
      <c r="B8" s="2569" t="e">
        <f ca="1">IF(F8="是",'数据-取费表'!AO8,0)</f>
        <v>#REF!</v>
      </c>
      <c r="C8" s="2560" t="s">
        <v>2513</v>
      </c>
      <c r="D8" s="2563"/>
      <c r="E8" s="2571">
        <f>IF(OR(A8=0,F8="否"),0,'数据-取费表'!K8+'数据-取费表'!S8)</f>
        <v>0</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188" t="s">
        <v>1077</v>
      </c>
      <c r="B2" s="3189" t="s">
        <v>1078</v>
      </c>
      <c r="C2" s="3189"/>
      <c r="D2" s="1298" t="s">
        <v>1079</v>
      </c>
      <c r="E2" s="1298" t="s">
        <v>1080</v>
      </c>
      <c r="F2" s="1298" t="s">
        <v>1081</v>
      </c>
      <c r="G2" s="1298" t="s">
        <v>1082</v>
      </c>
      <c r="H2" s="1298" t="s">
        <v>1083</v>
      </c>
      <c r="I2" s="1299" t="s">
        <v>1084</v>
      </c>
    </row>
    <row r="3" spans="1:9">
      <c r="A3" s="3188"/>
      <c r="B3" s="3189" t="s">
        <v>1085</v>
      </c>
      <c r="C3" s="3189"/>
      <c r="D3" s="1300"/>
      <c r="E3" s="1298"/>
      <c r="F3" s="1301"/>
      <c r="G3" s="1301"/>
      <c r="H3" s="1302"/>
      <c r="I3" s="1303">
        <f>ROUND(D3*E3*F3*G3*H3/10000,0)</f>
        <v>0</v>
      </c>
    </row>
    <row r="4" spans="1:9">
      <c r="A4" s="3188"/>
      <c r="B4" s="3189" t="s">
        <v>1086</v>
      </c>
      <c r="C4" s="3189"/>
      <c r="D4" s="1300"/>
      <c r="E4" s="1298"/>
      <c r="F4" s="1301"/>
      <c r="G4" s="1301"/>
      <c r="H4" s="1302"/>
      <c r="I4" s="1303">
        <f t="shared" ref="I4:I9" si="0">ROUND(D4*E4*F4*G4*H4/10000,0)</f>
        <v>0</v>
      </c>
    </row>
    <row r="5" spans="1:9">
      <c r="A5" s="3188"/>
      <c r="B5" s="3189" t="s">
        <v>1087</v>
      </c>
      <c r="C5" s="3189"/>
      <c r="D5" s="1300"/>
      <c r="E5" s="1298"/>
      <c r="F5" s="1301"/>
      <c r="G5" s="1301"/>
      <c r="H5" s="1302"/>
      <c r="I5" s="1303">
        <f t="shared" si="0"/>
        <v>0</v>
      </c>
    </row>
    <row r="6" spans="1:9">
      <c r="A6" s="3188"/>
      <c r="B6" s="3189" t="s">
        <v>1088</v>
      </c>
      <c r="C6" s="3189"/>
      <c r="D6" s="1300"/>
      <c r="E6" s="1298"/>
      <c r="F6" s="1301"/>
      <c r="G6" s="1301"/>
      <c r="H6" s="1302"/>
      <c r="I6" s="1303">
        <f t="shared" si="0"/>
        <v>0</v>
      </c>
    </row>
    <row r="7" spans="1:9">
      <c r="A7" s="3188"/>
      <c r="B7" s="3189" t="s">
        <v>1089</v>
      </c>
      <c r="C7" s="3189"/>
      <c r="D7" s="1300"/>
      <c r="E7" s="1298"/>
      <c r="F7" s="1301"/>
      <c r="G7" s="1301"/>
      <c r="H7" s="1302"/>
      <c r="I7" s="1303">
        <f t="shared" si="0"/>
        <v>0</v>
      </c>
    </row>
    <row r="8" spans="1:9">
      <c r="A8" s="3188"/>
      <c r="B8" s="3189" t="s">
        <v>1090</v>
      </c>
      <c r="C8" s="3189"/>
      <c r="D8" s="1300"/>
      <c r="E8" s="1298"/>
      <c r="F8" s="1301"/>
      <c r="G8" s="1301"/>
      <c r="H8" s="1302"/>
      <c r="I8" s="1303">
        <f t="shared" si="0"/>
        <v>0</v>
      </c>
    </row>
    <row r="9" spans="1:9">
      <c r="A9" s="3188"/>
      <c r="B9" s="3189" t="s">
        <v>1091</v>
      </c>
      <c r="C9" s="3189"/>
      <c r="D9" s="1300"/>
      <c r="E9" s="1298"/>
      <c r="F9" s="1301"/>
      <c r="G9" s="1301"/>
      <c r="H9" s="1302"/>
      <c r="I9" s="1303">
        <f t="shared" si="0"/>
        <v>0</v>
      </c>
    </row>
    <row r="10" spans="1:9">
      <c r="A10" s="3188"/>
      <c r="B10" s="3190" t="s">
        <v>1092</v>
      </c>
      <c r="C10" s="3190"/>
      <c r="D10" s="1304"/>
      <c r="E10" s="1304" t="e">
        <f>ROUND(D1*10000/D10/H9,0)</f>
        <v>#DIV/0!</v>
      </c>
      <c r="F10" s="1305"/>
      <c r="G10" s="1305"/>
      <c r="H10" s="1306"/>
      <c r="I10" s="1307">
        <f>SUM(I3:I9)</f>
        <v>0</v>
      </c>
    </row>
    <row r="11" spans="1:9" ht="14.25">
      <c r="A11" s="3188" t="s">
        <v>1093</v>
      </c>
      <c r="B11" s="3189" t="s">
        <v>1094</v>
      </c>
      <c r="C11" s="3189"/>
      <c r="D11" s="1300" t="s">
        <v>1095</v>
      </c>
      <c r="E11" s="1300" t="s">
        <v>1096</v>
      </c>
      <c r="F11" s="1301" t="s">
        <v>1097</v>
      </c>
      <c r="G11" s="1301" t="s">
        <v>1083</v>
      </c>
      <c r="H11" s="1308" t="s">
        <v>1098</v>
      </c>
      <c r="I11" s="1299" t="s">
        <v>1084</v>
      </c>
    </row>
    <row r="12" spans="1:9">
      <c r="A12" s="3188"/>
      <c r="B12" s="3189" t="s">
        <v>1099</v>
      </c>
      <c r="C12" s="3189"/>
      <c r="D12" s="1300"/>
      <c r="E12" s="1300"/>
      <c r="F12" s="1301"/>
      <c r="G12" s="1302"/>
      <c r="H12" s="1309"/>
      <c r="I12" s="1299">
        <f>ROUND(D12*E12*F12*G12/10000,0)</f>
        <v>0</v>
      </c>
    </row>
    <row r="13" spans="1:9">
      <c r="A13" s="3188"/>
      <c r="B13" s="3189" t="s">
        <v>1100</v>
      </c>
      <c r="C13" s="3189"/>
      <c r="D13" s="1300"/>
      <c r="E13" s="1300"/>
      <c r="F13" s="1301"/>
      <c r="G13" s="1302"/>
      <c r="H13" s="1309"/>
      <c r="I13" s="1299">
        <f>ROUND(D13*E13*F13*G13/10000,0)</f>
        <v>0</v>
      </c>
    </row>
    <row r="14" spans="1:9">
      <c r="A14" s="3188"/>
      <c r="B14" s="3189" t="s">
        <v>1101</v>
      </c>
      <c r="C14" s="3189"/>
      <c r="D14" s="1300"/>
      <c r="E14" s="1300"/>
      <c r="F14" s="1301"/>
      <c r="G14" s="1302"/>
      <c r="H14" s="1309"/>
      <c r="I14" s="1299">
        <f>ROUND(D14*E14*F14*G14/10000,0)</f>
        <v>0</v>
      </c>
    </row>
    <row r="15" spans="1:9">
      <c r="A15" s="3188"/>
      <c r="B15" s="3190" t="s">
        <v>1092</v>
      </c>
      <c r="C15" s="3190"/>
      <c r="D15" s="1304"/>
      <c r="E15" s="1304">
        <f>SUM(E12:E14)</f>
        <v>0</v>
      </c>
      <c r="F15" s="1305"/>
      <c r="G15" s="1302"/>
      <c r="H15" s="1309"/>
      <c r="I15" s="1310">
        <f>SUM(I12:I14)</f>
        <v>0</v>
      </c>
    </row>
    <row r="16" spans="1:9" ht="24">
      <c r="A16" s="3188" t="s">
        <v>1102</v>
      </c>
      <c r="B16" s="3189" t="s">
        <v>1103</v>
      </c>
      <c r="C16" s="3189"/>
      <c r="D16" s="1300" t="s">
        <v>1079</v>
      </c>
      <c r="E16" s="1311" t="s">
        <v>1104</v>
      </c>
      <c r="F16" s="1301" t="s">
        <v>1105</v>
      </c>
      <c r="G16" s="1302" t="s">
        <v>1083</v>
      </c>
      <c r="H16" s="1308" t="s">
        <v>1098</v>
      </c>
      <c r="I16" s="1299" t="s">
        <v>1084</v>
      </c>
    </row>
    <row r="17" spans="1:9" ht="14.25">
      <c r="A17" s="3188"/>
      <c r="B17" s="3189" t="s">
        <v>1106</v>
      </c>
      <c r="C17" s="3189"/>
      <c r="D17" s="1300"/>
      <c r="E17" s="1300"/>
      <c r="F17" s="1301"/>
      <c r="G17" s="1302"/>
      <c r="H17" s="1312"/>
      <c r="I17" s="1313">
        <f>ROUND(D17*E17*F17*G17/10000,0)</f>
        <v>0</v>
      </c>
    </row>
    <row r="18" spans="1:9" ht="14.25">
      <c r="A18" s="3188"/>
      <c r="B18" s="3189" t="s">
        <v>1107</v>
      </c>
      <c r="C18" s="3189"/>
      <c r="D18" s="1300"/>
      <c r="E18" s="1300"/>
      <c r="F18" s="1301"/>
      <c r="G18" s="1302"/>
      <c r="H18" s="1312"/>
      <c r="I18" s="1313">
        <f>ROUND(D18*E18*F18*G18/10000,0)</f>
        <v>0</v>
      </c>
    </row>
    <row r="19" spans="1:9" ht="14.25">
      <c r="A19" s="3188"/>
      <c r="B19" s="3189" t="s">
        <v>1108</v>
      </c>
      <c r="C19" s="3189"/>
      <c r="D19" s="1300"/>
      <c r="E19" s="1300"/>
      <c r="F19" s="1301"/>
      <c r="G19" s="1302"/>
      <c r="H19" s="1312"/>
      <c r="I19" s="1313">
        <f>ROUND(D19*E19*F19*G19/10000,0)</f>
        <v>0</v>
      </c>
    </row>
    <row r="20" spans="1:9">
      <c r="A20" s="3188"/>
      <c r="B20" s="3190" t="s">
        <v>1092</v>
      </c>
      <c r="C20" s="3190"/>
      <c r="D20" s="1304">
        <f>SUM(D17:D19)</f>
        <v>0</v>
      </c>
      <c r="E20" s="1304"/>
      <c r="F20" s="1305"/>
      <c r="G20" s="1302"/>
      <c r="H20" s="1309"/>
      <c r="I20" s="1310">
        <f>SUM(I17:I19)</f>
        <v>0</v>
      </c>
    </row>
    <row r="21" spans="1:9">
      <c r="A21" s="3188" t="s">
        <v>1109</v>
      </c>
      <c r="B21" s="3191"/>
      <c r="C21" s="3191"/>
      <c r="D21" s="3191"/>
      <c r="E21" s="3191"/>
      <c r="F21" s="3191"/>
      <c r="G21" s="3191"/>
      <c r="H21" s="1762">
        <v>0.1</v>
      </c>
      <c r="I21" s="1307">
        <f>ROUND(I10*H21,0)</f>
        <v>0</v>
      </c>
    </row>
    <row r="22" spans="1:9" ht="14.25">
      <c r="A22" s="3192" t="s">
        <v>1110</v>
      </c>
      <c r="B22" s="3193"/>
      <c r="C22" s="3194"/>
      <c r="D22" s="1314" t="s">
        <v>1111</v>
      </c>
      <c r="E22" s="1314" t="s">
        <v>1112</v>
      </c>
      <c r="F22" s="1315" t="s">
        <v>1113</v>
      </c>
      <c r="G22" s="1315" t="s">
        <v>1114</v>
      </c>
      <c r="H22" s="1308" t="s">
        <v>1115</v>
      </c>
      <c r="I22" s="1299" t="s">
        <v>1116</v>
      </c>
    </row>
    <row r="23" spans="1:9" ht="14.25" thickBot="1">
      <c r="A23" s="3195"/>
      <c r="B23" s="3196"/>
      <c r="C23" s="3197"/>
      <c r="D23" s="1316"/>
      <c r="E23" s="1316"/>
      <c r="F23" s="1316"/>
      <c r="G23" s="1317"/>
      <c r="H23" s="1318"/>
      <c r="I23" s="1319">
        <f>ROUND(E23*D23*F23*(1-G23)/10000,0)</f>
        <v>0</v>
      </c>
    </row>
    <row r="26" spans="1:9">
      <c r="A26" s="1320" t="s">
        <v>1117</v>
      </c>
      <c r="B26" s="1320"/>
      <c r="C26" s="1320"/>
      <c r="D26" s="1320"/>
      <c r="E26" s="3185">
        <f>C27-C30-C31-C32</f>
        <v>0</v>
      </c>
      <c r="F26" s="3185"/>
      <c r="G26" s="3185"/>
      <c r="H26" s="1734" t="s">
        <v>1340</v>
      </c>
    </row>
    <row r="27" spans="1:9">
      <c r="A27" s="1321">
        <v>1</v>
      </c>
      <c r="B27" s="1322" t="s">
        <v>1118</v>
      </c>
      <c r="C27" s="1322">
        <f>C28+C29</f>
        <v>0</v>
      </c>
      <c r="D27" s="1322"/>
      <c r="E27" s="3186"/>
      <c r="F27" s="3186"/>
      <c r="G27" s="3186"/>
    </row>
    <row r="28" spans="1:9">
      <c r="A28" s="1323" t="s">
        <v>1119</v>
      </c>
      <c r="B28" s="1322" t="s">
        <v>1120</v>
      </c>
      <c r="C28" s="1322"/>
      <c r="D28" s="1322"/>
      <c r="E28" s="3186"/>
      <c r="F28" s="3186"/>
      <c r="G28" s="3186"/>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87"/>
      <c r="F32" s="3187"/>
      <c r="G32" s="3187"/>
    </row>
    <row r="33" spans="1:7" hidden="1">
      <c r="A33" s="3182" t="s">
        <v>1129</v>
      </c>
      <c r="B33" s="3183"/>
      <c r="C33" s="3183"/>
      <c r="D33" s="3184"/>
      <c r="E33" s="3185"/>
      <c r="F33" s="3185"/>
      <c r="G33" s="3185"/>
    </row>
    <row r="34" spans="1:7" hidden="1">
      <c r="A34" s="1325">
        <v>1</v>
      </c>
      <c r="B34" s="1322" t="s">
        <v>1130</v>
      </c>
      <c r="C34" s="1322"/>
      <c r="D34" s="1322"/>
      <c r="E34" s="3186"/>
      <c r="F34" s="3186"/>
      <c r="G34" s="3186"/>
    </row>
    <row r="35" spans="1:7" hidden="1">
      <c r="A35" s="1325">
        <v>2</v>
      </c>
      <c r="B35" s="1322" t="s">
        <v>1131</v>
      </c>
      <c r="C35" s="1322"/>
      <c r="D35" s="1322"/>
      <c r="E35" s="3186"/>
      <c r="F35" s="3186"/>
      <c r="G35" s="3186"/>
    </row>
    <row r="36" spans="1:7" hidden="1">
      <c r="A36" s="1325">
        <v>3</v>
      </c>
      <c r="B36" s="1322" t="s">
        <v>1132</v>
      </c>
      <c r="C36" s="1322"/>
      <c r="D36" s="1322"/>
      <c r="E36" s="3186"/>
      <c r="F36" s="3186"/>
      <c r="G36" s="3186"/>
    </row>
    <row r="37" spans="1:7" hidden="1">
      <c r="A37" s="1325">
        <v>4</v>
      </c>
      <c r="B37" s="1322" t="s">
        <v>1133</v>
      </c>
      <c r="C37" s="1322"/>
      <c r="D37" s="1322"/>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2523</v>
      </c>
      <c r="C1" s="1631" t="s">
        <v>2524</v>
      </c>
      <c r="D1" s="1618"/>
      <c r="E1" s="2577"/>
      <c r="F1" s="2578" t="s">
        <v>2525</v>
      </c>
      <c r="G1" s="1628" t="s">
        <v>2526</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0"/>
      <c r="D2" s="1362" t="e">
        <f ca="1">SUMIF(INDIRECT("'"&amp;F2&amp;"'"&amp;"!A:A"),"承租人权益价值",INDIRECT("'"&amp;F2&amp;"'"&amp;"!c:c"))</f>
        <v>#REF!</v>
      </c>
      <c r="E2" s="2581" t="s">
        <v>2527</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2528</v>
      </c>
      <c r="D3" s="398">
        <f>IF(D1="",'数据-汇总表'!E3,SUMIF('数据-汇总表'!$C19:$C33,D1,'数据-汇总表'!$E19:$E33))</f>
        <v>7048.35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79"/>
    </row>
    <row r="4" spans="1:29" ht="15">
      <c r="A4" s="400" t="s">
        <v>2529</v>
      </c>
      <c r="B4" s="401"/>
      <c r="C4" s="3221" t="s">
        <v>2530</v>
      </c>
      <c r="D4" s="3222"/>
      <c r="E4" s="3223" t="s">
        <v>2531</v>
      </c>
      <c r="F4" s="3224"/>
      <c r="G4" s="3221" t="s">
        <v>2532</v>
      </c>
      <c r="H4" s="3222"/>
      <c r="I4" s="3221" t="s">
        <v>2533</v>
      </c>
      <c r="J4" s="3222"/>
      <c r="K4" s="2590" t="s">
        <v>2534</v>
      </c>
      <c r="L4" s="1129"/>
      <c r="M4" s="1130"/>
      <c r="N4" s="1130"/>
      <c r="O4" s="1130"/>
      <c r="P4" s="3225" t="s">
        <v>2535</v>
      </c>
      <c r="Q4" s="3226"/>
      <c r="R4" s="3231" t="s">
        <v>2531</v>
      </c>
      <c r="S4" s="3232"/>
      <c r="T4" s="3231" t="s">
        <v>2532</v>
      </c>
      <c r="U4" s="3232"/>
      <c r="V4" s="3237" t="s">
        <v>2533</v>
      </c>
      <c r="W4" s="3237"/>
      <c r="X4" s="1810"/>
      <c r="Y4" s="3231" t="s">
        <v>2535</v>
      </c>
      <c r="Z4" s="3232"/>
      <c r="AA4" s="3218" t="s">
        <v>2531</v>
      </c>
      <c r="AB4" s="3218" t="s">
        <v>2532</v>
      </c>
      <c r="AC4" s="3218" t="s">
        <v>2533</v>
      </c>
    </row>
    <row r="5" spans="1:29" ht="15">
      <c r="A5" s="403"/>
      <c r="B5" s="404"/>
      <c r="C5" s="3240" t="s">
        <v>2536</v>
      </c>
      <c r="D5" s="3241"/>
      <c r="E5" s="3247" t="s">
        <v>2537</v>
      </c>
      <c r="F5" s="3248"/>
      <c r="G5" s="3240" t="s">
        <v>2538</v>
      </c>
      <c r="H5" s="3241"/>
      <c r="I5" s="3240" t="s">
        <v>2539</v>
      </c>
      <c r="J5" s="3241"/>
      <c r="K5" s="2591"/>
      <c r="L5" s="1129"/>
      <c r="M5" s="1130"/>
      <c r="N5" s="1130"/>
      <c r="O5" s="1130"/>
      <c r="P5" s="3227"/>
      <c r="Q5" s="3228"/>
      <c r="R5" s="3233"/>
      <c r="S5" s="3234"/>
      <c r="T5" s="3233"/>
      <c r="U5" s="3234"/>
      <c r="V5" s="3237"/>
      <c r="W5" s="3237"/>
      <c r="X5" s="1810"/>
      <c r="Y5" s="3233"/>
      <c r="Z5" s="3234"/>
      <c r="AA5" s="3219"/>
      <c r="AB5" s="3219"/>
      <c r="AC5" s="3219"/>
    </row>
    <row r="6" spans="1:29" ht="15.75" thickBot="1">
      <c r="A6" s="405"/>
      <c r="B6" s="406"/>
      <c r="C6" s="3238" t="s">
        <v>2540</v>
      </c>
      <c r="D6" s="3239"/>
      <c r="E6" s="3245" t="s">
        <v>2540</v>
      </c>
      <c r="F6" s="3246"/>
      <c r="G6" s="3238" t="s">
        <v>2540</v>
      </c>
      <c r="H6" s="3239"/>
      <c r="I6" s="3238" t="s">
        <v>2540</v>
      </c>
      <c r="J6" s="3239"/>
      <c r="K6" s="2591" t="s">
        <v>2541</v>
      </c>
      <c r="L6" s="1129"/>
      <c r="M6" s="1130"/>
      <c r="N6" s="1130"/>
      <c r="O6" s="1130"/>
      <c r="P6" s="3229"/>
      <c r="Q6" s="3230"/>
      <c r="R6" s="3233"/>
      <c r="S6" s="3234"/>
      <c r="T6" s="3235"/>
      <c r="U6" s="3236"/>
      <c r="V6" s="3237"/>
      <c r="W6" s="3237"/>
      <c r="X6" s="1810"/>
      <c r="Y6" s="3235"/>
      <c r="Z6" s="3236"/>
      <c r="AA6" s="3220"/>
      <c r="AB6" s="3220"/>
      <c r="AC6" s="3220"/>
    </row>
    <row r="7" spans="1:29" s="116" customFormat="1" ht="15.75" thickBot="1">
      <c r="A7" s="407" t="s">
        <v>2542</v>
      </c>
      <c r="B7" s="408"/>
      <c r="C7" s="409">
        <f>'数据-取费表'!B2</f>
        <v>43276</v>
      </c>
      <c r="D7" s="410">
        <v>100</v>
      </c>
      <c r="E7" s="411"/>
      <c r="F7" s="412">
        <f>SUMIF(58:58,YEAR(E7)&amp;"-"&amp;MONTH(E7),59:59)</f>
        <v>0</v>
      </c>
      <c r="G7" s="411"/>
      <c r="H7" s="410">
        <f>SUMIF(58:58,YEAR(G7)&amp;"-"&amp;MONTH(G7),59:59)</f>
        <v>0</v>
      </c>
      <c r="I7" s="411"/>
      <c r="J7" s="410">
        <f>SUMIF(58:58,YEAR(I7)&amp;"-"&amp;MONTH(I7),59:59)</f>
        <v>0</v>
      </c>
      <c r="K7" s="2592"/>
      <c r="L7" s="1131"/>
      <c r="M7" s="1132"/>
      <c r="N7" s="1132"/>
      <c r="O7" s="1132"/>
      <c r="P7" s="3242" t="s">
        <v>2543</v>
      </c>
      <c r="Q7" s="3244"/>
      <c r="R7" s="766" t="s">
        <v>23</v>
      </c>
      <c r="S7" s="767">
        <f t="shared" ref="S7:S15" si="0">F7</f>
        <v>0</v>
      </c>
      <c r="T7" s="766" t="s">
        <v>23</v>
      </c>
      <c r="U7" s="767">
        <f t="shared" ref="U7:U15" si="1">H7</f>
        <v>0</v>
      </c>
      <c r="V7" s="766" t="s">
        <v>23</v>
      </c>
      <c r="W7" s="767">
        <f t="shared" ref="W7:W15" si="2">J7</f>
        <v>0</v>
      </c>
      <c r="X7" s="768"/>
      <c r="Y7" s="3242" t="s">
        <v>2543</v>
      </c>
      <c r="Z7" s="3243"/>
      <c r="AA7" s="769" t="e">
        <f>D7/F7</f>
        <v>#DIV/0!</v>
      </c>
      <c r="AB7" s="769" t="e">
        <f>D7/H7</f>
        <v>#DIV/0!</v>
      </c>
      <c r="AC7" s="769" t="e">
        <f>D7/J7</f>
        <v>#DIV/0!</v>
      </c>
    </row>
    <row r="8" spans="1:29" s="116" customFormat="1" ht="15.75" thickBot="1">
      <c r="A8" s="407" t="s">
        <v>2544</v>
      </c>
      <c r="B8" s="408"/>
      <c r="C8" s="413" t="s">
        <v>2545</v>
      </c>
      <c r="D8" s="410">
        <v>100</v>
      </c>
      <c r="E8" s="2593"/>
      <c r="F8" s="412">
        <f>SUMIF(61:61,E8,62:62)-SUMIF(61:61,C8,62:62)+100</f>
        <v>0</v>
      </c>
      <c r="G8" s="413"/>
      <c r="H8" s="410">
        <f>SUMIF(61:61,G8,62:62)-SUMIF(61:61,C8,62:62)+100</f>
        <v>0</v>
      </c>
      <c r="I8" s="2593"/>
      <c r="J8" s="410">
        <f>SUMIF(61:61,I8,62:62)-SUMIF(61:61,C8,62:62)+100</f>
        <v>0</v>
      </c>
      <c r="K8" s="2592"/>
      <c r="L8" s="1131"/>
      <c r="M8" s="1132"/>
      <c r="N8" s="1132"/>
      <c r="O8" s="1132"/>
      <c r="P8" s="3242" t="s">
        <v>2546</v>
      </c>
      <c r="Q8" s="3243"/>
      <c r="R8" s="766" t="s">
        <v>23</v>
      </c>
      <c r="S8" s="767">
        <f t="shared" si="0"/>
        <v>0</v>
      </c>
      <c r="T8" s="766" t="s">
        <v>23</v>
      </c>
      <c r="U8" s="767">
        <f t="shared" si="1"/>
        <v>0</v>
      </c>
      <c r="V8" s="766" t="s">
        <v>23</v>
      </c>
      <c r="W8" s="767">
        <f t="shared" si="2"/>
        <v>0</v>
      </c>
      <c r="X8" s="768"/>
      <c r="Y8" s="3242" t="s">
        <v>2546</v>
      </c>
      <c r="Z8" s="3243"/>
      <c r="AA8" s="769" t="e">
        <f t="shared" ref="AA8:AA19" si="3">D8/F8</f>
        <v>#DIV/0!</v>
      </c>
      <c r="AB8" s="769" t="e">
        <f t="shared" ref="AB8:AB19" si="4">D8/H8</f>
        <v>#DIV/0!</v>
      </c>
      <c r="AC8" s="769"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2"/>
      <c r="L9" s="1131"/>
      <c r="M9" s="1132"/>
      <c r="N9" s="1132"/>
      <c r="O9" s="1132"/>
      <c r="P9" s="3217" t="s">
        <v>2549</v>
      </c>
      <c r="Q9" s="1792" t="str">
        <f t="shared" ref="Q9:Q15" si="6">B9</f>
        <v>用途</v>
      </c>
      <c r="R9" s="766" t="s">
        <v>17</v>
      </c>
      <c r="S9" s="767">
        <f t="shared" si="0"/>
        <v>100</v>
      </c>
      <c r="T9" s="766" t="s">
        <v>17</v>
      </c>
      <c r="U9" s="767">
        <f t="shared" si="1"/>
        <v>100</v>
      </c>
      <c r="V9" s="766" t="s">
        <v>17</v>
      </c>
      <c r="W9" s="767">
        <f t="shared" si="2"/>
        <v>100</v>
      </c>
      <c r="X9" s="768"/>
      <c r="Y9" s="3031"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7"/>
      <c r="Q10" s="1792" t="str">
        <f t="shared" si="6"/>
        <v>土地使用年限（年）</v>
      </c>
      <c r="R10" s="766" t="s">
        <v>17</v>
      </c>
      <c r="S10" s="767">
        <f t="shared" si="0"/>
        <v>100</v>
      </c>
      <c r="T10" s="766" t="s">
        <v>17</v>
      </c>
      <c r="U10" s="767">
        <f t="shared" si="1"/>
        <v>100</v>
      </c>
      <c r="V10" s="766" t="s">
        <v>17</v>
      </c>
      <c r="W10" s="767">
        <f t="shared" si="2"/>
        <v>100</v>
      </c>
      <c r="X10" s="768"/>
      <c r="Y10" s="3031"/>
      <c r="Z10" s="54" t="str">
        <f t="shared" si="7"/>
        <v>土地使用年限（年）</v>
      </c>
      <c r="AA10" s="769">
        <f t="shared" si="3"/>
        <v>1</v>
      </c>
      <c r="AB10" s="769">
        <f t="shared" si="4"/>
        <v>1</v>
      </c>
      <c r="AC10" s="769">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7"/>
      <c r="Q11" s="1792" t="str">
        <f t="shared" si="6"/>
        <v>容积率</v>
      </c>
      <c r="R11" s="766" t="s">
        <v>21</v>
      </c>
      <c r="S11" s="767" t="e">
        <f t="shared" si="0"/>
        <v>#N/A</v>
      </c>
      <c r="T11" s="766" t="s">
        <v>21</v>
      </c>
      <c r="U11" s="767" t="e">
        <f t="shared" si="1"/>
        <v>#N/A</v>
      </c>
      <c r="V11" s="766" t="s">
        <v>21</v>
      </c>
      <c r="W11" s="767" t="e">
        <f t="shared" si="2"/>
        <v>#N/A</v>
      </c>
      <c r="X11" s="768"/>
      <c r="Y11" s="3031"/>
      <c r="Z11" s="54" t="str">
        <f t="shared" si="7"/>
        <v>容积率</v>
      </c>
      <c r="AA11" s="769" t="e">
        <f t="shared" si="3"/>
        <v>#N/A</v>
      </c>
      <c r="AB11" s="769" t="e">
        <f t="shared" si="4"/>
        <v>#N/A</v>
      </c>
      <c r="AC11" s="769"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1"/>
      <c r="M12" s="1132"/>
      <c r="N12" s="1132"/>
      <c r="O12" s="1132"/>
      <c r="P12" s="3217"/>
      <c r="Q12" s="1792">
        <f t="shared" si="6"/>
        <v>111</v>
      </c>
      <c r="R12" s="766" t="s">
        <v>21</v>
      </c>
      <c r="S12" s="767">
        <f t="shared" si="0"/>
        <v>100</v>
      </c>
      <c r="T12" s="766" t="s">
        <v>21</v>
      </c>
      <c r="U12" s="767">
        <f t="shared" si="1"/>
        <v>100</v>
      </c>
      <c r="V12" s="766" t="s">
        <v>21</v>
      </c>
      <c r="W12" s="767">
        <f t="shared" si="2"/>
        <v>100</v>
      </c>
      <c r="X12" s="768"/>
      <c r="Y12" s="3031"/>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9"/>
      <c r="M13" s="1130"/>
      <c r="N13" s="1130"/>
      <c r="O13" s="1130"/>
      <c r="P13" s="3217"/>
      <c r="Q13" s="1792">
        <f t="shared" si="6"/>
        <v>111</v>
      </c>
      <c r="R13" s="766" t="s">
        <v>21</v>
      </c>
      <c r="S13" s="767">
        <f t="shared" si="0"/>
        <v>100</v>
      </c>
      <c r="T13" s="766" t="s">
        <v>21</v>
      </c>
      <c r="U13" s="767">
        <f t="shared" si="1"/>
        <v>100</v>
      </c>
      <c r="V13" s="766" t="s">
        <v>21</v>
      </c>
      <c r="W13" s="767">
        <f t="shared" si="2"/>
        <v>100</v>
      </c>
      <c r="X13" s="768"/>
      <c r="Y13" s="3031"/>
      <c r="Z13" s="54">
        <f t="shared" si="7"/>
        <v>111</v>
      </c>
      <c r="AA13" s="769">
        <f t="shared" si="3"/>
        <v>1</v>
      </c>
      <c r="AB13" s="769">
        <f t="shared" si="4"/>
        <v>1</v>
      </c>
      <c r="AC13" s="769">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9"/>
      <c r="M14" s="1130"/>
      <c r="N14" s="1130"/>
      <c r="O14" s="1130"/>
      <c r="P14" s="3217"/>
      <c r="Q14" s="1792">
        <f t="shared" si="6"/>
        <v>111</v>
      </c>
      <c r="R14" s="766" t="s">
        <v>21</v>
      </c>
      <c r="S14" s="767">
        <f t="shared" si="0"/>
        <v>100</v>
      </c>
      <c r="T14" s="766" t="s">
        <v>21</v>
      </c>
      <c r="U14" s="767">
        <f t="shared" si="1"/>
        <v>100</v>
      </c>
      <c r="V14" s="766" t="s">
        <v>21</v>
      </c>
      <c r="W14" s="767">
        <f t="shared" si="2"/>
        <v>100</v>
      </c>
      <c r="X14" s="768"/>
      <c r="Y14" s="3031"/>
      <c r="Z14" s="54">
        <f t="shared" si="7"/>
        <v>111</v>
      </c>
      <c r="AA14" s="769">
        <f t="shared" si="3"/>
        <v>1</v>
      </c>
      <c r="AB14" s="769">
        <f t="shared" si="4"/>
        <v>1</v>
      </c>
      <c r="AC14" s="769">
        <f t="shared" si="5"/>
        <v>1</v>
      </c>
    </row>
    <row r="15" spans="1:29" ht="15">
      <c r="A15" s="439" t="s">
        <v>2553</v>
      </c>
      <c r="B15" s="68" t="s">
        <v>2082</v>
      </c>
      <c r="C15" s="2597" t="str">
        <f>估价对象房地状况!C3</f>
        <v>——</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5" t="s">
        <v>2554</v>
      </c>
      <c r="Q15" s="1807" t="str">
        <f t="shared" si="6"/>
        <v>居住社区成熟度</v>
      </c>
      <c r="R15" s="770" t="s">
        <v>21</v>
      </c>
      <c r="S15" s="771">
        <f t="shared" si="0"/>
        <v>100</v>
      </c>
      <c r="T15" s="770" t="s">
        <v>21</v>
      </c>
      <c r="U15" s="771">
        <f t="shared" si="1"/>
        <v>100</v>
      </c>
      <c r="V15" s="770" t="s">
        <v>21</v>
      </c>
      <c r="W15" s="771">
        <f t="shared" si="2"/>
        <v>100</v>
      </c>
      <c r="X15" s="1810"/>
      <c r="Y15" s="3208" t="s">
        <v>2554</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9"/>
      <c r="M16" s="1130"/>
      <c r="N16" s="1130"/>
      <c r="O16" s="1130"/>
      <c r="P16" s="3216"/>
      <c r="Q16" s="1807"/>
      <c r="R16" s="770"/>
      <c r="S16" s="771"/>
      <c r="T16" s="770"/>
      <c r="U16" s="771"/>
      <c r="V16" s="770"/>
      <c r="W16" s="771"/>
      <c r="X16" s="1810"/>
      <c r="Y16" s="3209"/>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6"/>
      <c r="Q17" s="1807" t="str">
        <f>B17</f>
        <v>交通便捷度</v>
      </c>
      <c r="R17" s="770" t="s">
        <v>21</v>
      </c>
      <c r="S17" s="771">
        <f>F17</f>
        <v>100</v>
      </c>
      <c r="T17" s="770" t="s">
        <v>21</v>
      </c>
      <c r="U17" s="771">
        <f>H17</f>
        <v>100</v>
      </c>
      <c r="V17" s="770" t="s">
        <v>21</v>
      </c>
      <c r="W17" s="771">
        <f>J17</f>
        <v>100</v>
      </c>
      <c r="X17" s="1810"/>
      <c r="Y17" s="3209"/>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9"/>
      <c r="M18" s="1130"/>
      <c r="N18" s="1130"/>
      <c r="O18" s="1130"/>
      <c r="P18" s="3216"/>
      <c r="Q18" s="1807"/>
      <c r="R18" s="770"/>
      <c r="S18" s="771"/>
      <c r="T18" s="770"/>
      <c r="U18" s="771"/>
      <c r="V18" s="770"/>
      <c r="W18" s="771"/>
      <c r="X18" s="1810"/>
      <c r="Y18" s="3209"/>
      <c r="Z18" s="1811"/>
      <c r="AA18" s="1808">
        <v>1</v>
      </c>
      <c r="AB18" s="1808">
        <v>1</v>
      </c>
      <c r="AC18" s="1808">
        <v>1</v>
      </c>
    </row>
    <row r="19" spans="1:29" ht="156.75">
      <c r="A19" s="427"/>
      <c r="B19" s="450" t="s">
        <v>2089</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6"/>
      <c r="Q19" s="1807" t="str">
        <f>B19</f>
        <v>公共配套设施</v>
      </c>
      <c r="R19" s="770" t="s">
        <v>21</v>
      </c>
      <c r="S19" s="771">
        <f>F19</f>
        <v>100</v>
      </c>
      <c r="T19" s="770" t="s">
        <v>21</v>
      </c>
      <c r="U19" s="771">
        <f>H19</f>
        <v>100</v>
      </c>
      <c r="V19" s="770" t="s">
        <v>21</v>
      </c>
      <c r="W19" s="771">
        <f>J19</f>
        <v>100</v>
      </c>
      <c r="X19" s="1810"/>
      <c r="Y19" s="3209"/>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9"/>
      <c r="M20" s="1130"/>
      <c r="N20" s="1130"/>
      <c r="O20" s="1130"/>
      <c r="P20" s="3216"/>
      <c r="Q20" s="1807"/>
      <c r="R20" s="770"/>
      <c r="S20" s="771"/>
      <c r="T20" s="770"/>
      <c r="U20" s="771"/>
      <c r="V20" s="770"/>
      <c r="W20" s="771"/>
      <c r="X20" s="1810"/>
      <c r="Y20" s="3209"/>
      <c r="Z20" s="1811"/>
      <c r="AA20" s="1808">
        <v>1</v>
      </c>
      <c r="AB20" s="1808">
        <v>1</v>
      </c>
      <c r="AC20" s="1808">
        <v>1</v>
      </c>
    </row>
    <row r="21" spans="1:29" ht="42.75">
      <c r="A21" s="427"/>
      <c r="B21" s="1381" t="s">
        <v>2092</v>
      </c>
      <c r="C21" s="2601" t="str">
        <f>估价对象房地状况!C8</f>
        <v>估价对象所在区域基础设施水平达“六通”。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6"/>
      <c r="Q21" s="1807" t="str">
        <f>B21</f>
        <v>基础设施水平</v>
      </c>
      <c r="R21" s="770" t="s">
        <v>17</v>
      </c>
      <c r="S21" s="771">
        <f>F21</f>
        <v>100</v>
      </c>
      <c r="T21" s="770" t="s">
        <v>17</v>
      </c>
      <c r="U21" s="771">
        <f>H21</f>
        <v>100</v>
      </c>
      <c r="V21" s="770" t="s">
        <v>17</v>
      </c>
      <c r="W21" s="771">
        <f>J21</f>
        <v>100</v>
      </c>
      <c r="X21" s="1810"/>
      <c r="Y21" s="3209"/>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7"/>
      <c r="G22" s="2605"/>
      <c r="H22" s="447"/>
      <c r="I22" s="446"/>
      <c r="J22" s="447"/>
      <c r="K22" s="2606"/>
      <c r="L22" s="1139"/>
      <c r="M22" s="1130"/>
      <c r="N22" s="1130"/>
      <c r="O22" s="1130"/>
      <c r="P22" s="3216"/>
      <c r="Q22" s="1807"/>
      <c r="R22" s="770"/>
      <c r="S22" s="771"/>
      <c r="T22" s="770"/>
      <c r="U22" s="771"/>
      <c r="V22" s="770"/>
      <c r="W22" s="771"/>
      <c r="X22" s="1810"/>
      <c r="Y22" s="3209"/>
      <c r="Z22" s="1811"/>
      <c r="AA22" s="1808">
        <v>1</v>
      </c>
      <c r="AB22" s="1808">
        <v>1</v>
      </c>
      <c r="AC22" s="1808">
        <v>1</v>
      </c>
    </row>
    <row r="23" spans="1:29" ht="128.25">
      <c r="A23" s="427"/>
      <c r="B23" s="450" t="s">
        <v>2096</v>
      </c>
      <c r="C23" s="2601" t="str">
        <f>估价对象房地状况!C9</f>
        <v>周边有嘉宾公园、深圳河水系，绿化条件较好，有深圳大剧院、至正艺术博物馆、深圳广播电视大学等场所，综合确定自然及人文环境较好。</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6"/>
      <c r="Q23" s="1807" t="str">
        <f>B23</f>
        <v>自然及人文环境</v>
      </c>
      <c r="R23" s="770" t="s">
        <v>21</v>
      </c>
      <c r="S23" s="771">
        <f>F23</f>
        <v>100</v>
      </c>
      <c r="T23" s="770" t="s">
        <v>21</v>
      </c>
      <c r="U23" s="771">
        <f>H23</f>
        <v>100</v>
      </c>
      <c r="V23" s="770" t="s">
        <v>21</v>
      </c>
      <c r="W23" s="771">
        <f>J23</f>
        <v>100</v>
      </c>
      <c r="X23" s="1810"/>
      <c r="Y23" s="3209"/>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9"/>
      <c r="M24" s="1130"/>
      <c r="N24" s="1130"/>
      <c r="O24" s="1130"/>
      <c r="P24" s="3216"/>
      <c r="Q24" s="1807"/>
      <c r="R24" s="770"/>
      <c r="S24" s="771"/>
      <c r="T24" s="770"/>
      <c r="U24" s="771"/>
      <c r="V24" s="770"/>
      <c r="W24" s="771"/>
      <c r="X24" s="1810"/>
      <c r="Y24" s="3209"/>
      <c r="Z24" s="1811"/>
      <c r="AA24" s="1808">
        <v>1</v>
      </c>
      <c r="AB24" s="1808">
        <v>1</v>
      </c>
      <c r="AC24" s="1808">
        <v>1</v>
      </c>
    </row>
    <row r="25" spans="1:29" ht="15">
      <c r="A25" s="427"/>
      <c r="B25" s="421" t="s">
        <v>2555</v>
      </c>
      <c r="C25" s="459"/>
      <c r="D25" s="434">
        <v>100</v>
      </c>
      <c r="E25" s="2607"/>
      <c r="F25" s="434">
        <f>SUMIF(86:86,E25,87:87)-SUMIF(86:86,C25,87:87)+100</f>
        <v>100</v>
      </c>
      <c r="G25" s="2608"/>
      <c r="H25" s="434">
        <f>SUMIF(86:86,G25,87:87)-SUMIF(86:86,C25,87:87)+100</f>
        <v>100</v>
      </c>
      <c r="I25" s="2608"/>
      <c r="J25" s="434">
        <f>SUMIF(86:86,I25,87:87)-SUMIF(86:86,C25,87:87)+100</f>
        <v>100</v>
      </c>
      <c r="K25" s="425"/>
      <c r="L25" s="1139"/>
      <c r="M25" s="1130"/>
      <c r="N25" s="1130"/>
      <c r="O25" s="1130"/>
      <c r="P25" s="3216"/>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09"/>
      <c r="Z25" s="1811" t="str">
        <f>Q25</f>
        <v>楼层-1</v>
      </c>
      <c r="AA25" s="1808">
        <f t="shared" ref="AA25:AA46" si="15">D25/F25</f>
        <v>1</v>
      </c>
      <c r="AB25" s="1808">
        <f t="shared" ref="AB25:AB46" si="16">D25/H25</f>
        <v>1</v>
      </c>
      <c r="AC25" s="1808">
        <f t="shared" ref="AC25:AC46" si="17">D25/J25</f>
        <v>1</v>
      </c>
    </row>
    <row r="26" spans="1:29" ht="15">
      <c r="A26" s="427"/>
      <c r="B26" s="421" t="s">
        <v>2556</v>
      </c>
      <c r="C26" s="459"/>
      <c r="D26" s="434">
        <v>100</v>
      </c>
      <c r="E26" s="2607"/>
      <c r="F26" s="434">
        <f>SUMIF(88:88,E26,89:89)-SUMIF(88:88,C26,89:89)+100</f>
        <v>100</v>
      </c>
      <c r="G26" s="2608"/>
      <c r="H26" s="434">
        <f>SUMIF(88:88,G26,89:89)-SUMIF(88:88,C26,89:89)+100</f>
        <v>100</v>
      </c>
      <c r="I26" s="2608"/>
      <c r="J26" s="434">
        <f>SUMIF(88:88,I26,89:89)-SUMIF(88:88,C26,89:89)+100</f>
        <v>100</v>
      </c>
      <c r="K26" s="425"/>
      <c r="L26" s="1139"/>
      <c r="M26" s="1130"/>
      <c r="N26" s="1130"/>
      <c r="O26" s="1130"/>
      <c r="P26" s="3216"/>
      <c r="Q26" s="1807" t="str">
        <f t="shared" si="11"/>
        <v>朝向</v>
      </c>
      <c r="R26" s="770" t="s">
        <v>21</v>
      </c>
      <c r="S26" s="771">
        <f t="shared" si="12"/>
        <v>100</v>
      </c>
      <c r="T26" s="770" t="s">
        <v>21</v>
      </c>
      <c r="U26" s="771">
        <f t="shared" si="13"/>
        <v>100</v>
      </c>
      <c r="V26" s="770" t="s">
        <v>21</v>
      </c>
      <c r="W26" s="771">
        <f t="shared" si="14"/>
        <v>100</v>
      </c>
      <c r="X26" s="1810"/>
      <c r="Y26" s="3209"/>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31"/>
      <c r="M27" s="1132"/>
      <c r="N27" s="1132"/>
      <c r="O27" s="1132"/>
      <c r="P27" s="3216"/>
      <c r="Q27" s="1792">
        <f t="shared" si="11"/>
        <v>111</v>
      </c>
      <c r="R27" s="766" t="s">
        <v>21</v>
      </c>
      <c r="S27" s="767">
        <f t="shared" si="12"/>
        <v>100</v>
      </c>
      <c r="T27" s="766" t="s">
        <v>21</v>
      </c>
      <c r="U27" s="767">
        <f t="shared" si="13"/>
        <v>100</v>
      </c>
      <c r="V27" s="766" t="s">
        <v>21</v>
      </c>
      <c r="W27" s="767">
        <f t="shared" si="14"/>
        <v>100</v>
      </c>
      <c r="X27" s="768"/>
      <c r="Y27" s="3209"/>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9"/>
      <c r="M28" s="1130"/>
      <c r="N28" s="1130"/>
      <c r="O28" s="1130"/>
      <c r="P28" s="3216"/>
      <c r="Q28" s="1807">
        <f t="shared" si="11"/>
        <v>111</v>
      </c>
      <c r="R28" s="770" t="s">
        <v>21</v>
      </c>
      <c r="S28" s="771">
        <f t="shared" si="12"/>
        <v>100</v>
      </c>
      <c r="T28" s="770" t="s">
        <v>21</v>
      </c>
      <c r="U28" s="771">
        <f t="shared" si="13"/>
        <v>100</v>
      </c>
      <c r="V28" s="770" t="s">
        <v>21</v>
      </c>
      <c r="W28" s="771">
        <f t="shared" si="14"/>
        <v>100</v>
      </c>
      <c r="X28" s="1810"/>
      <c r="Y28" s="3209"/>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9"/>
      <c r="M29" s="1130"/>
      <c r="N29" s="1130"/>
      <c r="O29" s="1130"/>
      <c r="P29" s="3216"/>
      <c r="Q29" s="1807">
        <f t="shared" si="11"/>
        <v>111</v>
      </c>
      <c r="R29" s="770" t="s">
        <v>21</v>
      </c>
      <c r="S29" s="771">
        <f t="shared" si="12"/>
        <v>100</v>
      </c>
      <c r="T29" s="770" t="s">
        <v>21</v>
      </c>
      <c r="U29" s="771">
        <f t="shared" si="13"/>
        <v>100</v>
      </c>
      <c r="V29" s="770" t="s">
        <v>21</v>
      </c>
      <c r="W29" s="771">
        <f t="shared" si="14"/>
        <v>100</v>
      </c>
      <c r="X29" s="1810"/>
      <c r="Y29" s="3209"/>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9"/>
      <c r="M30" s="1130"/>
      <c r="N30" s="1130"/>
      <c r="O30" s="1130"/>
      <c r="P30" s="3216"/>
      <c r="Q30" s="1807">
        <f t="shared" si="11"/>
        <v>111</v>
      </c>
      <c r="R30" s="770" t="s">
        <v>21</v>
      </c>
      <c r="S30" s="771">
        <f t="shared" si="12"/>
        <v>100</v>
      </c>
      <c r="T30" s="770" t="s">
        <v>21</v>
      </c>
      <c r="U30" s="771">
        <f t="shared" si="13"/>
        <v>100</v>
      </c>
      <c r="V30" s="770" t="s">
        <v>21</v>
      </c>
      <c r="W30" s="771">
        <f t="shared" si="14"/>
        <v>100</v>
      </c>
      <c r="X30" s="1810"/>
      <c r="Y30" s="3209"/>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9"/>
      <c r="M31" s="1130"/>
      <c r="N31" s="1130"/>
      <c r="O31" s="1130"/>
      <c r="P31" s="3216"/>
      <c r="Q31" s="1807">
        <f t="shared" si="11"/>
        <v>111</v>
      </c>
      <c r="R31" s="770" t="s">
        <v>21</v>
      </c>
      <c r="S31" s="771">
        <f t="shared" si="12"/>
        <v>100</v>
      </c>
      <c r="T31" s="770" t="s">
        <v>21</v>
      </c>
      <c r="U31" s="771">
        <f t="shared" si="13"/>
        <v>100</v>
      </c>
      <c r="V31" s="770" t="s">
        <v>21</v>
      </c>
      <c r="W31" s="771">
        <f t="shared" si="14"/>
        <v>100</v>
      </c>
      <c r="X31" s="1810"/>
      <c r="Y31" s="3209"/>
      <c r="Z31" s="1811">
        <f t="shared" si="18"/>
        <v>111</v>
      </c>
      <c r="AA31" s="1808">
        <f t="shared" si="15"/>
        <v>1</v>
      </c>
      <c r="AB31" s="1808">
        <f t="shared" si="16"/>
        <v>1</v>
      </c>
      <c r="AC31" s="1808">
        <f t="shared" si="17"/>
        <v>1</v>
      </c>
    </row>
    <row r="32" spans="1:29" ht="15">
      <c r="A32" s="439" t="s">
        <v>2557</v>
      </c>
      <c r="B32" s="70" t="s">
        <v>2558</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9"/>
      <c r="M32" s="1130"/>
      <c r="N32" s="1130"/>
      <c r="O32" s="1130"/>
      <c r="P32" s="3210" t="s">
        <v>2559</v>
      </c>
      <c r="Q32" s="1807" t="str">
        <f t="shared" si="11"/>
        <v>建筑类型</v>
      </c>
      <c r="R32" s="770" t="s">
        <v>21</v>
      </c>
      <c r="S32" s="771">
        <f t="shared" si="12"/>
        <v>100</v>
      </c>
      <c r="T32" s="770" t="s">
        <v>21</v>
      </c>
      <c r="U32" s="771">
        <f t="shared" si="13"/>
        <v>100</v>
      </c>
      <c r="V32" s="770" t="s">
        <v>21</v>
      </c>
      <c r="W32" s="771">
        <f t="shared" si="14"/>
        <v>100</v>
      </c>
      <c r="X32" s="1810"/>
      <c r="Y32" s="3213" t="s">
        <v>2559</v>
      </c>
      <c r="Z32" s="1811" t="str">
        <f t="shared" si="18"/>
        <v>建筑类型</v>
      </c>
      <c r="AA32" s="1808">
        <f t="shared" si="15"/>
        <v>1</v>
      </c>
      <c r="AB32" s="1808">
        <f t="shared" si="16"/>
        <v>1</v>
      </c>
      <c r="AC32" s="1808">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7"/>
      <c r="M33" s="1140"/>
      <c r="N33" s="1140"/>
      <c r="O33" s="1140"/>
      <c r="P33" s="3211"/>
      <c r="Q33" s="772" t="str">
        <f t="shared" si="11"/>
        <v>项目建筑规模</v>
      </c>
      <c r="R33" s="773" t="s">
        <v>21</v>
      </c>
      <c r="S33" s="774" t="e">
        <f t="shared" si="12"/>
        <v>#N/A</v>
      </c>
      <c r="T33" s="773" t="s">
        <v>21</v>
      </c>
      <c r="U33" s="774" t="e">
        <f t="shared" si="13"/>
        <v>#N/A</v>
      </c>
      <c r="V33" s="773" t="s">
        <v>21</v>
      </c>
      <c r="W33" s="774" t="e">
        <f t="shared" si="14"/>
        <v>#N/A</v>
      </c>
      <c r="X33" s="775"/>
      <c r="Y33" s="3213"/>
      <c r="Z33" s="776" t="str">
        <f t="shared" si="18"/>
        <v>项目建筑规模</v>
      </c>
      <c r="AA33" s="1808" t="e">
        <f t="shared" si="15"/>
        <v>#N/A</v>
      </c>
      <c r="AB33" s="1808" t="e">
        <f t="shared" si="16"/>
        <v>#N/A</v>
      </c>
      <c r="AC33" s="1808" t="e">
        <f t="shared" si="17"/>
        <v>#N/A</v>
      </c>
    </row>
    <row r="34" spans="1:29" ht="15">
      <c r="A34" s="471"/>
      <c r="B34" s="421" t="s">
        <v>2561</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9"/>
      <c r="M34" s="1130"/>
      <c r="N34" s="1130"/>
      <c r="O34" s="1130"/>
      <c r="P34" s="3211"/>
      <c r="Q34" s="1807" t="str">
        <f t="shared" si="11"/>
        <v>建筑结构</v>
      </c>
      <c r="R34" s="770" t="s">
        <v>21</v>
      </c>
      <c r="S34" s="771">
        <f t="shared" si="12"/>
        <v>100</v>
      </c>
      <c r="T34" s="770" t="s">
        <v>21</v>
      </c>
      <c r="U34" s="771">
        <f t="shared" si="13"/>
        <v>100</v>
      </c>
      <c r="V34" s="770" t="s">
        <v>21</v>
      </c>
      <c r="W34" s="771">
        <f t="shared" si="14"/>
        <v>100</v>
      </c>
      <c r="X34" s="1810"/>
      <c r="Y34" s="3213"/>
      <c r="Z34" s="1811" t="str">
        <f t="shared" si="18"/>
        <v>建筑结构</v>
      </c>
      <c r="AA34" s="1808">
        <f t="shared" si="15"/>
        <v>1</v>
      </c>
      <c r="AB34" s="1808">
        <f t="shared" si="16"/>
        <v>1</v>
      </c>
      <c r="AC34" s="1808">
        <f t="shared" si="17"/>
        <v>1</v>
      </c>
    </row>
    <row r="35" spans="1:29" ht="15">
      <c r="A35" s="471"/>
      <c r="B35" s="421" t="s">
        <v>2562</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9"/>
      <c r="M35" s="1130"/>
      <c r="N35" s="1130"/>
      <c r="O35" s="1130"/>
      <c r="P35" s="3211"/>
      <c r="Q35" s="1807" t="str">
        <f t="shared" si="11"/>
        <v>建筑品质</v>
      </c>
      <c r="R35" s="770" t="s">
        <v>21</v>
      </c>
      <c r="S35" s="771">
        <f t="shared" si="12"/>
        <v>100</v>
      </c>
      <c r="T35" s="770" t="s">
        <v>21</v>
      </c>
      <c r="U35" s="771">
        <f t="shared" si="13"/>
        <v>100</v>
      </c>
      <c r="V35" s="770" t="s">
        <v>21</v>
      </c>
      <c r="W35" s="771">
        <f t="shared" si="14"/>
        <v>100</v>
      </c>
      <c r="X35" s="1810"/>
      <c r="Y35" s="3213"/>
      <c r="Z35" s="1811" t="str">
        <f t="shared" si="18"/>
        <v>建筑品质</v>
      </c>
      <c r="AA35" s="1808">
        <f t="shared" si="15"/>
        <v>1</v>
      </c>
      <c r="AB35" s="1808">
        <f t="shared" si="16"/>
        <v>1</v>
      </c>
      <c r="AC35" s="1808">
        <f t="shared" si="17"/>
        <v>1</v>
      </c>
    </row>
    <row r="36" spans="1:29" ht="15">
      <c r="A36" s="471"/>
      <c r="B36" s="421" t="s">
        <v>2563</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9"/>
      <c r="M36" s="1130"/>
      <c r="N36" s="1130"/>
      <c r="O36" s="1130"/>
      <c r="P36" s="3211"/>
      <c r="Q36" s="1807" t="str">
        <f t="shared" si="11"/>
        <v>公共部分装修</v>
      </c>
      <c r="R36" s="770" t="s">
        <v>21</v>
      </c>
      <c r="S36" s="771">
        <f t="shared" si="12"/>
        <v>100</v>
      </c>
      <c r="T36" s="770" t="s">
        <v>21</v>
      </c>
      <c r="U36" s="771">
        <f t="shared" si="13"/>
        <v>100</v>
      </c>
      <c r="V36" s="770" t="s">
        <v>21</v>
      </c>
      <c r="W36" s="771">
        <f t="shared" si="14"/>
        <v>100</v>
      </c>
      <c r="X36" s="1810"/>
      <c r="Y36" s="3213"/>
      <c r="Z36" s="1811" t="str">
        <f t="shared" si="18"/>
        <v>公共部分装修</v>
      </c>
      <c r="AA36" s="1808">
        <f t="shared" si="15"/>
        <v>1</v>
      </c>
      <c r="AB36" s="1808">
        <f t="shared" si="16"/>
        <v>1</v>
      </c>
      <c r="AC36" s="1808">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1"/>
      <c r="Q37" s="1792" t="str">
        <f t="shared" si="11"/>
        <v>成新度</v>
      </c>
      <c r="R37" s="766" t="s">
        <v>21</v>
      </c>
      <c r="S37" s="767" t="e">
        <f t="shared" si="12"/>
        <v>#N/A</v>
      </c>
      <c r="T37" s="766" t="s">
        <v>21</v>
      </c>
      <c r="U37" s="767" t="e">
        <f t="shared" si="13"/>
        <v>#N/A</v>
      </c>
      <c r="V37" s="766" t="s">
        <v>21</v>
      </c>
      <c r="W37" s="767" t="e">
        <f t="shared" si="14"/>
        <v>#N/A</v>
      </c>
      <c r="X37" s="768"/>
      <c r="Y37" s="3213"/>
      <c r="Z37" s="54" t="str">
        <f t="shared" si="18"/>
        <v>成新度</v>
      </c>
      <c r="AA37" s="769" t="e">
        <f t="shared" si="15"/>
        <v>#N/A</v>
      </c>
      <c r="AB37" s="769" t="e">
        <f t="shared" si="16"/>
        <v>#N/A</v>
      </c>
      <c r="AC37" s="769" t="e">
        <f t="shared" si="17"/>
        <v>#N/A</v>
      </c>
    </row>
    <row r="38" spans="1:29" ht="15">
      <c r="A38" s="471"/>
      <c r="B38" s="421" t="s">
        <v>2565</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9"/>
      <c r="M38" s="1130"/>
      <c r="N38" s="1130"/>
      <c r="O38" s="1130"/>
      <c r="P38" s="3211" t="s">
        <v>2559</v>
      </c>
      <c r="Q38" s="1807" t="str">
        <f t="shared" si="11"/>
        <v>物业管理</v>
      </c>
      <c r="R38" s="770" t="s">
        <v>21</v>
      </c>
      <c r="S38" s="771">
        <f t="shared" si="12"/>
        <v>100</v>
      </c>
      <c r="T38" s="770" t="s">
        <v>21</v>
      </c>
      <c r="U38" s="771">
        <f t="shared" si="13"/>
        <v>100</v>
      </c>
      <c r="V38" s="770" t="s">
        <v>21</v>
      </c>
      <c r="W38" s="771">
        <f t="shared" si="14"/>
        <v>100</v>
      </c>
      <c r="X38" s="1810"/>
      <c r="Y38" s="3213" t="s">
        <v>2559</v>
      </c>
      <c r="Z38" s="1811" t="str">
        <f t="shared" si="18"/>
        <v>物业管理</v>
      </c>
      <c r="AA38" s="1808">
        <f t="shared" si="15"/>
        <v>1</v>
      </c>
      <c r="AB38" s="1808">
        <f t="shared" si="16"/>
        <v>1</v>
      </c>
      <c r="AC38" s="1808">
        <f t="shared" si="17"/>
        <v>1</v>
      </c>
    </row>
    <row r="39" spans="1:29" ht="15">
      <c r="A39" s="471"/>
      <c r="B39" s="421" t="s">
        <v>2566</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9"/>
      <c r="M39" s="1130"/>
      <c r="N39" s="1130"/>
      <c r="O39" s="1130"/>
      <c r="P39" s="3211"/>
      <c r="Q39" s="1807" t="str">
        <f t="shared" si="11"/>
        <v>市政基础设施</v>
      </c>
      <c r="R39" s="770" t="s">
        <v>21</v>
      </c>
      <c r="S39" s="771">
        <f t="shared" si="12"/>
        <v>100</v>
      </c>
      <c r="T39" s="770" t="s">
        <v>21</v>
      </c>
      <c r="U39" s="771">
        <f t="shared" si="13"/>
        <v>100</v>
      </c>
      <c r="V39" s="770" t="s">
        <v>21</v>
      </c>
      <c r="W39" s="771">
        <f t="shared" si="14"/>
        <v>100</v>
      </c>
      <c r="X39" s="1810"/>
      <c r="Y39" s="3213"/>
      <c r="Z39" s="1811" t="str">
        <f t="shared" si="18"/>
        <v>市政基础设施</v>
      </c>
      <c r="AA39" s="1808">
        <f t="shared" si="15"/>
        <v>1</v>
      </c>
      <c r="AB39" s="1808">
        <f t="shared" si="16"/>
        <v>1</v>
      </c>
      <c r="AC39" s="1808">
        <f t="shared" si="17"/>
        <v>1</v>
      </c>
    </row>
    <row r="40" spans="1:29" ht="15">
      <c r="A40" s="471"/>
      <c r="B40" s="421" t="s">
        <v>2567</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9"/>
      <c r="M40" s="1130"/>
      <c r="N40" s="1130"/>
      <c r="O40" s="1130"/>
      <c r="P40" s="3211"/>
      <c r="Q40" s="1807" t="str">
        <f t="shared" si="11"/>
        <v>房型</v>
      </c>
      <c r="R40" s="770" t="s">
        <v>21</v>
      </c>
      <c r="S40" s="771">
        <f t="shared" si="12"/>
        <v>100</v>
      </c>
      <c r="T40" s="770" t="s">
        <v>21</v>
      </c>
      <c r="U40" s="771">
        <f t="shared" si="13"/>
        <v>100</v>
      </c>
      <c r="V40" s="770" t="s">
        <v>21</v>
      </c>
      <c r="W40" s="771">
        <f t="shared" si="14"/>
        <v>100</v>
      </c>
      <c r="X40" s="1810"/>
      <c r="Y40" s="3213"/>
      <c r="Z40" s="1811" t="str">
        <f t="shared" si="18"/>
        <v>房型</v>
      </c>
      <c r="AA40" s="1808">
        <f t="shared" si="15"/>
        <v>1</v>
      </c>
      <c r="AB40" s="1808">
        <f t="shared" si="16"/>
        <v>1</v>
      </c>
      <c r="AC40" s="1808">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7"/>
      <c r="M41" s="1140"/>
      <c r="N41" s="1140"/>
      <c r="O41" s="1140"/>
      <c r="P41" s="3211"/>
      <c r="Q41" s="772" t="str">
        <f t="shared" si="11"/>
        <v>单套/主力户型建筑面积</v>
      </c>
      <c r="R41" s="773" t="s">
        <v>21</v>
      </c>
      <c r="S41" s="774">
        <f t="shared" si="12"/>
        <v>100</v>
      </c>
      <c r="T41" s="773" t="s">
        <v>21</v>
      </c>
      <c r="U41" s="774">
        <f t="shared" si="13"/>
        <v>100</v>
      </c>
      <c r="V41" s="773" t="s">
        <v>21</v>
      </c>
      <c r="W41" s="774">
        <f t="shared" si="14"/>
        <v>100</v>
      </c>
      <c r="X41" s="775"/>
      <c r="Y41" s="3213"/>
      <c r="Z41" s="776" t="str">
        <f t="shared" si="18"/>
        <v>单套/主力户型建筑面积</v>
      </c>
      <c r="AA41" s="1808">
        <f t="shared" si="15"/>
        <v>1</v>
      </c>
      <c r="AB41" s="1808">
        <f t="shared" si="16"/>
        <v>1</v>
      </c>
      <c r="AC41" s="1808">
        <f t="shared" si="17"/>
        <v>1</v>
      </c>
    </row>
    <row r="42" spans="1:29" ht="15">
      <c r="A42" s="471"/>
      <c r="B42" s="421" t="s">
        <v>2569</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9"/>
      <c r="M42" s="1130"/>
      <c r="N42" s="1130"/>
      <c r="O42" s="1130"/>
      <c r="P42" s="3211"/>
      <c r="Q42" s="1807" t="str">
        <f t="shared" si="11"/>
        <v>内部装修</v>
      </c>
      <c r="R42" s="770" t="s">
        <v>21</v>
      </c>
      <c r="S42" s="771">
        <f t="shared" si="12"/>
        <v>100</v>
      </c>
      <c r="T42" s="770" t="s">
        <v>21</v>
      </c>
      <c r="U42" s="771">
        <f t="shared" si="13"/>
        <v>100</v>
      </c>
      <c r="V42" s="770" t="s">
        <v>21</v>
      </c>
      <c r="W42" s="771">
        <f t="shared" si="14"/>
        <v>100</v>
      </c>
      <c r="X42" s="1810"/>
      <c r="Y42" s="3213"/>
      <c r="Z42" s="1811" t="str">
        <f t="shared" si="18"/>
        <v>内部装修</v>
      </c>
      <c r="AA42" s="1808">
        <f t="shared" si="15"/>
        <v>1</v>
      </c>
      <c r="AB42" s="1808">
        <f t="shared" si="16"/>
        <v>1</v>
      </c>
      <c r="AC42" s="1808">
        <f t="shared" si="17"/>
        <v>1</v>
      </c>
    </row>
    <row r="43" spans="1:29" ht="15">
      <c r="A43" s="471"/>
      <c r="B43" s="421" t="s">
        <v>2570</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9"/>
      <c r="M43" s="1130"/>
      <c r="N43" s="1130"/>
      <c r="O43" s="1130"/>
      <c r="P43" s="3211"/>
      <c r="Q43" s="1807" t="str">
        <f t="shared" si="11"/>
        <v>内部装修维护情况</v>
      </c>
      <c r="R43" s="770" t="s">
        <v>21</v>
      </c>
      <c r="S43" s="771">
        <f t="shared" si="12"/>
        <v>100</v>
      </c>
      <c r="T43" s="770" t="s">
        <v>21</v>
      </c>
      <c r="U43" s="771">
        <f t="shared" si="13"/>
        <v>100</v>
      </c>
      <c r="V43" s="770" t="s">
        <v>21</v>
      </c>
      <c r="W43" s="771">
        <f t="shared" si="14"/>
        <v>100</v>
      </c>
      <c r="X43" s="1810"/>
      <c r="Y43" s="3213"/>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1"/>
      <c r="M44" s="1132"/>
      <c r="N44" s="1132"/>
      <c r="O44" s="1132"/>
      <c r="P44" s="3211"/>
      <c r="Q44" s="1792">
        <f t="shared" si="11"/>
        <v>111</v>
      </c>
      <c r="R44" s="766" t="s">
        <v>21</v>
      </c>
      <c r="S44" s="767">
        <f t="shared" si="12"/>
        <v>100</v>
      </c>
      <c r="T44" s="766" t="s">
        <v>21</v>
      </c>
      <c r="U44" s="767">
        <f t="shared" si="13"/>
        <v>100</v>
      </c>
      <c r="V44" s="766" t="s">
        <v>21</v>
      </c>
      <c r="W44" s="767">
        <f t="shared" si="14"/>
        <v>100</v>
      </c>
      <c r="X44" s="768"/>
      <c r="Y44" s="3213"/>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9"/>
      <c r="M45" s="1130"/>
      <c r="N45" s="1130"/>
      <c r="O45" s="1130"/>
      <c r="P45" s="3211"/>
      <c r="Q45" s="1807">
        <f t="shared" si="11"/>
        <v>111</v>
      </c>
      <c r="R45" s="770" t="s">
        <v>21</v>
      </c>
      <c r="S45" s="771">
        <f t="shared" si="12"/>
        <v>100</v>
      </c>
      <c r="T45" s="770" t="s">
        <v>21</v>
      </c>
      <c r="U45" s="771">
        <f t="shared" si="13"/>
        <v>100</v>
      </c>
      <c r="V45" s="770" t="s">
        <v>21</v>
      </c>
      <c r="W45" s="771">
        <f t="shared" si="14"/>
        <v>100</v>
      </c>
      <c r="X45" s="1810"/>
      <c r="Y45" s="3213"/>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9"/>
      <c r="M46" s="1130"/>
      <c r="N46" s="1130"/>
      <c r="O46" s="1130"/>
      <c r="P46" s="3212"/>
      <c r="Q46" s="1807">
        <f t="shared" si="11"/>
        <v>111</v>
      </c>
      <c r="R46" s="770" t="s">
        <v>20</v>
      </c>
      <c r="S46" s="771">
        <f t="shared" si="12"/>
        <v>100</v>
      </c>
      <c r="T46" s="770" t="s">
        <v>20</v>
      </c>
      <c r="U46" s="771">
        <f t="shared" si="13"/>
        <v>100</v>
      </c>
      <c r="V46" s="770" t="s">
        <v>20</v>
      </c>
      <c r="W46" s="771">
        <f t="shared" si="14"/>
        <v>100</v>
      </c>
      <c r="X46" s="1810"/>
      <c r="Y46" s="3214"/>
      <c r="Z46" s="1811">
        <f t="shared" si="18"/>
        <v>111</v>
      </c>
      <c r="AA46" s="1808">
        <f t="shared" si="15"/>
        <v>1</v>
      </c>
      <c r="AB46" s="1808">
        <f t="shared" si="16"/>
        <v>1</v>
      </c>
      <c r="AC46" s="1808">
        <f t="shared" si="17"/>
        <v>1</v>
      </c>
    </row>
    <row r="47" spans="1:29" ht="15">
      <c r="A47" s="478" t="s">
        <v>2571</v>
      </c>
      <c r="B47" s="479"/>
      <c r="C47" s="1404" t="s">
        <v>19</v>
      </c>
      <c r="D47" s="1405"/>
      <c r="E47" s="1406"/>
      <c r="F47" s="1407"/>
      <c r="G47" s="1408"/>
      <c r="H47" s="1409"/>
      <c r="I47" s="1406"/>
      <c r="J47" s="1409"/>
      <c r="K47" s="2615"/>
      <c r="L47" s="1142"/>
      <c r="M47" s="1143"/>
      <c r="N47" s="1130"/>
      <c r="O47" s="1143"/>
      <c r="P47" s="3206" t="str">
        <f>A47</f>
        <v>成交单价（元/平方米）</v>
      </c>
      <c r="Q47" s="3206"/>
      <c r="R47" s="3207">
        <f>E47</f>
        <v>0</v>
      </c>
      <c r="S47" s="3207"/>
      <c r="T47" s="3207">
        <f>G47</f>
        <v>0</v>
      </c>
      <c r="U47" s="3207"/>
      <c r="V47" s="3207">
        <f>I47</f>
        <v>0</v>
      </c>
      <c r="W47" s="3207"/>
      <c r="X47" s="755"/>
      <c r="Y47" s="777"/>
      <c r="Z47" s="755"/>
      <c r="AA47" s="755"/>
      <c r="AB47" s="755"/>
      <c r="AC47" s="755"/>
    </row>
    <row r="48" spans="1:29" ht="15.75" thickBot="1">
      <c r="A48" s="485" t="s">
        <v>2572</v>
      </c>
      <c r="B48" s="486"/>
      <c r="C48" s="1410" t="e">
        <f>R49</f>
        <v>#DIV/0!</v>
      </c>
      <c r="D48" s="1411"/>
      <c r="E48" s="1412" t="e">
        <f>R48</f>
        <v>#DIV/0!</v>
      </c>
      <c r="F48" s="1412"/>
      <c r="G48" s="1410" t="e">
        <f>T48</f>
        <v>#DIV/0!</v>
      </c>
      <c r="H48" s="1411"/>
      <c r="I48" s="1412" t="e">
        <f>V48</f>
        <v>#DIV/0!</v>
      </c>
      <c r="J48" s="1411"/>
      <c r="K48" s="2616"/>
      <c r="L48" s="1142"/>
      <c r="M48" s="1143"/>
      <c r="N48" s="1143"/>
      <c r="O48" s="1143"/>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5"/>
      <c r="Y48" s="755"/>
      <c r="Z48" s="755"/>
      <c r="AA48" s="755"/>
      <c r="AB48" s="755"/>
      <c r="AC48" s="755"/>
    </row>
    <row r="49" spans="1:29" ht="15.75" thickBot="1">
      <c r="A49" s="491" t="s">
        <v>2573</v>
      </c>
      <c r="B49" s="492"/>
      <c r="C49" s="1413" t="e">
        <f>R49</f>
        <v>#DIV/0!</v>
      </c>
      <c r="D49" s="1414"/>
      <c r="E49" s="1414"/>
      <c r="F49" s="1414"/>
      <c r="G49" s="1414"/>
      <c r="H49" s="1414"/>
      <c r="I49" s="1414"/>
      <c r="J49" s="1414"/>
      <c r="K49" s="2617"/>
      <c r="L49" s="1142"/>
      <c r="M49" s="1143"/>
      <c r="N49" s="1143"/>
      <c r="O49" s="1143"/>
      <c r="P49" s="3203" t="str">
        <f>A49</f>
        <v>估价对象XX用房的比较价值（楼面单价，元/平方米）</v>
      </c>
      <c r="Q49" s="3204"/>
      <c r="R49" s="3205" t="e">
        <f>IF(F1="售价",ROUND(AVERAGE(R48:V48),0),ROUND(AVERAGE(R48:V48),1))</f>
        <v>#DIV/0!</v>
      </c>
      <c r="S49" s="3205"/>
      <c r="T49" s="3205"/>
      <c r="U49" s="3205"/>
      <c r="V49" s="3205"/>
      <c r="W49" s="320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59" t="s">
        <v>2577</v>
      </c>
      <c r="B57" s="755"/>
      <c r="C57" s="760"/>
      <c r="D57" s="760"/>
      <c r="E57" s="760"/>
      <c r="F57" s="761"/>
      <c r="G57" s="761"/>
      <c r="H57" s="760"/>
      <c r="I57" s="760"/>
      <c r="J57" s="760"/>
      <c r="K57" s="1159"/>
      <c r="L57" s="1160"/>
      <c r="M57" s="1158"/>
      <c r="N57" s="1158"/>
      <c r="O57" s="1158"/>
      <c r="P57" s="2620"/>
      <c r="Q57" s="503"/>
    </row>
    <row r="58" spans="1:29" s="507" customFormat="1" ht="15">
      <c r="A58" s="504" t="s">
        <v>2578</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2580</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f>C9</f>
        <v>0</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4"/>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4"/>
      <c r="Q67" s="503"/>
    </row>
    <row r="68" spans="1:17" ht="15">
      <c r="A68" s="533"/>
      <c r="B68" s="547"/>
      <c r="C68" s="548"/>
      <c r="D68" s="548"/>
      <c r="E68" s="548"/>
      <c r="F68" s="548"/>
      <c r="G68" s="548"/>
      <c r="H68" s="548"/>
      <c r="I68" s="548"/>
      <c r="J68" s="548"/>
      <c r="K68" s="549"/>
      <c r="L68" s="550"/>
      <c r="M68" s="551"/>
      <c r="N68" s="1151"/>
      <c r="O68" s="1151"/>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4"/>
      <c r="Q81" s="503"/>
    </row>
    <row r="82" spans="1:17" ht="15.75" thickTop="1">
      <c r="A82" s="533"/>
      <c r="B82" s="545" t="s">
        <v>2092</v>
      </c>
      <c r="C82" s="538" t="s">
        <v>2598</v>
      </c>
      <c r="D82" s="538" t="s">
        <v>2599</v>
      </c>
      <c r="E82" s="538" t="s">
        <v>2600</v>
      </c>
      <c r="F82" s="538" t="s">
        <v>2601</v>
      </c>
      <c r="G82" s="538" t="s">
        <v>2602</v>
      </c>
      <c r="H82" s="538"/>
      <c r="I82" s="538"/>
      <c r="J82" s="538"/>
      <c r="K82" s="538"/>
      <c r="L82" s="538"/>
      <c r="M82" s="1379"/>
      <c r="N82" s="1152"/>
      <c r="O82" s="1152"/>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4"/>
      <c r="Q85" s="503"/>
    </row>
    <row r="86" spans="1:17" s="116" customFormat="1" ht="15.75" thickTop="1">
      <c r="A86" s="578"/>
      <c r="B86" s="537" t="s">
        <v>2604</v>
      </c>
      <c r="C86" s="553"/>
      <c r="D86" s="553"/>
      <c r="E86" s="553"/>
      <c r="F86" s="553"/>
      <c r="G86" s="553"/>
      <c r="H86" s="553"/>
      <c r="I86" s="553"/>
      <c r="J86" s="553"/>
      <c r="K86" s="553"/>
      <c r="L86" s="579"/>
      <c r="M86" s="580"/>
      <c r="N86" s="1150"/>
      <c r="O86" s="1150"/>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4"/>
      <c r="Q87" s="503"/>
    </row>
    <row r="88" spans="1:17" s="116" customFormat="1" ht="15.75" thickTop="1">
      <c r="A88" s="578"/>
      <c r="B88" s="537" t="s">
        <v>2605</v>
      </c>
      <c r="C88" s="553"/>
      <c r="D88" s="553"/>
      <c r="E88" s="553"/>
      <c r="F88" s="2629"/>
      <c r="G88" s="553"/>
      <c r="H88" s="553"/>
      <c r="I88" s="553"/>
      <c r="J88" s="553"/>
      <c r="K88" s="553"/>
      <c r="L88" s="553"/>
      <c r="M88" s="580"/>
      <c r="N88" s="1150"/>
      <c r="O88" s="1150"/>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4"/>
      <c r="Q89" s="503"/>
    </row>
    <row r="90" spans="1:17" s="470" customFormat="1" ht="15.75" thickTop="1">
      <c r="A90" s="552"/>
      <c r="B90" s="537">
        <f>B27</f>
        <v>111</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f>B28</f>
        <v>111</v>
      </c>
      <c r="C92" s="553"/>
      <c r="D92" s="553"/>
      <c r="E92" s="553"/>
      <c r="F92" s="553"/>
      <c r="G92" s="582"/>
      <c r="H92" s="582"/>
      <c r="I92" s="582"/>
      <c r="J92" s="582"/>
      <c r="K92" s="583"/>
      <c r="L92" s="584"/>
      <c r="M92" s="585"/>
      <c r="N92" s="1151"/>
      <c r="O92" s="1151"/>
      <c r="P92" s="2624"/>
      <c r="Q92" s="503"/>
    </row>
    <row r="93" spans="1:17" ht="15.75" thickBot="1">
      <c r="A93" s="533"/>
      <c r="B93" s="542"/>
      <c r="C93" s="559"/>
      <c r="D93" s="535"/>
      <c r="E93" s="535"/>
      <c r="F93" s="535"/>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111</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2557</v>
      </c>
      <c r="B100" s="527" t="s">
        <v>2606</v>
      </c>
      <c r="C100" s="529"/>
      <c r="D100" s="529"/>
      <c r="E100" s="529"/>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4"/>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c r="D103" s="594"/>
      <c r="E103" s="594"/>
      <c r="F103" s="594"/>
      <c r="G103" s="594"/>
      <c r="H103" s="594"/>
      <c r="I103" s="594"/>
      <c r="J103" s="595"/>
      <c r="K103" s="595"/>
      <c r="L103" s="596"/>
      <c r="M103" s="597"/>
      <c r="N103" s="1153"/>
      <c r="O103" s="1153"/>
      <c r="P103" s="2625"/>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5"/>
      <c r="Q104" s="558"/>
    </row>
    <row r="105" spans="1:17" ht="15" thickTop="1">
      <c r="A105" s="598"/>
      <c r="B105" s="537" t="s">
        <v>2608</v>
      </c>
      <c r="C105" s="553"/>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4"/>
      <c r="Q106" s="503"/>
    </row>
    <row r="107" spans="1:17" ht="15" thickTop="1">
      <c r="A107" s="598"/>
      <c r="B107" s="537" t="s">
        <v>2609</v>
      </c>
      <c r="C107" s="582"/>
      <c r="D107" s="582"/>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4"/>
      <c r="Q108" s="503"/>
    </row>
    <row r="109" spans="1:17" ht="15" thickTop="1">
      <c r="A109" s="598"/>
      <c r="B109" s="537" t="s">
        <v>2610</v>
      </c>
      <c r="C109" s="553"/>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5"/>
      <c r="Q113" s="558"/>
    </row>
    <row r="114" spans="1:17" ht="15" thickTop="1">
      <c r="A114" s="598"/>
      <c r="B114" s="537" t="s">
        <v>2611</v>
      </c>
      <c r="C114" s="553"/>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4"/>
      <c r="Q115" s="503"/>
    </row>
    <row r="116" spans="1:17" ht="15" thickTop="1">
      <c r="A116" s="598"/>
      <c r="B116" s="537" t="s">
        <v>2612</v>
      </c>
      <c r="C116" s="553"/>
      <c r="D116" s="553"/>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4"/>
      <c r="Q117" s="503"/>
    </row>
    <row r="118" spans="1:17" ht="15" thickTop="1">
      <c r="A118" s="598"/>
      <c r="B118" s="537" t="s">
        <v>2613</v>
      </c>
      <c r="C118" s="582"/>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4"/>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5"/>
      <c r="Q121" s="558"/>
    </row>
    <row r="122" spans="1:17" ht="15" thickTop="1">
      <c r="A122" s="598"/>
      <c r="B122" s="537" t="s">
        <v>2614</v>
      </c>
      <c r="C122" s="553"/>
      <c r="D122" s="553"/>
      <c r="E122" s="553"/>
      <c r="F122" s="582"/>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5" t="s">
        <v>2619</v>
      </c>
      <c r="D138" s="145" t="s">
        <v>2620</v>
      </c>
      <c r="E138" s="2639" t="s">
        <v>2621</v>
      </c>
      <c r="F138" s="2640" t="s">
        <v>2622</v>
      </c>
      <c r="G138" s="145" t="s">
        <v>2620</v>
      </c>
      <c r="H138" s="146" t="s">
        <v>2621</v>
      </c>
      <c r="I138" s="2641"/>
      <c r="J138" s="145" t="s">
        <v>2623</v>
      </c>
      <c r="K138" s="146" t="s">
        <v>2624</v>
      </c>
    </row>
    <row r="139" spans="1:17" ht="15">
      <c r="B139" s="1083">
        <v>6</v>
      </c>
      <c r="C139" s="1084">
        <v>96</v>
      </c>
      <c r="D139" s="2642" t="s">
        <v>2625</v>
      </c>
      <c r="E139" s="1085">
        <v>100</v>
      </c>
      <c r="F139" s="1086">
        <v>102.5</v>
      </c>
      <c r="G139" s="2642" t="s">
        <v>2625</v>
      </c>
      <c r="H139" s="1087">
        <v>105</v>
      </c>
      <c r="I139" s="2643" t="s">
        <v>2626</v>
      </c>
      <c r="J139" s="1084">
        <v>20</v>
      </c>
      <c r="K139" s="1088">
        <f>C145/(J139-2)</f>
        <v>4.0555555555555553E-3</v>
      </c>
    </row>
    <row r="140" spans="1:17" ht="15">
      <c r="B140" s="1089">
        <v>5</v>
      </c>
      <c r="C140" s="1090">
        <v>100</v>
      </c>
      <c r="D140" s="1090"/>
      <c r="E140" s="1091"/>
      <c r="F140" s="1092">
        <v>102</v>
      </c>
      <c r="G140" s="1090"/>
      <c r="H140" s="1093"/>
      <c r="I140" s="2644" t="s">
        <v>2627</v>
      </c>
      <c r="J140" s="314">
        <f>ROUNDUP((J139-1)/2,0)</f>
        <v>10</v>
      </c>
      <c r="K140" s="1094">
        <v>100</v>
      </c>
    </row>
    <row r="141" spans="1:17" ht="15">
      <c r="B141" s="1089">
        <v>4</v>
      </c>
      <c r="C141" s="1090">
        <v>102</v>
      </c>
      <c r="D141" s="1090"/>
      <c r="E141" s="1091"/>
      <c r="F141" s="1092">
        <v>101.5</v>
      </c>
      <c r="G141" s="1090"/>
      <c r="H141" s="1093"/>
      <c r="I141" s="2644" t="s">
        <v>2628</v>
      </c>
      <c r="J141" s="314">
        <v>1</v>
      </c>
      <c r="K141" s="1095">
        <f>ROUND(100+(J141-J140)*K139*100,1)</f>
        <v>96.4</v>
      </c>
    </row>
    <row r="142" spans="1:17" ht="15">
      <c r="B142" s="1089">
        <v>3</v>
      </c>
      <c r="C142" s="1090">
        <v>103</v>
      </c>
      <c r="D142" s="1090"/>
      <c r="E142" s="1091"/>
      <c r="F142" s="1092">
        <v>101</v>
      </c>
      <c r="G142" s="1090"/>
      <c r="H142" s="1093"/>
      <c r="I142" s="2644" t="s">
        <v>2629</v>
      </c>
      <c r="J142" s="314">
        <f>J139</f>
        <v>20</v>
      </c>
      <c r="K142" s="1096">
        <v>95</v>
      </c>
    </row>
    <row r="143" spans="1:17" ht="15">
      <c r="B143" s="1089">
        <v>2</v>
      </c>
      <c r="C143" s="1090">
        <v>100</v>
      </c>
      <c r="D143" s="1090"/>
      <c r="E143" s="1091"/>
      <c r="F143" s="1092">
        <v>100.5</v>
      </c>
      <c r="G143" s="1090"/>
      <c r="H143" s="1093"/>
      <c r="I143" s="2644" t="s">
        <v>2630</v>
      </c>
      <c r="J143" s="1090">
        <v>15</v>
      </c>
      <c r="K143" s="1095">
        <f>ROUND(100+(J143-J140)*K139*100,1)</f>
        <v>102</v>
      </c>
    </row>
    <row r="144" spans="1:17" ht="15">
      <c r="B144" s="1089">
        <v>1</v>
      </c>
      <c r="C144" s="1090">
        <v>98</v>
      </c>
      <c r="D144" s="2645" t="s">
        <v>2631</v>
      </c>
      <c r="E144" s="1091">
        <v>102</v>
      </c>
      <c r="F144" s="1097">
        <v>100</v>
      </c>
      <c r="G144" s="2645" t="s">
        <v>2631</v>
      </c>
      <c r="H144" s="1093">
        <v>105</v>
      </c>
      <c r="I144" s="2644" t="s">
        <v>2630</v>
      </c>
      <c r="J144" s="1090">
        <v>18</v>
      </c>
      <c r="K144" s="1095">
        <f>ROUND(100+(J144-J140)*K139*100,1)</f>
        <v>103.2</v>
      </c>
    </row>
    <row r="145" spans="2:11" ht="15.75" thickBot="1">
      <c r="B145" s="2646" t="s">
        <v>2632</v>
      </c>
      <c r="C145" s="1098">
        <f>ROUND(MAX(C139:C144)/MIN(C139:C144)-1,3)</f>
        <v>7.2999999999999995E-2</v>
      </c>
      <c r="D145" s="1099"/>
      <c r="E145" s="1099"/>
      <c r="F145" s="2647" t="s">
        <v>2633</v>
      </c>
      <c r="G145" s="2648"/>
      <c r="H145" s="2649"/>
      <c r="I145" s="2650" t="s">
        <v>2630</v>
      </c>
      <c r="J145" s="1100">
        <v>8</v>
      </c>
      <c r="K145" s="1101">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K57" sqref="K5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3157</v>
      </c>
      <c r="G1" s="1628" t="s">
        <v>2526</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1394</v>
      </c>
      <c r="B2" s="1415">
        <f>IF(C2="——",ROUND(C49*D3/10000,0),ROUND(C49*D3/10000,0)-D2)</f>
        <v>13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1395</v>
      </c>
      <c r="B3" s="608">
        <f>IF(C2="——",C49,ROUND(B2*10000/D3,0))</f>
        <v>18</v>
      </c>
      <c r="C3" s="399" t="s">
        <v>2528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2529</v>
      </c>
      <c r="B4" s="401"/>
      <c r="C4" s="3221" t="s">
        <v>2530</v>
      </c>
      <c r="D4" s="3222"/>
      <c r="E4" s="3223" t="s">
        <v>2531</v>
      </c>
      <c r="F4" s="3224"/>
      <c r="G4" s="3221" t="s">
        <v>2532</v>
      </c>
      <c r="H4" s="3222"/>
      <c r="I4" s="3221" t="s">
        <v>2533</v>
      </c>
      <c r="J4" s="3222"/>
      <c r="K4" s="609" t="s">
        <v>2534</v>
      </c>
      <c r="L4" s="1129"/>
      <c r="M4" s="1130"/>
      <c r="N4" s="1130"/>
      <c r="O4" s="1130"/>
      <c r="P4" s="3225" t="s">
        <v>2535</v>
      </c>
      <c r="Q4" s="3226"/>
      <c r="R4" s="3231" t="s">
        <v>2531</v>
      </c>
      <c r="S4" s="3232"/>
      <c r="T4" s="3231" t="s">
        <v>2532</v>
      </c>
      <c r="U4" s="3232"/>
      <c r="V4" s="3237" t="s">
        <v>2533</v>
      </c>
      <c r="W4" s="3237"/>
      <c r="X4" s="2942"/>
      <c r="Y4" s="3231" t="s">
        <v>2535</v>
      </c>
      <c r="Z4" s="3232"/>
      <c r="AA4" s="3218" t="s">
        <v>2531</v>
      </c>
      <c r="AB4" s="3237" t="s">
        <v>2532</v>
      </c>
      <c r="AC4" s="3218" t="s">
        <v>2533</v>
      </c>
    </row>
    <row r="5" spans="1:29" ht="15">
      <c r="A5" s="403"/>
      <c r="B5" s="404"/>
      <c r="C5" s="3249" t="s">
        <v>3079</v>
      </c>
      <c r="D5" s="3241"/>
      <c r="E5" s="3250" t="s">
        <v>3158</v>
      </c>
      <c r="F5" s="3248"/>
      <c r="G5" s="3249" t="s">
        <v>3159</v>
      </c>
      <c r="H5" s="3241"/>
      <c r="I5" s="3249" t="s">
        <v>3160</v>
      </c>
      <c r="J5" s="3241"/>
      <c r="K5" s="609"/>
      <c r="L5" s="1129"/>
      <c r="M5" s="1130"/>
      <c r="N5" s="1130"/>
      <c r="O5" s="1130"/>
      <c r="P5" s="3227"/>
      <c r="Q5" s="3228"/>
      <c r="R5" s="3233"/>
      <c r="S5" s="3234"/>
      <c r="T5" s="3233"/>
      <c r="U5" s="3234"/>
      <c r="V5" s="3237"/>
      <c r="W5" s="3237"/>
      <c r="X5" s="2942"/>
      <c r="Y5" s="3233"/>
      <c r="Z5" s="3234"/>
      <c r="AA5" s="3219"/>
      <c r="AB5" s="3237"/>
      <c r="AC5" s="3219"/>
    </row>
    <row r="6" spans="1:29" ht="15.75" thickBot="1">
      <c r="A6" s="405"/>
      <c r="B6" s="406"/>
      <c r="C6" s="3238" t="s">
        <v>2540</v>
      </c>
      <c r="D6" s="3239"/>
      <c r="E6" s="3245" t="s">
        <v>2540</v>
      </c>
      <c r="F6" s="3246"/>
      <c r="G6" s="3238" t="s">
        <v>2540</v>
      </c>
      <c r="H6" s="3239"/>
      <c r="I6" s="3238" t="s">
        <v>2540</v>
      </c>
      <c r="J6" s="3239"/>
      <c r="K6" s="609" t="s">
        <v>2541</v>
      </c>
      <c r="L6" s="1129"/>
      <c r="M6" s="1130"/>
      <c r="N6" s="1130"/>
      <c r="O6" s="1130"/>
      <c r="P6" s="3229"/>
      <c r="Q6" s="3230"/>
      <c r="R6" s="3233"/>
      <c r="S6" s="3234"/>
      <c r="T6" s="3235"/>
      <c r="U6" s="3236"/>
      <c r="V6" s="3237"/>
      <c r="W6" s="3237"/>
      <c r="X6" s="2942"/>
      <c r="Y6" s="3235"/>
      <c r="Z6" s="3236"/>
      <c r="AA6" s="3220"/>
      <c r="AB6" s="3237"/>
      <c r="AC6" s="3220"/>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42" t="s">
        <v>2543</v>
      </c>
      <c r="Q7" s="3244"/>
      <c r="R7" s="766" t="s">
        <v>17</v>
      </c>
      <c r="S7" s="767">
        <f t="shared" ref="S7:S15" si="0">F7</f>
        <v>100</v>
      </c>
      <c r="T7" s="766" t="s">
        <v>17</v>
      </c>
      <c r="U7" s="767">
        <f t="shared" ref="U7:U15" si="1">H7</f>
        <v>100</v>
      </c>
      <c r="V7" s="766" t="s">
        <v>17</v>
      </c>
      <c r="W7" s="767">
        <f t="shared" ref="W7:W15" si="2">J7</f>
        <v>100</v>
      </c>
      <c r="X7" s="768"/>
      <c r="Y7" s="3242" t="s">
        <v>2543</v>
      </c>
      <c r="Z7" s="3243"/>
      <c r="AA7" s="769">
        <f>D7/F7</f>
        <v>1</v>
      </c>
      <c r="AB7" s="769">
        <f>D7/H7</f>
        <v>1</v>
      </c>
      <c r="AC7" s="769">
        <f>D7/J7</f>
        <v>1</v>
      </c>
    </row>
    <row r="8" spans="1:29" s="116" customFormat="1" ht="15.75" thickBot="1">
      <c r="A8" s="407" t="s">
        <v>2544</v>
      </c>
      <c r="B8" s="408"/>
      <c r="C8" s="413" t="s">
        <v>2581</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42" t="s">
        <v>2546</v>
      </c>
      <c r="Q8" s="3243"/>
      <c r="R8" s="766" t="s">
        <v>17</v>
      </c>
      <c r="S8" s="767">
        <f t="shared" si="0"/>
        <v>100</v>
      </c>
      <c r="T8" s="766" t="s">
        <v>17</v>
      </c>
      <c r="U8" s="767">
        <f t="shared" si="1"/>
        <v>100</v>
      </c>
      <c r="V8" s="766" t="s">
        <v>17</v>
      </c>
      <c r="W8" s="767">
        <f t="shared" si="2"/>
        <v>100</v>
      </c>
      <c r="X8" s="768"/>
      <c r="Y8" s="3242" t="s">
        <v>2546</v>
      </c>
      <c r="Z8" s="3243"/>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7" t="s">
        <v>2549</v>
      </c>
      <c r="Q9" s="2936" t="str">
        <f t="shared" ref="Q9:Q15" si="6">B9</f>
        <v>用途</v>
      </c>
      <c r="R9" s="766" t="s">
        <v>17</v>
      </c>
      <c r="S9" s="767">
        <f t="shared" si="0"/>
        <v>100</v>
      </c>
      <c r="T9" s="766" t="s">
        <v>17</v>
      </c>
      <c r="U9" s="767">
        <f t="shared" si="1"/>
        <v>100</v>
      </c>
      <c r="V9" s="766" t="s">
        <v>17</v>
      </c>
      <c r="W9" s="767">
        <f t="shared" si="2"/>
        <v>100</v>
      </c>
      <c r="X9" s="768"/>
      <c r="Y9" s="3031" t="s">
        <v>2550</v>
      </c>
      <c r="Z9" s="2937" t="str">
        <f t="shared" ref="Z9:Z15" si="7">Q9</f>
        <v>用途</v>
      </c>
      <c r="AA9" s="769">
        <f t="shared" si="3"/>
        <v>1</v>
      </c>
      <c r="AB9" s="769">
        <f t="shared" si="4"/>
        <v>1</v>
      </c>
      <c r="AC9" s="769">
        <f t="shared" si="5"/>
        <v>1</v>
      </c>
    </row>
    <row r="10" spans="1:29" s="426" customFormat="1" ht="27">
      <c r="A10" s="420"/>
      <c r="B10" s="2938" t="s">
        <v>2551</v>
      </c>
      <c r="C10" s="422" t="s">
        <v>3130</v>
      </c>
      <c r="D10" s="135">
        <v>100</v>
      </c>
      <c r="E10" s="423" t="s">
        <v>3130</v>
      </c>
      <c r="F10" s="424">
        <f>SUMIF(65:65,E10,66:66)-SUMIF(65:65,C10,66:66)+100</f>
        <v>100</v>
      </c>
      <c r="G10" s="422" t="s">
        <v>3130</v>
      </c>
      <c r="H10" s="135">
        <f>SUMIF(65:65,G10,66:66)-SUMIF(65:65,C10,66:66)+100</f>
        <v>100</v>
      </c>
      <c r="I10" s="422" t="s">
        <v>3130</v>
      </c>
      <c r="J10" s="135">
        <f>SUMIF(65:65,I10,66:66)-SUMIF(65:65,C10,66:66)+100</f>
        <v>100</v>
      </c>
      <c r="K10" s="611">
        <v>2</v>
      </c>
      <c r="L10" s="1134"/>
      <c r="M10" s="1135"/>
      <c r="N10" s="1135"/>
      <c r="O10" s="1135"/>
      <c r="P10" s="3217"/>
      <c r="Q10" s="2936" t="str">
        <f t="shared" si="6"/>
        <v>土地使用年限（年）</v>
      </c>
      <c r="R10" s="766" t="s">
        <v>17</v>
      </c>
      <c r="S10" s="767">
        <f t="shared" si="0"/>
        <v>100</v>
      </c>
      <c r="T10" s="766" t="s">
        <v>17</v>
      </c>
      <c r="U10" s="767">
        <f t="shared" si="1"/>
        <v>100</v>
      </c>
      <c r="V10" s="766" t="s">
        <v>17</v>
      </c>
      <c r="W10" s="767">
        <f t="shared" si="2"/>
        <v>100</v>
      </c>
      <c r="X10" s="768"/>
      <c r="Y10" s="3031"/>
      <c r="Z10" s="2937" t="str">
        <f t="shared" si="7"/>
        <v>土地使用年限（年）</v>
      </c>
      <c r="AA10" s="769">
        <f t="shared" si="3"/>
        <v>1</v>
      </c>
      <c r="AB10" s="769">
        <f t="shared" si="4"/>
        <v>1</v>
      </c>
      <c r="AC10" s="769">
        <f t="shared" si="5"/>
        <v>1</v>
      </c>
    </row>
    <row r="11" spans="1:29" ht="15">
      <c r="A11" s="427"/>
      <c r="B11" s="2938"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7"/>
      <c r="Q11" s="2936" t="str">
        <f t="shared" si="6"/>
        <v>容积率</v>
      </c>
      <c r="R11" s="766" t="s">
        <v>17</v>
      </c>
      <c r="S11" s="767">
        <f t="shared" si="0"/>
        <v>100</v>
      </c>
      <c r="T11" s="766" t="s">
        <v>17</v>
      </c>
      <c r="U11" s="767">
        <f t="shared" si="1"/>
        <v>100</v>
      </c>
      <c r="V11" s="766" t="s">
        <v>17</v>
      </c>
      <c r="W11" s="767">
        <f t="shared" si="2"/>
        <v>100</v>
      </c>
      <c r="X11" s="768"/>
      <c r="Y11" s="3031"/>
      <c r="Z11" s="2937"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7"/>
      <c r="Q12" s="2936">
        <f t="shared" si="6"/>
        <v>111</v>
      </c>
      <c r="R12" s="766" t="s">
        <v>17</v>
      </c>
      <c r="S12" s="767">
        <f t="shared" si="0"/>
        <v>100</v>
      </c>
      <c r="T12" s="766" t="s">
        <v>17</v>
      </c>
      <c r="U12" s="767">
        <f t="shared" si="1"/>
        <v>100</v>
      </c>
      <c r="V12" s="766" t="s">
        <v>17</v>
      </c>
      <c r="W12" s="767">
        <f t="shared" si="2"/>
        <v>100</v>
      </c>
      <c r="X12" s="768"/>
      <c r="Y12" s="3031"/>
      <c r="Z12" s="2937">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7"/>
      <c r="Q13" s="2936">
        <f t="shared" si="6"/>
        <v>111</v>
      </c>
      <c r="R13" s="766" t="s">
        <v>17</v>
      </c>
      <c r="S13" s="767">
        <f t="shared" si="0"/>
        <v>100</v>
      </c>
      <c r="T13" s="766" t="s">
        <v>17</v>
      </c>
      <c r="U13" s="767">
        <f t="shared" si="1"/>
        <v>100</v>
      </c>
      <c r="V13" s="766" t="s">
        <v>17</v>
      </c>
      <c r="W13" s="767">
        <f t="shared" si="2"/>
        <v>100</v>
      </c>
      <c r="X13" s="768"/>
      <c r="Y13" s="3031"/>
      <c r="Z13" s="2937">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7"/>
      <c r="Q14" s="2936">
        <f t="shared" si="6"/>
        <v>111</v>
      </c>
      <c r="R14" s="766" t="s">
        <v>17</v>
      </c>
      <c r="S14" s="767">
        <f t="shared" si="0"/>
        <v>100</v>
      </c>
      <c r="T14" s="766" t="s">
        <v>17</v>
      </c>
      <c r="U14" s="767">
        <f t="shared" si="1"/>
        <v>100</v>
      </c>
      <c r="V14" s="766" t="s">
        <v>17</v>
      </c>
      <c r="W14" s="767">
        <f t="shared" si="2"/>
        <v>100</v>
      </c>
      <c r="X14" s="768"/>
      <c r="Y14" s="3031"/>
      <c r="Z14" s="2937">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4" t="s">
        <v>3144</v>
      </c>
      <c r="F15" s="442">
        <f>SUMIF(76:76,E16,77:77)-SUMIF(76:76,C16,77:77)+100</f>
        <v>100</v>
      </c>
      <c r="G15" s="2964" t="s">
        <v>3144</v>
      </c>
      <c r="H15" s="440">
        <f>SUMIF(76:76,G16,77:77)-SUMIF(76:76,C16,77:77)+100</f>
        <v>100</v>
      </c>
      <c r="I15" s="2964" t="s">
        <v>3144</v>
      </c>
      <c r="J15" s="440">
        <f>SUMIF(76:76,I16,77:77)-SUMIF(76:76,C16,77:77)+100</f>
        <v>100</v>
      </c>
      <c r="K15" s="613">
        <v>2</v>
      </c>
      <c r="L15" s="1139"/>
      <c r="M15" s="1130"/>
      <c r="N15" s="1130"/>
      <c r="O15" s="1130"/>
      <c r="P15" s="3215" t="s">
        <v>2554</v>
      </c>
      <c r="Q15" s="2940" t="str">
        <f t="shared" si="6"/>
        <v>商业繁华度</v>
      </c>
      <c r="R15" s="770" t="s">
        <v>17</v>
      </c>
      <c r="S15" s="771">
        <f t="shared" si="0"/>
        <v>100</v>
      </c>
      <c r="T15" s="770" t="s">
        <v>17</v>
      </c>
      <c r="U15" s="771">
        <f t="shared" si="1"/>
        <v>100</v>
      </c>
      <c r="V15" s="770" t="s">
        <v>17</v>
      </c>
      <c r="W15" s="771">
        <f t="shared" si="2"/>
        <v>100</v>
      </c>
      <c r="X15" s="2942"/>
      <c r="Y15" s="3208" t="s">
        <v>2554</v>
      </c>
      <c r="Z15" s="2943" t="str">
        <f t="shared" si="7"/>
        <v>商业繁华度</v>
      </c>
      <c r="AA15" s="2941">
        <f t="shared" si="3"/>
        <v>1</v>
      </c>
      <c r="AB15" s="2941">
        <f t="shared" si="4"/>
        <v>1</v>
      </c>
      <c r="AC15" s="2941">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6"/>
      <c r="Q16" s="2940"/>
      <c r="R16" s="770"/>
      <c r="S16" s="771"/>
      <c r="T16" s="770"/>
      <c r="U16" s="771"/>
      <c r="V16" s="770"/>
      <c r="W16" s="771"/>
      <c r="X16" s="2942"/>
      <c r="Y16" s="3209"/>
      <c r="Z16" s="2943"/>
      <c r="AA16" s="2941">
        <v>1</v>
      </c>
      <c r="AB16" s="2941">
        <v>1</v>
      </c>
      <c r="AC16" s="2941">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t="s">
        <v>3150</v>
      </c>
      <c r="F17" s="452">
        <f>SUMIF(78:78,E18,79:79)-SUMIF(78:78,C18,79:79)+100</f>
        <v>100</v>
      </c>
      <c r="G17" s="453" t="s">
        <v>3150</v>
      </c>
      <c r="H17" s="454">
        <f>SUMIF(78:78,G18,79:79)-SUMIF(78:78,C18,79:79)+100</f>
        <v>100</v>
      </c>
      <c r="I17" s="453" t="s">
        <v>3150</v>
      </c>
      <c r="J17" s="454">
        <f>SUMIF(78:78,I18,79:79)-SUMIF(78:78,C18,79:79)+100</f>
        <v>100</v>
      </c>
      <c r="K17" s="613">
        <v>2</v>
      </c>
      <c r="L17" s="1139"/>
      <c r="M17" s="1130"/>
      <c r="N17" s="1130"/>
      <c r="O17" s="1130"/>
      <c r="P17" s="3216"/>
      <c r="Q17" s="2940" t="str">
        <f>B17</f>
        <v>交通便捷度</v>
      </c>
      <c r="R17" s="770" t="s">
        <v>17</v>
      </c>
      <c r="S17" s="771">
        <f>F17</f>
        <v>100</v>
      </c>
      <c r="T17" s="770" t="s">
        <v>17</v>
      </c>
      <c r="U17" s="771">
        <f>H17</f>
        <v>100</v>
      </c>
      <c r="V17" s="770" t="s">
        <v>17</v>
      </c>
      <c r="W17" s="771">
        <f>J17</f>
        <v>100</v>
      </c>
      <c r="X17" s="2942"/>
      <c r="Y17" s="3209"/>
      <c r="Z17" s="2943" t="str">
        <f>Q17</f>
        <v>交通便捷度</v>
      </c>
      <c r="AA17" s="2941">
        <f t="shared" si="3"/>
        <v>1</v>
      </c>
      <c r="AB17" s="2941">
        <f t="shared" si="4"/>
        <v>1</v>
      </c>
      <c r="AC17" s="2941">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6"/>
      <c r="Q18" s="2940"/>
      <c r="R18" s="770"/>
      <c r="S18" s="771"/>
      <c r="T18" s="770"/>
      <c r="U18" s="771"/>
      <c r="V18" s="770"/>
      <c r="W18" s="771"/>
      <c r="X18" s="2942"/>
      <c r="Y18" s="3209"/>
      <c r="Z18" s="2943"/>
      <c r="AA18" s="2941">
        <v>1</v>
      </c>
      <c r="AB18" s="2941">
        <v>1</v>
      </c>
      <c r="AC18" s="2941">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5" t="s">
        <v>3151</v>
      </c>
      <c r="F19" s="457">
        <f>SUMIF(80:80,E20,81:81)-SUMIF(80:80,C20,81:81)+100</f>
        <v>100</v>
      </c>
      <c r="G19" s="2965" t="s">
        <v>3151</v>
      </c>
      <c r="H19" s="449">
        <f>SUMIF(80:80,G20,81:81)-SUMIF(80:80,C20,81:81)+100</f>
        <v>100</v>
      </c>
      <c r="I19" s="2962" t="s">
        <v>3146</v>
      </c>
      <c r="J19" s="449">
        <f>SUMIF(80:80,I20,81:81)-SUMIF(80:80,C20,81:81)+100</f>
        <v>100</v>
      </c>
      <c r="K19" s="613">
        <v>22</v>
      </c>
      <c r="L19" s="1139"/>
      <c r="M19" s="1130"/>
      <c r="N19" s="1130"/>
      <c r="O19" s="1130"/>
      <c r="P19" s="3216"/>
      <c r="Q19" s="2940" t="str">
        <f>B19</f>
        <v>公共配套设施</v>
      </c>
      <c r="R19" s="770" t="s">
        <v>17</v>
      </c>
      <c r="S19" s="771">
        <f>F19</f>
        <v>100</v>
      </c>
      <c r="T19" s="770" t="s">
        <v>17</v>
      </c>
      <c r="U19" s="771">
        <f>H19</f>
        <v>100</v>
      </c>
      <c r="V19" s="770" t="s">
        <v>17</v>
      </c>
      <c r="W19" s="771">
        <f>J19</f>
        <v>100</v>
      </c>
      <c r="X19" s="2942"/>
      <c r="Y19" s="3209"/>
      <c r="Z19" s="2943" t="str">
        <f>Q19</f>
        <v>公共配套设施</v>
      </c>
      <c r="AA19" s="2941">
        <f t="shared" si="3"/>
        <v>1</v>
      </c>
      <c r="AB19" s="2941">
        <f t="shared" si="4"/>
        <v>1</v>
      </c>
      <c r="AC19" s="2941">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6"/>
      <c r="Q20" s="2940"/>
      <c r="R20" s="770"/>
      <c r="S20" s="771"/>
      <c r="T20" s="770"/>
      <c r="U20" s="771"/>
      <c r="V20" s="770"/>
      <c r="W20" s="771"/>
      <c r="X20" s="2942"/>
      <c r="Y20" s="3209"/>
      <c r="Z20" s="2943"/>
      <c r="AA20" s="2941">
        <v>1</v>
      </c>
      <c r="AB20" s="2941">
        <v>1</v>
      </c>
      <c r="AC20" s="2941">
        <v>1</v>
      </c>
    </row>
    <row r="21" spans="1:29" ht="42.75">
      <c r="A21" s="427"/>
      <c r="B21" s="1381" t="s">
        <v>2649</v>
      </c>
      <c r="C21" s="2601" t="str">
        <f>估价对象房地状况!C8</f>
        <v>估价对象所在区域基础设施水平达“六通”。</v>
      </c>
      <c r="D21" s="454">
        <v>100</v>
      </c>
      <c r="E21" s="458"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6"/>
      <c r="Q21" s="2940" t="str">
        <f>B21</f>
        <v>基础设施水平</v>
      </c>
      <c r="R21" s="770" t="s">
        <v>17</v>
      </c>
      <c r="S21" s="771">
        <f>F21</f>
        <v>100</v>
      </c>
      <c r="T21" s="770" t="s">
        <v>17</v>
      </c>
      <c r="U21" s="771">
        <f>H21</f>
        <v>100</v>
      </c>
      <c r="V21" s="770" t="s">
        <v>17</v>
      </c>
      <c r="W21" s="771">
        <f>J21</f>
        <v>100</v>
      </c>
      <c r="X21" s="2942"/>
      <c r="Y21" s="3209"/>
      <c r="Z21" s="2943" t="str">
        <f>Q21</f>
        <v>基础设施水平</v>
      </c>
      <c r="AA21" s="2941">
        <f t="shared" ref="AA21" si="8">D21/F21</f>
        <v>1</v>
      </c>
      <c r="AB21" s="2941">
        <f t="shared" ref="AB21" si="9">D21/H21</f>
        <v>1</v>
      </c>
      <c r="AC21" s="2941">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6"/>
      <c r="Q22" s="2940"/>
      <c r="R22" s="770"/>
      <c r="S22" s="771"/>
      <c r="T22" s="770"/>
      <c r="U22" s="771"/>
      <c r="V22" s="770"/>
      <c r="W22" s="771"/>
      <c r="X22" s="2942"/>
      <c r="Y22" s="3209"/>
      <c r="Z22" s="2943"/>
      <c r="AA22" s="2941">
        <v>1</v>
      </c>
      <c r="AB22" s="2941">
        <v>1</v>
      </c>
      <c r="AC22" s="2941">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6"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6"/>
      <c r="Q23" s="2940" t="str">
        <f>B23</f>
        <v>自然及人文环境</v>
      </c>
      <c r="R23" s="770" t="s">
        <v>17</v>
      </c>
      <c r="S23" s="771">
        <f>F23</f>
        <v>100</v>
      </c>
      <c r="T23" s="770" t="s">
        <v>17</v>
      </c>
      <c r="U23" s="771">
        <f>H23</f>
        <v>100</v>
      </c>
      <c r="V23" s="770" t="s">
        <v>17</v>
      </c>
      <c r="W23" s="771">
        <f>J23</f>
        <v>100</v>
      </c>
      <c r="X23" s="2942"/>
      <c r="Y23" s="3209"/>
      <c r="Z23" s="2943" t="str">
        <f>Q23</f>
        <v>自然及人文环境</v>
      </c>
      <c r="AA23" s="2941">
        <f t="shared" si="3"/>
        <v>1</v>
      </c>
      <c r="AB23" s="2941">
        <f t="shared" si="4"/>
        <v>1</v>
      </c>
      <c r="AC23" s="2941">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6"/>
      <c r="Q24" s="2940"/>
      <c r="R24" s="770"/>
      <c r="S24" s="771"/>
      <c r="T24" s="770"/>
      <c r="U24" s="771"/>
      <c r="V24" s="770"/>
      <c r="W24" s="771"/>
      <c r="X24" s="2942"/>
      <c r="Y24" s="3209"/>
      <c r="Z24" s="2943"/>
      <c r="AA24" s="2941">
        <v>1</v>
      </c>
      <c r="AB24" s="2941">
        <v>1</v>
      </c>
      <c r="AC24" s="2941">
        <v>1</v>
      </c>
    </row>
    <row r="25" spans="1:29" ht="15">
      <c r="A25" s="427"/>
      <c r="B25" s="2938"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6"/>
      <c r="Q25" s="2940" t="str">
        <f t="shared" ref="Q25:Q46" si="11">B25</f>
        <v>临街状况</v>
      </c>
      <c r="R25" s="770" t="s">
        <v>17</v>
      </c>
      <c r="S25" s="771">
        <f>F25</f>
        <v>102</v>
      </c>
      <c r="T25" s="770" t="s">
        <v>17</v>
      </c>
      <c r="U25" s="771">
        <f>H25</f>
        <v>102</v>
      </c>
      <c r="V25" s="770" t="s">
        <v>17</v>
      </c>
      <c r="W25" s="771">
        <f>J25</f>
        <v>102</v>
      </c>
      <c r="X25" s="2942"/>
      <c r="Y25" s="3209"/>
      <c r="Z25" s="2943" t="str">
        <f>Q25</f>
        <v>临街状况</v>
      </c>
      <c r="AA25" s="2941">
        <f t="shared" si="3"/>
        <v>0.98039215686274506</v>
      </c>
      <c r="AB25" s="2941">
        <f t="shared" si="4"/>
        <v>0.98039215686274506</v>
      </c>
      <c r="AC25" s="2941">
        <f t="shared" si="5"/>
        <v>0.98039215686274506</v>
      </c>
    </row>
    <row r="26" spans="1:29" ht="15">
      <c r="A26" s="427"/>
      <c r="B26" s="1383" t="s">
        <v>2651</v>
      </c>
      <c r="C26" s="2960" t="s">
        <v>3095</v>
      </c>
      <c r="D26" s="434">
        <v>100</v>
      </c>
      <c r="E26" s="2960" t="s">
        <v>3090</v>
      </c>
      <c r="F26" s="460">
        <f>SUMIF(88:88,E26,89:89)-SUMIF(88:88,C26,89:89)+100</f>
        <v>108</v>
      </c>
      <c r="G26" s="2960" t="s">
        <v>3090</v>
      </c>
      <c r="H26" s="434">
        <f>SUMIF(88:88,G26,89:89)-SUMIF(88:88,C26,89:89)+100</f>
        <v>108</v>
      </c>
      <c r="I26" s="2960" t="s">
        <v>3090</v>
      </c>
      <c r="J26" s="434">
        <f>SUMIF(88:88,I26,89:89)-SUMIF(88:88,C26,89:89)+100</f>
        <v>108</v>
      </c>
      <c r="K26" s="612"/>
      <c r="L26" s="1139"/>
      <c r="M26" s="1130"/>
      <c r="N26" s="1130"/>
      <c r="O26" s="1130"/>
      <c r="P26" s="3216"/>
      <c r="Q26" s="2940" t="str">
        <f t="shared" si="11"/>
        <v>平面位置/可视性</v>
      </c>
      <c r="R26" s="770" t="s">
        <v>17</v>
      </c>
      <c r="S26" s="771">
        <f>F26</f>
        <v>108</v>
      </c>
      <c r="T26" s="770" t="s">
        <v>17</v>
      </c>
      <c r="U26" s="771">
        <f>H26</f>
        <v>108</v>
      </c>
      <c r="V26" s="770" t="s">
        <v>17</v>
      </c>
      <c r="W26" s="771">
        <f>J26</f>
        <v>108</v>
      </c>
      <c r="X26" s="2942"/>
      <c r="Y26" s="3209"/>
      <c r="Z26" s="2943" t="str">
        <f>Q26</f>
        <v>平面位置/可视性</v>
      </c>
      <c r="AA26" s="2941">
        <f t="shared" si="3"/>
        <v>0.92592592592592593</v>
      </c>
      <c r="AB26" s="2941">
        <f t="shared" si="4"/>
        <v>0.92592592592592593</v>
      </c>
      <c r="AC26" s="2941">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6"/>
      <c r="Q27" s="2936" t="str">
        <f t="shared" si="11"/>
        <v>人流量</v>
      </c>
      <c r="R27" s="766" t="s">
        <v>17</v>
      </c>
      <c r="S27" s="767">
        <f>F27</f>
        <v>100</v>
      </c>
      <c r="T27" s="766" t="s">
        <v>17</v>
      </c>
      <c r="U27" s="767">
        <f>H27</f>
        <v>100</v>
      </c>
      <c r="V27" s="766" t="s">
        <v>17</v>
      </c>
      <c r="W27" s="767">
        <f>J27</f>
        <v>100</v>
      </c>
      <c r="X27" s="768"/>
      <c r="Y27" s="3209"/>
      <c r="Z27" s="2937" t="str">
        <f>Q27</f>
        <v>人流量</v>
      </c>
      <c r="AA27" s="2941">
        <f>D27/F27</f>
        <v>1</v>
      </c>
      <c r="AB27" s="2941">
        <f>D27/H27</f>
        <v>1</v>
      </c>
      <c r="AC27" s="2941">
        <f>D27/J27</f>
        <v>1</v>
      </c>
    </row>
    <row r="28" spans="1:29" ht="15">
      <c r="A28" s="427"/>
      <c r="B28" s="2938"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6"/>
      <c r="Q28" s="2940" t="str">
        <f t="shared" si="11"/>
        <v>楼层</v>
      </c>
      <c r="R28" s="770" t="s">
        <v>17</v>
      </c>
      <c r="S28" s="771">
        <f t="shared" ref="S28:S46" si="12">F28</f>
        <v>100</v>
      </c>
      <c r="T28" s="770" t="s">
        <v>17</v>
      </c>
      <c r="U28" s="771">
        <f t="shared" ref="U28:U46" si="13">H28</f>
        <v>100</v>
      </c>
      <c r="V28" s="770" t="s">
        <v>17</v>
      </c>
      <c r="W28" s="771">
        <f t="shared" ref="W28:W46" si="14">J28</f>
        <v>100</v>
      </c>
      <c r="X28" s="2942"/>
      <c r="Y28" s="3209"/>
      <c r="Z28" s="2943" t="str">
        <f t="shared" ref="Z28:Z46" si="15">Q28</f>
        <v>楼层</v>
      </c>
      <c r="AA28" s="2941">
        <f t="shared" si="3"/>
        <v>1</v>
      </c>
      <c r="AB28" s="2941">
        <f t="shared" si="4"/>
        <v>1</v>
      </c>
      <c r="AC28" s="294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6"/>
      <c r="Q29" s="2940">
        <f t="shared" si="11"/>
        <v>111</v>
      </c>
      <c r="R29" s="770" t="s">
        <v>17</v>
      </c>
      <c r="S29" s="771">
        <f t="shared" si="12"/>
        <v>100</v>
      </c>
      <c r="T29" s="770" t="s">
        <v>17</v>
      </c>
      <c r="U29" s="771">
        <f t="shared" si="13"/>
        <v>100</v>
      </c>
      <c r="V29" s="770" t="s">
        <v>17</v>
      </c>
      <c r="W29" s="771">
        <f t="shared" si="14"/>
        <v>100</v>
      </c>
      <c r="X29" s="2942"/>
      <c r="Y29" s="3209"/>
      <c r="Z29" s="2943">
        <f t="shared" si="15"/>
        <v>111</v>
      </c>
      <c r="AA29" s="2941">
        <f t="shared" si="3"/>
        <v>1</v>
      </c>
      <c r="AB29" s="2941">
        <f t="shared" si="4"/>
        <v>1</v>
      </c>
      <c r="AC29" s="294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6"/>
      <c r="Q30" s="2940">
        <f t="shared" si="11"/>
        <v>111</v>
      </c>
      <c r="R30" s="770" t="s">
        <v>17</v>
      </c>
      <c r="S30" s="771">
        <f t="shared" si="12"/>
        <v>100</v>
      </c>
      <c r="T30" s="770" t="s">
        <v>17</v>
      </c>
      <c r="U30" s="771">
        <f t="shared" si="13"/>
        <v>100</v>
      </c>
      <c r="V30" s="770" t="s">
        <v>17</v>
      </c>
      <c r="W30" s="771">
        <f t="shared" si="14"/>
        <v>100</v>
      </c>
      <c r="X30" s="2942"/>
      <c r="Y30" s="3209"/>
      <c r="Z30" s="2943">
        <f t="shared" si="15"/>
        <v>111</v>
      </c>
      <c r="AA30" s="2941">
        <f t="shared" si="3"/>
        <v>1</v>
      </c>
      <c r="AB30" s="2941">
        <f t="shared" si="4"/>
        <v>1</v>
      </c>
      <c r="AC30" s="2941">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6"/>
      <c r="Q31" s="2940">
        <f t="shared" si="11"/>
        <v>111</v>
      </c>
      <c r="R31" s="770" t="s">
        <v>17</v>
      </c>
      <c r="S31" s="771">
        <f t="shared" si="12"/>
        <v>100</v>
      </c>
      <c r="T31" s="770" t="s">
        <v>17</v>
      </c>
      <c r="U31" s="771">
        <f t="shared" si="13"/>
        <v>100</v>
      </c>
      <c r="V31" s="770" t="s">
        <v>17</v>
      </c>
      <c r="W31" s="771">
        <f t="shared" si="14"/>
        <v>100</v>
      </c>
      <c r="X31" s="2942"/>
      <c r="Y31" s="3209"/>
      <c r="Z31" s="2943">
        <f t="shared" si="15"/>
        <v>111</v>
      </c>
      <c r="AA31" s="2941">
        <f t="shared" si="3"/>
        <v>1</v>
      </c>
      <c r="AB31" s="2941">
        <f t="shared" si="4"/>
        <v>1</v>
      </c>
      <c r="AC31" s="2941">
        <f t="shared" si="5"/>
        <v>1</v>
      </c>
    </row>
    <row r="32" spans="1:29" ht="15">
      <c r="A32" s="439" t="s">
        <v>2557</v>
      </c>
      <c r="B32" s="70" t="s">
        <v>2654</v>
      </c>
      <c r="C32" s="2611" t="s">
        <v>3102</v>
      </c>
      <c r="D32" s="466">
        <v>100</v>
      </c>
      <c r="E32" s="2611" t="s">
        <v>3100</v>
      </c>
      <c r="F32" s="460">
        <f>SUMIF(100:100,E32,101:101)-SUMIF(100:100,C32,101:101)+100</f>
        <v>103</v>
      </c>
      <c r="G32" s="2611" t="s">
        <v>3100</v>
      </c>
      <c r="H32" s="434">
        <f>SUMIF(100:100,G32,101:101)-SUMIF(100:100,C32,101:101)+100</f>
        <v>103</v>
      </c>
      <c r="I32" s="2611" t="s">
        <v>3100</v>
      </c>
      <c r="J32" s="466">
        <f>SUMIF(100:100,I32,101:101)-SUMIF(100:100,C32,101:101)+100</f>
        <v>103</v>
      </c>
      <c r="K32" s="611">
        <v>3</v>
      </c>
      <c r="L32" s="1139"/>
      <c r="M32" s="1130"/>
      <c r="N32" s="1130"/>
      <c r="O32" s="1130"/>
      <c r="P32" s="3210" t="s">
        <v>2559</v>
      </c>
      <c r="Q32" s="2940" t="str">
        <f t="shared" si="11"/>
        <v>商业类型</v>
      </c>
      <c r="R32" s="770" t="s">
        <v>17</v>
      </c>
      <c r="S32" s="771">
        <f t="shared" si="12"/>
        <v>103</v>
      </c>
      <c r="T32" s="770" t="s">
        <v>17</v>
      </c>
      <c r="U32" s="771">
        <f t="shared" si="13"/>
        <v>103</v>
      </c>
      <c r="V32" s="770" t="s">
        <v>17</v>
      </c>
      <c r="W32" s="771">
        <f t="shared" si="14"/>
        <v>103</v>
      </c>
      <c r="X32" s="2942"/>
      <c r="Y32" s="3213" t="s">
        <v>2559</v>
      </c>
      <c r="Z32" s="2943" t="str">
        <f t="shared" si="15"/>
        <v>商业类型</v>
      </c>
      <c r="AA32" s="2941">
        <f t="shared" si="3"/>
        <v>0.970873786407767</v>
      </c>
      <c r="AB32" s="2941">
        <f t="shared" si="4"/>
        <v>0.970873786407767</v>
      </c>
      <c r="AC32" s="2941">
        <f t="shared" si="5"/>
        <v>0.970873786407767</v>
      </c>
    </row>
    <row r="33" spans="1:29" s="470" customFormat="1" ht="15">
      <c r="A33" s="467"/>
      <c r="B33" s="2938" t="s">
        <v>2560</v>
      </c>
      <c r="C33" s="468">
        <f>'数据-基础表'!I13</f>
        <v>164.79</v>
      </c>
      <c r="D33" s="135">
        <v>100</v>
      </c>
      <c r="E33" s="429">
        <v>120</v>
      </c>
      <c r="F33" s="424">
        <f>LOOKUP(E33,103:103,104:104)-LOOKUP(C33,103:103,104:104)+100</f>
        <v>100</v>
      </c>
      <c r="G33" s="428">
        <v>160</v>
      </c>
      <c r="H33" s="135">
        <f>LOOKUP(G33,103:103,104:104)-LOOKUP(C33,103:103,104:104)+100</f>
        <v>100</v>
      </c>
      <c r="I33" s="428">
        <v>208</v>
      </c>
      <c r="J33" s="135">
        <f>LOOKUP(I33,103:103,104:104)-LOOKUP(C33,103:103,104:104)+100</f>
        <v>100</v>
      </c>
      <c r="K33" s="612"/>
      <c r="L33" s="1137"/>
      <c r="M33" s="1140"/>
      <c r="N33" s="1140"/>
      <c r="O33" s="1140"/>
      <c r="P33" s="3211"/>
      <c r="Q33" s="772" t="str">
        <f t="shared" si="11"/>
        <v>项目建筑规模</v>
      </c>
      <c r="R33" s="773" t="s">
        <v>17</v>
      </c>
      <c r="S33" s="774">
        <f t="shared" si="12"/>
        <v>100</v>
      </c>
      <c r="T33" s="773" t="s">
        <v>17</v>
      </c>
      <c r="U33" s="774">
        <f t="shared" si="13"/>
        <v>100</v>
      </c>
      <c r="V33" s="773" t="s">
        <v>17</v>
      </c>
      <c r="W33" s="774">
        <f t="shared" si="14"/>
        <v>100</v>
      </c>
      <c r="X33" s="775"/>
      <c r="Y33" s="3213"/>
      <c r="Z33" s="776" t="str">
        <f t="shared" si="15"/>
        <v>项目建筑规模</v>
      </c>
      <c r="AA33" s="2941">
        <f t="shared" si="3"/>
        <v>1</v>
      </c>
      <c r="AB33" s="2941">
        <f t="shared" si="4"/>
        <v>1</v>
      </c>
      <c r="AC33" s="2941">
        <f t="shared" si="5"/>
        <v>1</v>
      </c>
    </row>
    <row r="34" spans="1:29" ht="15">
      <c r="A34" s="471"/>
      <c r="B34" s="2938"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11"/>
      <c r="Q34" s="2940" t="str">
        <f t="shared" si="11"/>
        <v>建筑结构</v>
      </c>
      <c r="R34" s="770" t="s">
        <v>17</v>
      </c>
      <c r="S34" s="771">
        <f t="shared" si="12"/>
        <v>100</v>
      </c>
      <c r="T34" s="770" t="s">
        <v>17</v>
      </c>
      <c r="U34" s="771">
        <f t="shared" si="13"/>
        <v>100</v>
      </c>
      <c r="V34" s="770" t="s">
        <v>17</v>
      </c>
      <c r="W34" s="771">
        <f t="shared" si="14"/>
        <v>100</v>
      </c>
      <c r="X34" s="2942"/>
      <c r="Y34" s="3213"/>
      <c r="Z34" s="2943" t="str">
        <f t="shared" si="15"/>
        <v>建筑结构</v>
      </c>
      <c r="AA34" s="2941">
        <f t="shared" si="3"/>
        <v>1</v>
      </c>
      <c r="AB34" s="2941">
        <f t="shared" si="4"/>
        <v>1</v>
      </c>
      <c r="AC34" s="2941">
        <f t="shared" si="5"/>
        <v>1</v>
      </c>
    </row>
    <row r="35" spans="1:29" ht="15">
      <c r="A35" s="471"/>
      <c r="B35" s="2938"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11"/>
      <c r="Q35" s="2940" t="str">
        <f t="shared" si="11"/>
        <v>公共部分装修</v>
      </c>
      <c r="R35" s="770" t="s">
        <v>17</v>
      </c>
      <c r="S35" s="771">
        <f t="shared" si="12"/>
        <v>100</v>
      </c>
      <c r="T35" s="770" t="s">
        <v>17</v>
      </c>
      <c r="U35" s="771">
        <f t="shared" si="13"/>
        <v>100</v>
      </c>
      <c r="V35" s="770" t="s">
        <v>17</v>
      </c>
      <c r="W35" s="771">
        <f t="shared" si="14"/>
        <v>100</v>
      </c>
      <c r="X35" s="2942"/>
      <c r="Y35" s="3213"/>
      <c r="Z35" s="2943" t="str">
        <f t="shared" si="15"/>
        <v>公共部分装修</v>
      </c>
      <c r="AA35" s="2941">
        <f t="shared" si="3"/>
        <v>1</v>
      </c>
      <c r="AB35" s="2941">
        <f t="shared" si="4"/>
        <v>1</v>
      </c>
      <c r="AC35" s="2941">
        <f t="shared" si="5"/>
        <v>1</v>
      </c>
    </row>
    <row r="36" spans="1:29" ht="15">
      <c r="A36" s="471"/>
      <c r="B36" s="2938" t="s">
        <v>2656</v>
      </c>
      <c r="C36" s="473">
        <f>'数据-取费表'!N6</f>
        <v>0.76</v>
      </c>
      <c r="D36" s="434">
        <v>100</v>
      </c>
      <c r="E36" s="473">
        <v>0.7</v>
      </c>
      <c r="F36" s="460">
        <f>LOOKUP(E36,110:110,111:111)-LOOKUP(C36,110:110,111:111)+100</f>
        <v>100</v>
      </c>
      <c r="G36" s="473">
        <v>0.7</v>
      </c>
      <c r="H36" s="460">
        <f>LOOKUP(G36,110:110,111:111)-LOOKUP(C36,110:110,111:111)+100</f>
        <v>100</v>
      </c>
      <c r="I36" s="473">
        <v>0.7</v>
      </c>
      <c r="J36" s="434">
        <f>LOOKUP(I36,110:110,111:111)-LOOKUP(C36,110:110,111:111)+100</f>
        <v>100</v>
      </c>
      <c r="K36" s="611">
        <v>2</v>
      </c>
      <c r="L36" s="1139"/>
      <c r="M36" s="1130"/>
      <c r="N36" s="1130"/>
      <c r="O36" s="1130"/>
      <c r="P36" s="3211"/>
      <c r="Q36" s="2940" t="str">
        <f t="shared" si="11"/>
        <v>成新度</v>
      </c>
      <c r="R36" s="770" t="s">
        <v>17</v>
      </c>
      <c r="S36" s="771">
        <f t="shared" si="12"/>
        <v>100</v>
      </c>
      <c r="T36" s="770" t="s">
        <v>17</v>
      </c>
      <c r="U36" s="771">
        <f t="shared" si="13"/>
        <v>100</v>
      </c>
      <c r="V36" s="770" t="s">
        <v>17</v>
      </c>
      <c r="W36" s="771">
        <f t="shared" si="14"/>
        <v>100</v>
      </c>
      <c r="X36" s="2942"/>
      <c r="Y36" s="3213"/>
      <c r="Z36" s="2943" t="str">
        <f t="shared" si="15"/>
        <v>成新度</v>
      </c>
      <c r="AA36" s="2941">
        <f t="shared" si="3"/>
        <v>1</v>
      </c>
      <c r="AB36" s="2941">
        <f t="shared" si="4"/>
        <v>1</v>
      </c>
      <c r="AC36" s="2941">
        <f t="shared" si="5"/>
        <v>1</v>
      </c>
    </row>
    <row r="37" spans="1:29" s="116" customFormat="1" ht="15">
      <c r="A37" s="472"/>
      <c r="B37" s="2938"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11"/>
      <c r="Q37" s="2936" t="str">
        <f t="shared" si="11"/>
        <v>市政基础设施</v>
      </c>
      <c r="R37" s="766" t="s">
        <v>17</v>
      </c>
      <c r="S37" s="767">
        <f t="shared" si="12"/>
        <v>100</v>
      </c>
      <c r="T37" s="766" t="s">
        <v>17</v>
      </c>
      <c r="U37" s="767">
        <f t="shared" si="13"/>
        <v>100</v>
      </c>
      <c r="V37" s="766" t="s">
        <v>17</v>
      </c>
      <c r="W37" s="767">
        <f t="shared" si="14"/>
        <v>100</v>
      </c>
      <c r="X37" s="768"/>
      <c r="Y37" s="3213"/>
      <c r="Z37" s="2937" t="str">
        <f t="shared" si="15"/>
        <v>市政基础设施</v>
      </c>
      <c r="AA37" s="769">
        <f t="shared" si="3"/>
        <v>1</v>
      </c>
      <c r="AB37" s="769">
        <f t="shared" si="4"/>
        <v>1</v>
      </c>
      <c r="AC37" s="769">
        <f t="shared" si="5"/>
        <v>1</v>
      </c>
    </row>
    <row r="38" spans="1:29" ht="15">
      <c r="A38" s="471"/>
      <c r="B38" s="2938"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11" t="s">
        <v>2559</v>
      </c>
      <c r="Q38" s="2940" t="str">
        <f t="shared" si="11"/>
        <v>业态</v>
      </c>
      <c r="R38" s="770" t="s">
        <v>17</v>
      </c>
      <c r="S38" s="771">
        <f t="shared" si="12"/>
        <v>100</v>
      </c>
      <c r="T38" s="770" t="s">
        <v>17</v>
      </c>
      <c r="U38" s="771">
        <f t="shared" si="13"/>
        <v>100</v>
      </c>
      <c r="V38" s="770" t="s">
        <v>17</v>
      </c>
      <c r="W38" s="771">
        <f t="shared" si="14"/>
        <v>100</v>
      </c>
      <c r="X38" s="2942"/>
      <c r="Y38" s="3213" t="s">
        <v>2559</v>
      </c>
      <c r="Z38" s="2943" t="str">
        <f t="shared" si="15"/>
        <v>业态</v>
      </c>
      <c r="AA38" s="2941">
        <f t="shared" si="3"/>
        <v>1</v>
      </c>
      <c r="AB38" s="2941">
        <f t="shared" si="4"/>
        <v>1</v>
      </c>
      <c r="AC38" s="2941">
        <f t="shared" si="5"/>
        <v>1</v>
      </c>
    </row>
    <row r="39" spans="1:29" ht="15">
      <c r="A39" s="471"/>
      <c r="B39" s="2938"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11"/>
      <c r="Q39" s="2940" t="str">
        <f t="shared" si="11"/>
        <v>层高</v>
      </c>
      <c r="R39" s="770" t="s">
        <v>17</v>
      </c>
      <c r="S39" s="771">
        <f t="shared" si="12"/>
        <v>100</v>
      </c>
      <c r="T39" s="770" t="s">
        <v>17</v>
      </c>
      <c r="U39" s="771">
        <f t="shared" si="13"/>
        <v>100</v>
      </c>
      <c r="V39" s="770" t="s">
        <v>17</v>
      </c>
      <c r="W39" s="771">
        <f t="shared" si="14"/>
        <v>100</v>
      </c>
      <c r="X39" s="2942"/>
      <c r="Y39" s="3213"/>
      <c r="Z39" s="2943" t="str">
        <f t="shared" si="15"/>
        <v>层高</v>
      </c>
      <c r="AA39" s="2941">
        <f t="shared" si="3"/>
        <v>1</v>
      </c>
      <c r="AB39" s="2941">
        <f t="shared" si="4"/>
        <v>1</v>
      </c>
      <c r="AC39" s="2941">
        <f t="shared" si="5"/>
        <v>1</v>
      </c>
    </row>
    <row r="40" spans="1:29" ht="15">
      <c r="A40" s="471"/>
      <c r="B40" s="2938"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1"/>
      <c r="Q40" s="2940" t="str">
        <f t="shared" si="11"/>
        <v>单套建筑面积</v>
      </c>
      <c r="R40" s="770" t="s">
        <v>17</v>
      </c>
      <c r="S40" s="771">
        <f t="shared" si="12"/>
        <v>100</v>
      </c>
      <c r="T40" s="770" t="s">
        <v>17</v>
      </c>
      <c r="U40" s="771">
        <f t="shared" si="13"/>
        <v>100</v>
      </c>
      <c r="V40" s="770" t="s">
        <v>17</v>
      </c>
      <c r="W40" s="771">
        <f t="shared" si="14"/>
        <v>100</v>
      </c>
      <c r="X40" s="2942"/>
      <c r="Y40" s="3213"/>
      <c r="Z40" s="2943" t="str">
        <f t="shared" si="15"/>
        <v>单套建筑面积</v>
      </c>
      <c r="AA40" s="2941">
        <f t="shared" si="3"/>
        <v>1</v>
      </c>
      <c r="AB40" s="2941">
        <f t="shared" si="4"/>
        <v>1</v>
      </c>
      <c r="AC40" s="2941">
        <f t="shared" si="5"/>
        <v>1</v>
      </c>
    </row>
    <row r="41" spans="1:29" s="470" customFormat="1" ht="15">
      <c r="A41" s="467"/>
      <c r="B41" s="293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11"/>
      <c r="Q41" s="772" t="str">
        <f t="shared" si="11"/>
        <v>进深比</v>
      </c>
      <c r="R41" s="773" t="s">
        <v>17</v>
      </c>
      <c r="S41" s="774">
        <f t="shared" si="12"/>
        <v>100</v>
      </c>
      <c r="T41" s="773" t="s">
        <v>17</v>
      </c>
      <c r="U41" s="774">
        <f t="shared" si="13"/>
        <v>100</v>
      </c>
      <c r="V41" s="773" t="s">
        <v>17</v>
      </c>
      <c r="W41" s="774">
        <f t="shared" si="14"/>
        <v>100</v>
      </c>
      <c r="X41" s="775"/>
      <c r="Y41" s="3213"/>
      <c r="Z41" s="776" t="str">
        <f t="shared" si="15"/>
        <v>进深比</v>
      </c>
      <c r="AA41" s="2941">
        <f t="shared" si="3"/>
        <v>1</v>
      </c>
      <c r="AB41" s="2941">
        <f t="shared" si="4"/>
        <v>1</v>
      </c>
      <c r="AC41" s="2941">
        <f t="shared" si="5"/>
        <v>1</v>
      </c>
    </row>
    <row r="42" spans="1:29" ht="15">
      <c r="A42" s="471"/>
      <c r="B42" s="2938"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11"/>
      <c r="Q42" s="2940" t="str">
        <f t="shared" si="11"/>
        <v>内部装修</v>
      </c>
      <c r="R42" s="770" t="s">
        <v>17</v>
      </c>
      <c r="S42" s="771">
        <f t="shared" si="12"/>
        <v>98</v>
      </c>
      <c r="T42" s="770" t="s">
        <v>17</v>
      </c>
      <c r="U42" s="771">
        <f t="shared" si="13"/>
        <v>98</v>
      </c>
      <c r="V42" s="770" t="s">
        <v>17</v>
      </c>
      <c r="W42" s="771">
        <f t="shared" si="14"/>
        <v>98</v>
      </c>
      <c r="X42" s="2942"/>
      <c r="Y42" s="3213"/>
      <c r="Z42" s="2943" t="str">
        <f t="shared" si="15"/>
        <v>内部装修</v>
      </c>
      <c r="AA42" s="2941">
        <f t="shared" si="3"/>
        <v>1.0204081632653061</v>
      </c>
      <c r="AB42" s="2941">
        <f t="shared" si="4"/>
        <v>1.0204081632653061</v>
      </c>
      <c r="AC42" s="2941">
        <f t="shared" si="5"/>
        <v>1.0204081632653061</v>
      </c>
    </row>
    <row r="43" spans="1:29" ht="15">
      <c r="A43" s="471"/>
      <c r="B43" s="2938"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11"/>
      <c r="Q43" s="2940" t="str">
        <f t="shared" si="11"/>
        <v>内部装修维护情况</v>
      </c>
      <c r="R43" s="770" t="s">
        <v>17</v>
      </c>
      <c r="S43" s="771">
        <f t="shared" si="12"/>
        <v>100</v>
      </c>
      <c r="T43" s="770" t="s">
        <v>17</v>
      </c>
      <c r="U43" s="771">
        <f t="shared" si="13"/>
        <v>100</v>
      </c>
      <c r="V43" s="770" t="s">
        <v>17</v>
      </c>
      <c r="W43" s="771">
        <f t="shared" si="14"/>
        <v>100</v>
      </c>
      <c r="X43" s="2942"/>
      <c r="Y43" s="3213"/>
      <c r="Z43" s="2943" t="str">
        <f t="shared" si="15"/>
        <v>内部装修维护情况</v>
      </c>
      <c r="AA43" s="2941">
        <f t="shared" si="3"/>
        <v>1</v>
      </c>
      <c r="AB43" s="2941">
        <f t="shared" si="4"/>
        <v>1</v>
      </c>
      <c r="AC43" s="294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1"/>
      <c r="Q44" s="2936">
        <f t="shared" si="11"/>
        <v>111</v>
      </c>
      <c r="R44" s="766" t="s">
        <v>17</v>
      </c>
      <c r="S44" s="767">
        <f t="shared" si="12"/>
        <v>100</v>
      </c>
      <c r="T44" s="766" t="s">
        <v>17</v>
      </c>
      <c r="U44" s="767">
        <f t="shared" si="13"/>
        <v>100</v>
      </c>
      <c r="V44" s="766" t="s">
        <v>17</v>
      </c>
      <c r="W44" s="767">
        <f t="shared" si="14"/>
        <v>100</v>
      </c>
      <c r="X44" s="768"/>
      <c r="Y44" s="3213"/>
      <c r="Z44" s="2937">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1"/>
      <c r="Q45" s="2940">
        <f t="shared" si="11"/>
        <v>111</v>
      </c>
      <c r="R45" s="770" t="s">
        <v>17</v>
      </c>
      <c r="S45" s="771">
        <f t="shared" si="12"/>
        <v>100</v>
      </c>
      <c r="T45" s="770" t="s">
        <v>17</v>
      </c>
      <c r="U45" s="771">
        <f t="shared" si="13"/>
        <v>100</v>
      </c>
      <c r="V45" s="770" t="s">
        <v>17</v>
      </c>
      <c r="W45" s="771">
        <f t="shared" si="14"/>
        <v>100</v>
      </c>
      <c r="X45" s="2942"/>
      <c r="Y45" s="3213"/>
      <c r="Z45" s="2943">
        <f t="shared" si="15"/>
        <v>111</v>
      </c>
      <c r="AA45" s="2941">
        <f t="shared" si="3"/>
        <v>1</v>
      </c>
      <c r="AB45" s="2941">
        <f t="shared" si="4"/>
        <v>1</v>
      </c>
      <c r="AC45" s="2941">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2"/>
      <c r="Q46" s="2940">
        <f t="shared" si="11"/>
        <v>111</v>
      </c>
      <c r="R46" s="770" t="s">
        <v>17</v>
      </c>
      <c r="S46" s="771">
        <f t="shared" si="12"/>
        <v>100</v>
      </c>
      <c r="T46" s="770" t="s">
        <v>17</v>
      </c>
      <c r="U46" s="771">
        <f t="shared" si="13"/>
        <v>100</v>
      </c>
      <c r="V46" s="770" t="s">
        <v>17</v>
      </c>
      <c r="W46" s="771">
        <f t="shared" si="14"/>
        <v>100</v>
      </c>
      <c r="X46" s="2942"/>
      <c r="Y46" s="3214"/>
      <c r="Z46" s="2943">
        <f t="shared" si="15"/>
        <v>111</v>
      </c>
      <c r="AA46" s="2941">
        <f t="shared" si="3"/>
        <v>1</v>
      </c>
      <c r="AB46" s="2941">
        <f t="shared" si="4"/>
        <v>1</v>
      </c>
      <c r="AC46" s="2941">
        <f t="shared" si="5"/>
        <v>1</v>
      </c>
    </row>
    <row r="47" spans="1:29" ht="15">
      <c r="A47" s="478" t="s">
        <v>2571</v>
      </c>
      <c r="B47" s="479"/>
      <c r="C47" s="1404" t="s">
        <v>1</v>
      </c>
      <c r="D47" s="1405"/>
      <c r="E47" s="1406">
        <v>20</v>
      </c>
      <c r="F47" s="1407"/>
      <c r="G47" s="1408">
        <v>21</v>
      </c>
      <c r="H47" s="1409"/>
      <c r="I47" s="1406">
        <v>19</v>
      </c>
      <c r="J47" s="1409"/>
      <c r="K47" s="779"/>
      <c r="L47" s="1142"/>
      <c r="M47" s="1143"/>
      <c r="N47" s="1130"/>
      <c r="O47" s="1143"/>
      <c r="P47" s="3206" t="str">
        <f>A47</f>
        <v>成交单价（元/平方米）</v>
      </c>
      <c r="Q47" s="3206"/>
      <c r="R47" s="3237">
        <f>E47</f>
        <v>20</v>
      </c>
      <c r="S47" s="3237"/>
      <c r="T47" s="3237">
        <f>G47</f>
        <v>21</v>
      </c>
      <c r="U47" s="3237"/>
      <c r="V47" s="3237">
        <f>I47</f>
        <v>19</v>
      </c>
      <c r="W47" s="3237"/>
      <c r="X47" s="755"/>
      <c r="Y47" s="777"/>
      <c r="Z47" s="755"/>
      <c r="AA47" s="755"/>
      <c r="AB47" s="755"/>
      <c r="AC47" s="755"/>
    </row>
    <row r="48" spans="1:29" ht="15.75" thickBot="1">
      <c r="A48" s="485" t="s">
        <v>2572</v>
      </c>
      <c r="B48" s="486"/>
      <c r="C48" s="1410">
        <f>R49</f>
        <v>18</v>
      </c>
      <c r="D48" s="1411"/>
      <c r="E48" s="1412">
        <f>R48</f>
        <v>18</v>
      </c>
      <c r="F48" s="1412"/>
      <c r="G48" s="1410">
        <f>T48</f>
        <v>18.899999999999999</v>
      </c>
      <c r="H48" s="1411"/>
      <c r="I48" s="1412">
        <f>V48</f>
        <v>17.100000000000001</v>
      </c>
      <c r="J48" s="1411"/>
      <c r="K48" s="780"/>
      <c r="L48" s="1142"/>
      <c r="M48" s="1143"/>
      <c r="N48" s="1130"/>
      <c r="O48" s="1143"/>
      <c r="P48" s="3206" t="str">
        <f>A48</f>
        <v>比较价值（元/平方米）</v>
      </c>
      <c r="Q48" s="3206"/>
      <c r="R48" s="3207">
        <f>IF(F1="售价",ROUND(PRODUCT(R47,AA7:AA46),0),ROUND(PRODUCT(R47,AA7:AA46),1))</f>
        <v>18</v>
      </c>
      <c r="S48" s="3207"/>
      <c r="T48" s="3207">
        <f>IF(F1="售价",ROUND(PRODUCT(T47,AB7:AB46),0),ROUND(PRODUCT(T47,AB7:AB46),1))</f>
        <v>18.899999999999999</v>
      </c>
      <c r="U48" s="3207"/>
      <c r="V48" s="3207">
        <f>IF(F1="售价",ROUND(PRODUCT(V47,AC7:AC46),0),ROUND(PRODUCT(V47,AC7:AC46),1))</f>
        <v>17.100000000000001</v>
      </c>
      <c r="W48" s="3207"/>
      <c r="X48" s="755"/>
      <c r="Y48" s="755"/>
      <c r="Z48" s="755"/>
      <c r="AA48" s="755"/>
      <c r="AB48" s="755"/>
      <c r="AC48" s="755"/>
    </row>
    <row r="49" spans="1:29" ht="15.75" thickBot="1">
      <c r="A49" s="491" t="s">
        <v>2573</v>
      </c>
      <c r="B49" s="492"/>
      <c r="C49" s="1414">
        <f>R49</f>
        <v>18</v>
      </c>
      <c r="D49" s="1414"/>
      <c r="E49" s="1414"/>
      <c r="F49" s="1414"/>
      <c r="G49" s="1414"/>
      <c r="H49" s="1414"/>
      <c r="I49" s="1414"/>
      <c r="J49" s="1414"/>
      <c r="K49" s="781"/>
      <c r="L49" s="1142"/>
      <c r="M49" s="1143"/>
      <c r="N49" s="1130"/>
      <c r="O49" s="1143"/>
      <c r="P49" s="3203" t="str">
        <f>A49</f>
        <v>估价对象XX用房的比较价值（楼面单价，元/平方米）</v>
      </c>
      <c r="Q49" s="3204"/>
      <c r="R49" s="3205">
        <f>IF(F1="售价",ROUND(AVERAGE(R48:V48),0),ROUND(AVERAGE(R48:V48),1))</f>
        <v>18</v>
      </c>
      <c r="S49" s="3205"/>
      <c r="T49" s="3205"/>
      <c r="U49" s="3205"/>
      <c r="V49" s="3205"/>
      <c r="W49" s="320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2574</v>
      </c>
      <c r="D52" s="497"/>
      <c r="E52" s="498">
        <f>IF(E47&lt;E48,E48/E47-1,E47/E48-1)</f>
        <v>0.11111111111111116</v>
      </c>
      <c r="F52" s="499" t="str">
        <f>IF(OR(E52&gt;=0.3,E52&lt;=-0.3),"超过30%","")</f>
        <v/>
      </c>
      <c r="G52" s="498">
        <f>IF(G47&lt;G48,G48/G47-1,G47/G48-1)</f>
        <v>0.11111111111111116</v>
      </c>
      <c r="H52" s="499" t="str">
        <f>IF(OR(G52&gt;=0.3,G52&lt;=-0.3),"超过30%","")</f>
        <v/>
      </c>
      <c r="I52" s="498">
        <f>IF(I47&lt;I48,I48/I47-1,I47/I48-1)</f>
        <v>0.11111111111111094</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2575</v>
      </c>
      <c r="D53" s="500"/>
      <c r="E53" s="498">
        <f>IF(E48&lt;G48,G48/E48-1,E48/G48-1)</f>
        <v>4.9999999999999822E-2</v>
      </c>
      <c r="F53" s="499" t="str">
        <f>IF(OR(E53&gt;=0.2,E53&lt;=-0.2),"超过20%","")</f>
        <v/>
      </c>
      <c r="G53" s="498">
        <f>IF(G48&lt;I48,I48/G48-1,G48/I48-1)</f>
        <v>0.10526315789473673</v>
      </c>
      <c r="H53" s="499" t="str">
        <f>IF(OR(G53&gt;=0.2,G53&lt;=-0.2),"超过20%","")</f>
        <v/>
      </c>
      <c r="I53" s="498">
        <f>IF(I48&lt;E48,E48/I48-1,I48/E48-1)</f>
        <v>5.2631578947368363E-2</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2576</v>
      </c>
      <c r="D54" s="500"/>
      <c r="E54" s="498">
        <f>IF(E47&lt;G47,G47/E47-1,E47/G47-1)</f>
        <v>5.0000000000000044E-2</v>
      </c>
      <c r="F54" s="499" t="str">
        <f>IF(OR(E54&gt;=0.3,E54&lt;=-0.3),"超过30%","")</f>
        <v/>
      </c>
      <c r="G54" s="498">
        <f>IF(G47&lt;I47,I47/G47-1,G47/I47-1)</f>
        <v>0.10526315789473695</v>
      </c>
      <c r="H54" s="499" t="str">
        <f>IF(OR(G54&gt;=0.3,G54&lt;=-0.3),"超过30%","")</f>
        <v/>
      </c>
      <c r="I54" s="498">
        <f>IF(I47&lt;E47,E47/I47-1,I47/E47-1)</f>
        <v>5.2631578947368363E-2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2577</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78</v>
      </c>
      <c r="E81" s="543">
        <f>D81-$K19</f>
        <v>56</v>
      </c>
      <c r="F81" s="543">
        <f>E81-$K19</f>
        <v>34</v>
      </c>
      <c r="G81" s="543">
        <f>F81-$K19</f>
        <v>12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L52" sqref="L5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3078</v>
      </c>
      <c r="G1" s="1628" t="s">
        <v>2637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2321</v>
      </c>
      <c r="B2" s="1415">
        <f>IF(C2="——",ROUND(C49*D3/10000,0),ROUND(C49*D3/10000,0)-D2)</f>
        <v>79283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2323</v>
      </c>
      <c r="B3" s="608">
        <f>IF(C2="——",C49,ROUND(B2*10000/D3,0))</f>
        <v>112484</v>
      </c>
      <c r="C3" s="399" t="s">
        <v>2638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2639</v>
      </c>
      <c r="B4" s="401"/>
      <c r="C4" s="3221" t="s">
        <v>2640</v>
      </c>
      <c r="D4" s="3222"/>
      <c r="E4" s="3223" t="s">
        <v>2641</v>
      </c>
      <c r="F4" s="3224"/>
      <c r="G4" s="3221" t="s">
        <v>2642</v>
      </c>
      <c r="H4" s="3222"/>
      <c r="I4" s="3221" t="s">
        <v>2643</v>
      </c>
      <c r="J4" s="3222"/>
      <c r="K4" s="609" t="s">
        <v>2644</v>
      </c>
      <c r="L4" s="1129"/>
      <c r="M4" s="1130"/>
      <c r="N4" s="1130"/>
      <c r="O4" s="1130"/>
      <c r="P4" s="3225" t="s">
        <v>2645</v>
      </c>
      <c r="Q4" s="3226"/>
      <c r="R4" s="3231" t="s">
        <v>2641</v>
      </c>
      <c r="S4" s="3232"/>
      <c r="T4" s="3231" t="s">
        <v>2642</v>
      </c>
      <c r="U4" s="3232"/>
      <c r="V4" s="3237" t="s">
        <v>2643</v>
      </c>
      <c r="W4" s="3237"/>
      <c r="X4" s="1810"/>
      <c r="Y4" s="3231" t="s">
        <v>2645</v>
      </c>
      <c r="Z4" s="3232"/>
      <c r="AA4" s="3218" t="s">
        <v>2641</v>
      </c>
      <c r="AB4" s="3237" t="s">
        <v>2642</v>
      </c>
      <c r="AC4" s="3218" t="s">
        <v>2643</v>
      </c>
    </row>
    <row r="5" spans="1:29" ht="15">
      <c r="A5" s="403"/>
      <c r="B5" s="404"/>
      <c r="C5" s="3249" t="s">
        <v>3079</v>
      </c>
      <c r="D5" s="3241"/>
      <c r="E5" s="3250" t="s">
        <v>3080</v>
      </c>
      <c r="F5" s="3248"/>
      <c r="G5" s="3249" t="s">
        <v>3081</v>
      </c>
      <c r="H5" s="3241"/>
      <c r="I5" s="3249" t="s">
        <v>3082</v>
      </c>
      <c r="J5" s="3241"/>
      <c r="K5" s="609"/>
      <c r="L5" s="1129"/>
      <c r="M5" s="1130"/>
      <c r="N5" s="1130"/>
      <c r="O5" s="1130"/>
      <c r="P5" s="3227"/>
      <c r="Q5" s="3228"/>
      <c r="R5" s="3233"/>
      <c r="S5" s="3234"/>
      <c r="T5" s="3233"/>
      <c r="U5" s="3234"/>
      <c r="V5" s="3237"/>
      <c r="W5" s="3237"/>
      <c r="X5" s="1810"/>
      <c r="Y5" s="3233"/>
      <c r="Z5" s="3234"/>
      <c r="AA5" s="3219"/>
      <c r="AB5" s="3237"/>
      <c r="AC5" s="3219"/>
    </row>
    <row r="6" spans="1:29" ht="15.75" thickBot="1">
      <c r="A6" s="405"/>
      <c r="B6" s="406"/>
      <c r="C6" s="3238" t="s">
        <v>2540</v>
      </c>
      <c r="D6" s="3239"/>
      <c r="E6" s="3245" t="s">
        <v>2540</v>
      </c>
      <c r="F6" s="3246"/>
      <c r="G6" s="3238" t="s">
        <v>2540</v>
      </c>
      <c r="H6" s="3239"/>
      <c r="I6" s="3238" t="s">
        <v>2540</v>
      </c>
      <c r="J6" s="3239"/>
      <c r="K6" s="609" t="s">
        <v>2541</v>
      </c>
      <c r="L6" s="1129"/>
      <c r="M6" s="1130"/>
      <c r="N6" s="1130"/>
      <c r="O6" s="1130"/>
      <c r="P6" s="3229"/>
      <c r="Q6" s="3230"/>
      <c r="R6" s="3233"/>
      <c r="S6" s="3234"/>
      <c r="T6" s="3235"/>
      <c r="U6" s="3236"/>
      <c r="V6" s="3237"/>
      <c r="W6" s="3237"/>
      <c r="X6" s="1810"/>
      <c r="Y6" s="3235"/>
      <c r="Z6" s="3236"/>
      <c r="AA6" s="3220"/>
      <c r="AB6" s="3237"/>
      <c r="AC6" s="3220"/>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42" t="s">
        <v>2543</v>
      </c>
      <c r="Q7" s="3244"/>
      <c r="R7" s="766" t="s">
        <v>17</v>
      </c>
      <c r="S7" s="767">
        <f t="shared" ref="S7:S15" si="0">F7</f>
        <v>100</v>
      </c>
      <c r="T7" s="766" t="s">
        <v>17</v>
      </c>
      <c r="U7" s="767">
        <f t="shared" ref="U7:U15" si="1">H7</f>
        <v>100</v>
      </c>
      <c r="V7" s="766" t="s">
        <v>17</v>
      </c>
      <c r="W7" s="767">
        <f t="shared" ref="W7:W15" si="2">J7</f>
        <v>100</v>
      </c>
      <c r="X7" s="768"/>
      <c r="Y7" s="3242" t="s">
        <v>2543</v>
      </c>
      <c r="Z7" s="3243"/>
      <c r="AA7" s="769">
        <f>D7/F7</f>
        <v>1</v>
      </c>
      <c r="AB7" s="769">
        <f>D7/H7</f>
        <v>1</v>
      </c>
      <c r="AC7" s="769">
        <f>D7/J7</f>
        <v>1</v>
      </c>
    </row>
    <row r="8" spans="1:29" s="116" customFormat="1" ht="15.75" thickBot="1">
      <c r="A8" s="407" t="s">
        <v>2544</v>
      </c>
      <c r="B8" s="408"/>
      <c r="C8" s="413" t="s">
        <v>2646</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42" t="s">
        <v>2546</v>
      </c>
      <c r="Q8" s="3243"/>
      <c r="R8" s="766" t="s">
        <v>17</v>
      </c>
      <c r="S8" s="767">
        <f t="shared" si="0"/>
        <v>100</v>
      </c>
      <c r="T8" s="766" t="s">
        <v>17</v>
      </c>
      <c r="U8" s="767">
        <f t="shared" si="1"/>
        <v>100</v>
      </c>
      <c r="V8" s="766" t="s">
        <v>17</v>
      </c>
      <c r="W8" s="767">
        <f t="shared" si="2"/>
        <v>100</v>
      </c>
      <c r="X8" s="768"/>
      <c r="Y8" s="3242" t="s">
        <v>2546</v>
      </c>
      <c r="Z8" s="3243"/>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7" t="s">
        <v>2549</v>
      </c>
      <c r="Q9" s="1792" t="str">
        <f t="shared" ref="Q9:Q15" si="6">B9</f>
        <v>用途</v>
      </c>
      <c r="R9" s="766" t="s">
        <v>17</v>
      </c>
      <c r="S9" s="767">
        <f t="shared" si="0"/>
        <v>100</v>
      </c>
      <c r="T9" s="766" t="s">
        <v>17</v>
      </c>
      <c r="U9" s="767">
        <f t="shared" si="1"/>
        <v>100</v>
      </c>
      <c r="V9" s="766" t="s">
        <v>17</v>
      </c>
      <c r="W9" s="767">
        <f t="shared" si="2"/>
        <v>100</v>
      </c>
      <c r="X9" s="768"/>
      <c r="Y9" s="3031" t="s">
        <v>2550</v>
      </c>
      <c r="Z9" s="54" t="str">
        <f t="shared" ref="Z9:Z15" si="7">Q9</f>
        <v>用途</v>
      </c>
      <c r="AA9" s="769">
        <f t="shared" si="3"/>
        <v>1</v>
      </c>
      <c r="AB9" s="769">
        <f t="shared" si="4"/>
        <v>1</v>
      </c>
      <c r="AC9" s="769">
        <f t="shared" si="5"/>
        <v>1</v>
      </c>
    </row>
    <row r="10" spans="1:29" s="426" customFormat="1" ht="27">
      <c r="A10" s="420"/>
      <c r="B10" s="421" t="s">
        <v>2551</v>
      </c>
      <c r="C10" s="422" t="s">
        <v>3130</v>
      </c>
      <c r="D10" s="135">
        <v>100</v>
      </c>
      <c r="E10" s="423" t="s">
        <v>3130</v>
      </c>
      <c r="F10" s="424">
        <f>SUMIF(65:65,E10,66:66)-SUMIF(65:65,C10,66:66)+100</f>
        <v>100</v>
      </c>
      <c r="G10" s="422" t="s">
        <v>3131</v>
      </c>
      <c r="H10" s="135">
        <f>SUMIF(65:65,G10,66:66)-SUMIF(65:65,C10,66:66)+100</f>
        <v>96</v>
      </c>
      <c r="I10" s="422" t="s">
        <v>3130</v>
      </c>
      <c r="J10" s="135">
        <f>SUMIF(65:65,I10,66:66)-SUMIF(65:65,C10,66:66)+100</f>
        <v>100</v>
      </c>
      <c r="K10" s="611">
        <v>2</v>
      </c>
      <c r="L10" s="1134"/>
      <c r="M10" s="1135"/>
      <c r="N10" s="1135"/>
      <c r="O10" s="1135"/>
      <c r="P10" s="3217"/>
      <c r="Q10" s="1792" t="str">
        <f t="shared" si="6"/>
        <v>土地使用年限（年）</v>
      </c>
      <c r="R10" s="766" t="s">
        <v>17</v>
      </c>
      <c r="S10" s="767">
        <f t="shared" si="0"/>
        <v>100</v>
      </c>
      <c r="T10" s="766" t="s">
        <v>17</v>
      </c>
      <c r="U10" s="767">
        <f t="shared" si="1"/>
        <v>96</v>
      </c>
      <c r="V10" s="766" t="s">
        <v>17</v>
      </c>
      <c r="W10" s="767">
        <f t="shared" si="2"/>
        <v>100</v>
      </c>
      <c r="X10" s="768"/>
      <c r="Y10" s="3031"/>
      <c r="Z10" s="54" t="str">
        <f t="shared" si="7"/>
        <v>土地使用年限（年）</v>
      </c>
      <c r="AA10" s="769">
        <f t="shared" si="3"/>
        <v>1</v>
      </c>
      <c r="AB10" s="769">
        <f t="shared" si="4"/>
        <v>1.0416666666666667</v>
      </c>
      <c r="AC10" s="769">
        <f t="shared" si="5"/>
        <v>1</v>
      </c>
    </row>
    <row r="11" spans="1:29" ht="15">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7"/>
      <c r="Q11" s="1792" t="str">
        <f t="shared" si="6"/>
        <v>容积率</v>
      </c>
      <c r="R11" s="766" t="s">
        <v>17</v>
      </c>
      <c r="S11" s="767">
        <f t="shared" si="0"/>
        <v>100</v>
      </c>
      <c r="T11" s="766" t="s">
        <v>17</v>
      </c>
      <c r="U11" s="767">
        <f t="shared" si="1"/>
        <v>100</v>
      </c>
      <c r="V11" s="766" t="s">
        <v>17</v>
      </c>
      <c r="W11" s="767">
        <f t="shared" si="2"/>
        <v>100</v>
      </c>
      <c r="X11" s="768"/>
      <c r="Y11" s="3031"/>
      <c r="Z11" s="54"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7"/>
      <c r="Q12" s="1792">
        <f t="shared" si="6"/>
        <v>111</v>
      </c>
      <c r="R12" s="766" t="s">
        <v>17</v>
      </c>
      <c r="S12" s="767">
        <f t="shared" si="0"/>
        <v>100</v>
      </c>
      <c r="T12" s="766" t="s">
        <v>17</v>
      </c>
      <c r="U12" s="767">
        <f t="shared" si="1"/>
        <v>100</v>
      </c>
      <c r="V12" s="766" t="s">
        <v>17</v>
      </c>
      <c r="W12" s="767">
        <f t="shared" si="2"/>
        <v>100</v>
      </c>
      <c r="X12" s="768"/>
      <c r="Y12" s="3031"/>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7"/>
      <c r="Q13" s="1792">
        <f t="shared" si="6"/>
        <v>111</v>
      </c>
      <c r="R13" s="766" t="s">
        <v>17</v>
      </c>
      <c r="S13" s="767">
        <f t="shared" si="0"/>
        <v>100</v>
      </c>
      <c r="T13" s="766" t="s">
        <v>17</v>
      </c>
      <c r="U13" s="767">
        <f t="shared" si="1"/>
        <v>100</v>
      </c>
      <c r="V13" s="766" t="s">
        <v>17</v>
      </c>
      <c r="W13" s="767">
        <f t="shared" si="2"/>
        <v>100</v>
      </c>
      <c r="X13" s="768"/>
      <c r="Y13" s="3031"/>
      <c r="Z13" s="54">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7"/>
      <c r="Q14" s="1792">
        <f t="shared" si="6"/>
        <v>111</v>
      </c>
      <c r="R14" s="766" t="s">
        <v>17</v>
      </c>
      <c r="S14" s="767">
        <f t="shared" si="0"/>
        <v>100</v>
      </c>
      <c r="T14" s="766" t="s">
        <v>17</v>
      </c>
      <c r="U14" s="767">
        <f t="shared" si="1"/>
        <v>100</v>
      </c>
      <c r="V14" s="766" t="s">
        <v>17</v>
      </c>
      <c r="W14" s="767">
        <f t="shared" si="2"/>
        <v>100</v>
      </c>
      <c r="X14" s="768"/>
      <c r="Y14" s="3031"/>
      <c r="Z14" s="54">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1" t="s">
        <v>3139</v>
      </c>
      <c r="F15" s="442">
        <f>SUMIF(76:76,E16,77:77)-SUMIF(76:76,C16,77:77)+100</f>
        <v>100</v>
      </c>
      <c r="G15" s="2964" t="s">
        <v>3144</v>
      </c>
      <c r="H15" s="440">
        <f>SUMIF(76:76,G16,77:77)-SUMIF(76:76,C16,77:77)+100</f>
        <v>100</v>
      </c>
      <c r="I15" s="2961" t="s">
        <v>3148</v>
      </c>
      <c r="J15" s="440">
        <f>SUMIF(76:76,I16,77:77)-SUMIF(76:76,C16,77:77)+100</f>
        <v>100</v>
      </c>
      <c r="K15" s="613">
        <v>2</v>
      </c>
      <c r="L15" s="1139"/>
      <c r="M15" s="1130"/>
      <c r="N15" s="1130"/>
      <c r="O15" s="1130"/>
      <c r="P15" s="3215" t="s">
        <v>2554</v>
      </c>
      <c r="Q15" s="1807" t="str">
        <f t="shared" si="6"/>
        <v>商业繁华度</v>
      </c>
      <c r="R15" s="770" t="s">
        <v>17</v>
      </c>
      <c r="S15" s="771">
        <f t="shared" si="0"/>
        <v>100</v>
      </c>
      <c r="T15" s="770" t="s">
        <v>17</v>
      </c>
      <c r="U15" s="771">
        <f t="shared" si="1"/>
        <v>100</v>
      </c>
      <c r="V15" s="770" t="s">
        <v>17</v>
      </c>
      <c r="W15" s="771">
        <f t="shared" si="2"/>
        <v>100</v>
      </c>
      <c r="X15" s="1810"/>
      <c r="Y15" s="3208" t="s">
        <v>2554</v>
      </c>
      <c r="Z15" s="1811" t="str">
        <f t="shared" si="7"/>
        <v>商业繁华度</v>
      </c>
      <c r="AA15" s="1808">
        <f t="shared" si="3"/>
        <v>1</v>
      </c>
      <c r="AB15" s="1808">
        <f t="shared" si="4"/>
        <v>1</v>
      </c>
      <c r="AC15" s="1808">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6"/>
      <c r="Q16" s="1807"/>
      <c r="R16" s="770"/>
      <c r="S16" s="771"/>
      <c r="T16" s="770"/>
      <c r="U16" s="771"/>
      <c r="V16" s="770"/>
      <c r="W16" s="771"/>
      <c r="X16" s="1810"/>
      <c r="Y16" s="3209"/>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1" t="s">
        <v>3140</v>
      </c>
      <c r="F17" s="452">
        <f>SUMIF(78:78,E18,79:79)-SUMIF(78:78,C18,79:79)+100</f>
        <v>100</v>
      </c>
      <c r="G17" s="453" t="s">
        <v>3150</v>
      </c>
      <c r="H17" s="454">
        <f>SUMIF(78:78,G18,79:79)-SUMIF(78:78,C18,79:79)+100</f>
        <v>100</v>
      </c>
      <c r="I17" s="451" t="s">
        <v>3149</v>
      </c>
      <c r="J17" s="454">
        <f>SUMIF(78:78,I18,79:79)-SUMIF(78:78,C18,79:79)+100</f>
        <v>100</v>
      </c>
      <c r="K17" s="613">
        <v>2</v>
      </c>
      <c r="L17" s="1139"/>
      <c r="M17" s="1130"/>
      <c r="N17" s="1130"/>
      <c r="O17" s="1130"/>
      <c r="P17" s="3216"/>
      <c r="Q17" s="1807" t="str">
        <f>B17</f>
        <v>交通便捷度</v>
      </c>
      <c r="R17" s="770" t="s">
        <v>17</v>
      </c>
      <c r="S17" s="771">
        <f>F17</f>
        <v>100</v>
      </c>
      <c r="T17" s="770" t="s">
        <v>17</v>
      </c>
      <c r="U17" s="771">
        <f>H17</f>
        <v>100</v>
      </c>
      <c r="V17" s="770" t="s">
        <v>17</v>
      </c>
      <c r="W17" s="771">
        <f>J17</f>
        <v>100</v>
      </c>
      <c r="X17" s="1810"/>
      <c r="Y17" s="3209"/>
      <c r="Z17" s="1811" t="str">
        <f>Q17</f>
        <v>交通便捷度</v>
      </c>
      <c r="AA17" s="1808">
        <f t="shared" si="3"/>
        <v>1</v>
      </c>
      <c r="AB17" s="1808">
        <f t="shared" si="4"/>
        <v>1</v>
      </c>
      <c r="AC17" s="1808">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6"/>
      <c r="Q18" s="1807"/>
      <c r="R18" s="770"/>
      <c r="S18" s="771"/>
      <c r="T18" s="770"/>
      <c r="U18" s="771"/>
      <c r="V18" s="770"/>
      <c r="W18" s="771"/>
      <c r="X18" s="1810"/>
      <c r="Y18" s="3209"/>
      <c r="Z18" s="1811"/>
      <c r="AA18" s="1808">
        <v>1</v>
      </c>
      <c r="AB18" s="1808">
        <v>1</v>
      </c>
      <c r="AC18" s="1808">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2" t="s">
        <v>3145</v>
      </c>
      <c r="F19" s="457">
        <f>SUMIF(80:80,E20,81:81)-SUMIF(80:80,C20,81:81)+100</f>
        <v>100</v>
      </c>
      <c r="G19" s="2965" t="s">
        <v>3151</v>
      </c>
      <c r="H19" s="449">
        <f>SUMIF(80:80,G20,81:81)-SUMIF(80:80,C20,81:81)+100</f>
        <v>100</v>
      </c>
      <c r="I19" s="2962" t="s">
        <v>3146</v>
      </c>
      <c r="J19" s="449">
        <f>SUMIF(80:80,I20,81:81)-SUMIF(80:80,C20,81:81)+100</f>
        <v>100</v>
      </c>
      <c r="K19" s="613">
        <v>22</v>
      </c>
      <c r="L19" s="1139"/>
      <c r="M19" s="1130"/>
      <c r="N19" s="1130"/>
      <c r="O19" s="1130"/>
      <c r="P19" s="3216"/>
      <c r="Q19" s="1807" t="str">
        <f>B19</f>
        <v>公共配套设施</v>
      </c>
      <c r="R19" s="770" t="s">
        <v>17</v>
      </c>
      <c r="S19" s="771">
        <f>F19</f>
        <v>100</v>
      </c>
      <c r="T19" s="770" t="s">
        <v>17</v>
      </c>
      <c r="U19" s="771">
        <f>H19</f>
        <v>100</v>
      </c>
      <c r="V19" s="770" t="s">
        <v>17</v>
      </c>
      <c r="W19" s="771">
        <f>J19</f>
        <v>100</v>
      </c>
      <c r="X19" s="1810"/>
      <c r="Y19" s="3209"/>
      <c r="Z19" s="1811" t="str">
        <f>Q19</f>
        <v>公共配套设施</v>
      </c>
      <c r="AA19" s="1808">
        <f t="shared" si="3"/>
        <v>1</v>
      </c>
      <c r="AB19" s="1808">
        <f t="shared" si="4"/>
        <v>1</v>
      </c>
      <c r="AC19" s="1808">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6"/>
      <c r="Q20" s="1807"/>
      <c r="R20" s="770"/>
      <c r="S20" s="771"/>
      <c r="T20" s="770"/>
      <c r="U20" s="771"/>
      <c r="V20" s="770"/>
      <c r="W20" s="771"/>
      <c r="X20" s="1810"/>
      <c r="Y20" s="3209"/>
      <c r="Z20" s="1811"/>
      <c r="AA20" s="1808">
        <v>1</v>
      </c>
      <c r="AB20" s="1808">
        <v>1</v>
      </c>
      <c r="AC20" s="1808">
        <v>1</v>
      </c>
    </row>
    <row r="21" spans="1:29" ht="42.75">
      <c r="A21" s="427"/>
      <c r="B21" s="1381" t="s">
        <v>2649</v>
      </c>
      <c r="C21" s="2601" t="str">
        <f>估价对象房地状况!C8</f>
        <v>估价对象所在区域基础设施水平达“六通”。</v>
      </c>
      <c r="D21" s="454">
        <v>100</v>
      </c>
      <c r="E21" s="456"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6"/>
      <c r="Q21" s="1807" t="str">
        <f>B21</f>
        <v>基础设施水平</v>
      </c>
      <c r="R21" s="770" t="s">
        <v>17</v>
      </c>
      <c r="S21" s="771">
        <f>F21</f>
        <v>100</v>
      </c>
      <c r="T21" s="770" t="s">
        <v>17</v>
      </c>
      <c r="U21" s="771">
        <f>H21</f>
        <v>100</v>
      </c>
      <c r="V21" s="770" t="s">
        <v>17</v>
      </c>
      <c r="W21" s="771">
        <f>J21</f>
        <v>100</v>
      </c>
      <c r="X21" s="1810"/>
      <c r="Y21" s="3209"/>
      <c r="Z21" s="1811" t="str">
        <f>Q21</f>
        <v>基础设施水平</v>
      </c>
      <c r="AA21" s="1808">
        <f t="shared" ref="AA21" si="8">D21/F21</f>
        <v>1</v>
      </c>
      <c r="AB21" s="1808">
        <f t="shared" ref="AB21" si="9">D21/H21</f>
        <v>1</v>
      </c>
      <c r="AC21" s="1808">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6"/>
      <c r="Q22" s="1807"/>
      <c r="R22" s="770"/>
      <c r="S22" s="771"/>
      <c r="T22" s="770"/>
      <c r="U22" s="771"/>
      <c r="V22" s="770"/>
      <c r="W22" s="771"/>
      <c r="X22" s="1810"/>
      <c r="Y22" s="3209"/>
      <c r="Z22" s="1811"/>
      <c r="AA22" s="1808">
        <v>1</v>
      </c>
      <c r="AB22" s="1808">
        <v>1</v>
      </c>
      <c r="AC22" s="1808">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3"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6"/>
      <c r="Q23" s="1807" t="str">
        <f>B23</f>
        <v>自然及人文环境</v>
      </c>
      <c r="R23" s="770" t="s">
        <v>17</v>
      </c>
      <c r="S23" s="771">
        <f>F23</f>
        <v>100</v>
      </c>
      <c r="T23" s="770" t="s">
        <v>17</v>
      </c>
      <c r="U23" s="771">
        <f>H23</f>
        <v>100</v>
      </c>
      <c r="V23" s="770" t="s">
        <v>17</v>
      </c>
      <c r="W23" s="771">
        <f>J23</f>
        <v>100</v>
      </c>
      <c r="X23" s="1810"/>
      <c r="Y23" s="3209"/>
      <c r="Z23" s="1811" t="str">
        <f>Q23</f>
        <v>自然及人文环境</v>
      </c>
      <c r="AA23" s="1808">
        <f t="shared" si="3"/>
        <v>1</v>
      </c>
      <c r="AB23" s="1808">
        <f t="shared" si="4"/>
        <v>1</v>
      </c>
      <c r="AC23" s="1808">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6"/>
      <c r="Q24" s="1807"/>
      <c r="R24" s="770"/>
      <c r="S24" s="771"/>
      <c r="T24" s="770"/>
      <c r="U24" s="771"/>
      <c r="V24" s="770"/>
      <c r="W24" s="771"/>
      <c r="X24" s="1810"/>
      <c r="Y24" s="3209"/>
      <c r="Z24" s="1811"/>
      <c r="AA24" s="1808">
        <v>1</v>
      </c>
      <c r="AB24" s="1808">
        <v>1</v>
      </c>
      <c r="AC24" s="1808">
        <v>1</v>
      </c>
    </row>
    <row r="25" spans="1:29" ht="15">
      <c r="A25" s="427"/>
      <c r="B25" s="421"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6"/>
      <c r="Q25" s="1807" t="str">
        <f t="shared" ref="Q25:Q46" si="11">B25</f>
        <v>临街状况</v>
      </c>
      <c r="R25" s="770" t="s">
        <v>17</v>
      </c>
      <c r="S25" s="771">
        <f>F25</f>
        <v>102</v>
      </c>
      <c r="T25" s="770" t="s">
        <v>17</v>
      </c>
      <c r="U25" s="771">
        <f>H25</f>
        <v>102</v>
      </c>
      <c r="V25" s="770" t="s">
        <v>17</v>
      </c>
      <c r="W25" s="771">
        <f>J25</f>
        <v>102</v>
      </c>
      <c r="X25" s="1810"/>
      <c r="Y25" s="3209"/>
      <c r="Z25" s="1811" t="str">
        <f>Q25</f>
        <v>临街状况</v>
      </c>
      <c r="AA25" s="1808">
        <f t="shared" si="3"/>
        <v>0.98039215686274506</v>
      </c>
      <c r="AB25" s="1808">
        <f t="shared" si="4"/>
        <v>0.98039215686274506</v>
      </c>
      <c r="AC25" s="1808">
        <f t="shared" si="5"/>
        <v>0.98039215686274506</v>
      </c>
    </row>
    <row r="26" spans="1:29" ht="15">
      <c r="A26" s="427"/>
      <c r="B26" s="1383" t="s">
        <v>2651</v>
      </c>
      <c r="C26" s="2960" t="s">
        <v>3095</v>
      </c>
      <c r="D26" s="434">
        <v>100</v>
      </c>
      <c r="E26" s="2960" t="s">
        <v>3147</v>
      </c>
      <c r="F26" s="460">
        <f>SUMIF(88:88,E26,89:89)-SUMIF(88:88,C26,89:89)+100</f>
        <v>106</v>
      </c>
      <c r="G26" s="2960" t="s">
        <v>3090</v>
      </c>
      <c r="H26" s="434">
        <f>SUMIF(88:88,G26,89:89)-SUMIF(88:88,C26,89:89)+100</f>
        <v>108</v>
      </c>
      <c r="I26" s="2960" t="s">
        <v>3090</v>
      </c>
      <c r="J26" s="434">
        <f>SUMIF(88:88,I26,89:89)-SUMIF(88:88,C26,89:89)+100</f>
        <v>108</v>
      </c>
      <c r="K26" s="612"/>
      <c r="L26" s="1139"/>
      <c r="M26" s="1130"/>
      <c r="N26" s="1130"/>
      <c r="O26" s="1130"/>
      <c r="P26" s="3216"/>
      <c r="Q26" s="1807" t="str">
        <f t="shared" si="11"/>
        <v>平面位置/可视性</v>
      </c>
      <c r="R26" s="770" t="s">
        <v>17</v>
      </c>
      <c r="S26" s="771">
        <f>F26</f>
        <v>106</v>
      </c>
      <c r="T26" s="770" t="s">
        <v>17</v>
      </c>
      <c r="U26" s="771">
        <f>H26</f>
        <v>108</v>
      </c>
      <c r="V26" s="770" t="s">
        <v>17</v>
      </c>
      <c r="W26" s="771">
        <f>J26</f>
        <v>108</v>
      </c>
      <c r="X26" s="1810"/>
      <c r="Y26" s="3209"/>
      <c r="Z26" s="1811" t="str">
        <f>Q26</f>
        <v>平面位置/可视性</v>
      </c>
      <c r="AA26" s="1808">
        <f t="shared" si="3"/>
        <v>0.94339622641509435</v>
      </c>
      <c r="AB26" s="1808">
        <f t="shared" si="4"/>
        <v>0.92592592592592593</v>
      </c>
      <c r="AC26" s="1808">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6"/>
      <c r="Q27" s="1792" t="str">
        <f t="shared" si="11"/>
        <v>人流量</v>
      </c>
      <c r="R27" s="766" t="s">
        <v>17</v>
      </c>
      <c r="S27" s="767">
        <f>F27</f>
        <v>100</v>
      </c>
      <c r="T27" s="766" t="s">
        <v>17</v>
      </c>
      <c r="U27" s="767">
        <f>H27</f>
        <v>100</v>
      </c>
      <c r="V27" s="766" t="s">
        <v>17</v>
      </c>
      <c r="W27" s="767">
        <f>J27</f>
        <v>100</v>
      </c>
      <c r="X27" s="768"/>
      <c r="Y27" s="3209"/>
      <c r="Z27" s="54" t="str">
        <f>Q27</f>
        <v>人流量</v>
      </c>
      <c r="AA27" s="1808">
        <f>D27/F27</f>
        <v>1</v>
      </c>
      <c r="AB27" s="1808">
        <f>D27/H27</f>
        <v>1</v>
      </c>
      <c r="AC27" s="1808">
        <f>D27/J27</f>
        <v>1</v>
      </c>
    </row>
    <row r="28" spans="1:29" ht="15">
      <c r="A28" s="427"/>
      <c r="B28" s="421"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6"/>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209"/>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6"/>
      <c r="Q29" s="1807">
        <f t="shared" si="11"/>
        <v>111</v>
      </c>
      <c r="R29" s="770" t="s">
        <v>17</v>
      </c>
      <c r="S29" s="771">
        <f t="shared" si="12"/>
        <v>100</v>
      </c>
      <c r="T29" s="770" t="s">
        <v>17</v>
      </c>
      <c r="U29" s="771">
        <f t="shared" si="13"/>
        <v>100</v>
      </c>
      <c r="V29" s="770" t="s">
        <v>17</v>
      </c>
      <c r="W29" s="771">
        <f t="shared" si="14"/>
        <v>100</v>
      </c>
      <c r="X29" s="1810"/>
      <c r="Y29" s="3209"/>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6"/>
      <c r="Q30" s="1807">
        <f t="shared" si="11"/>
        <v>111</v>
      </c>
      <c r="R30" s="770" t="s">
        <v>17</v>
      </c>
      <c r="S30" s="771">
        <f t="shared" si="12"/>
        <v>100</v>
      </c>
      <c r="T30" s="770" t="s">
        <v>17</v>
      </c>
      <c r="U30" s="771">
        <f t="shared" si="13"/>
        <v>100</v>
      </c>
      <c r="V30" s="770" t="s">
        <v>17</v>
      </c>
      <c r="W30" s="771">
        <f t="shared" si="14"/>
        <v>100</v>
      </c>
      <c r="X30" s="1810"/>
      <c r="Y30" s="3209"/>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6"/>
      <c r="Q31" s="1807">
        <f t="shared" si="11"/>
        <v>111</v>
      </c>
      <c r="R31" s="770" t="s">
        <v>17</v>
      </c>
      <c r="S31" s="771">
        <f t="shared" si="12"/>
        <v>100</v>
      </c>
      <c r="T31" s="770" t="s">
        <v>17</v>
      </c>
      <c r="U31" s="771">
        <f t="shared" si="13"/>
        <v>100</v>
      </c>
      <c r="V31" s="770" t="s">
        <v>17</v>
      </c>
      <c r="W31" s="771">
        <f t="shared" si="14"/>
        <v>100</v>
      </c>
      <c r="X31" s="1810"/>
      <c r="Y31" s="3209"/>
      <c r="Z31" s="1811">
        <f t="shared" si="15"/>
        <v>111</v>
      </c>
      <c r="AA31" s="1808">
        <f t="shared" si="3"/>
        <v>1</v>
      </c>
      <c r="AB31" s="1808">
        <f t="shared" si="4"/>
        <v>1</v>
      </c>
      <c r="AC31" s="1808">
        <f t="shared" si="5"/>
        <v>1</v>
      </c>
    </row>
    <row r="32" spans="1:29" ht="15">
      <c r="A32" s="439" t="s">
        <v>2557</v>
      </c>
      <c r="B32" s="70" t="s">
        <v>2654</v>
      </c>
      <c r="C32" s="2611" t="s">
        <v>3102</v>
      </c>
      <c r="D32" s="466">
        <v>100</v>
      </c>
      <c r="E32" s="2611" t="s">
        <v>3104</v>
      </c>
      <c r="F32" s="460">
        <f>SUMIF(100:100,E32,101:101)-SUMIF(100:100,C32,101:101)+100</f>
        <v>97</v>
      </c>
      <c r="G32" s="2611" t="s">
        <v>3100</v>
      </c>
      <c r="H32" s="434">
        <f>SUMIF(100:100,G32,101:101)-SUMIF(100:100,C32,101:101)+100</f>
        <v>103</v>
      </c>
      <c r="I32" s="2611" t="s">
        <v>3100</v>
      </c>
      <c r="J32" s="466">
        <f>SUMIF(100:100,I32,101:101)-SUMIF(100:100,C32,101:101)+100</f>
        <v>103</v>
      </c>
      <c r="K32" s="611">
        <v>3</v>
      </c>
      <c r="L32" s="1139"/>
      <c r="M32" s="1130"/>
      <c r="N32" s="1130"/>
      <c r="O32" s="1130"/>
      <c r="P32" s="3210" t="s">
        <v>2559</v>
      </c>
      <c r="Q32" s="1807" t="str">
        <f t="shared" si="11"/>
        <v>商业类型</v>
      </c>
      <c r="R32" s="770" t="s">
        <v>17</v>
      </c>
      <c r="S32" s="771">
        <f t="shared" si="12"/>
        <v>97</v>
      </c>
      <c r="T32" s="770" t="s">
        <v>17</v>
      </c>
      <c r="U32" s="771">
        <f t="shared" si="13"/>
        <v>103</v>
      </c>
      <c r="V32" s="770" t="s">
        <v>17</v>
      </c>
      <c r="W32" s="771">
        <f t="shared" si="14"/>
        <v>103</v>
      </c>
      <c r="X32" s="1810"/>
      <c r="Y32" s="3213" t="s">
        <v>2559</v>
      </c>
      <c r="Z32" s="1811" t="str">
        <f t="shared" si="15"/>
        <v>商业类型</v>
      </c>
      <c r="AA32" s="1808">
        <f t="shared" si="3"/>
        <v>1.0309278350515463</v>
      </c>
      <c r="AB32" s="1808">
        <f t="shared" si="4"/>
        <v>0.970873786407767</v>
      </c>
      <c r="AC32" s="1808">
        <f t="shared" si="5"/>
        <v>0.970873786407767</v>
      </c>
    </row>
    <row r="33" spans="1:29" s="470" customFormat="1" ht="15">
      <c r="A33" s="467"/>
      <c r="B33" s="421" t="s">
        <v>2560</v>
      </c>
      <c r="C33" s="468">
        <f>'数据-基础表'!I13</f>
        <v>164.79</v>
      </c>
      <c r="D33" s="135">
        <v>100</v>
      </c>
      <c r="E33" s="429">
        <v>52.49</v>
      </c>
      <c r="F33" s="424">
        <f>LOOKUP(E33,103:103,104:104)-LOOKUP(C33,103:103,104:104)+100</f>
        <v>102</v>
      </c>
      <c r="G33" s="428">
        <v>137</v>
      </c>
      <c r="H33" s="135">
        <f>LOOKUP(G33,103:103,104:104)-LOOKUP(C33,103:103,104:104)+100</f>
        <v>100</v>
      </c>
      <c r="I33" s="428">
        <v>186</v>
      </c>
      <c r="J33" s="135">
        <f>LOOKUP(I33,103:103,104:104)-LOOKUP(C33,103:103,104:104)+100</f>
        <v>100</v>
      </c>
      <c r="K33" s="612"/>
      <c r="L33" s="1137"/>
      <c r="M33" s="1140"/>
      <c r="N33" s="1140"/>
      <c r="O33" s="1140"/>
      <c r="P33" s="3211"/>
      <c r="Q33" s="772" t="str">
        <f t="shared" si="11"/>
        <v>项目建筑规模</v>
      </c>
      <c r="R33" s="773" t="s">
        <v>17</v>
      </c>
      <c r="S33" s="774">
        <f t="shared" si="12"/>
        <v>102</v>
      </c>
      <c r="T33" s="773" t="s">
        <v>17</v>
      </c>
      <c r="U33" s="774">
        <f t="shared" si="13"/>
        <v>100</v>
      </c>
      <c r="V33" s="773" t="s">
        <v>17</v>
      </c>
      <c r="W33" s="774">
        <f t="shared" si="14"/>
        <v>100</v>
      </c>
      <c r="X33" s="775"/>
      <c r="Y33" s="3213"/>
      <c r="Z33" s="776" t="str">
        <f t="shared" si="15"/>
        <v>项目建筑规模</v>
      </c>
      <c r="AA33" s="1808">
        <f t="shared" si="3"/>
        <v>0.98039215686274506</v>
      </c>
      <c r="AB33" s="1808">
        <f t="shared" si="4"/>
        <v>1</v>
      </c>
      <c r="AC33" s="1808">
        <f t="shared" si="5"/>
        <v>1</v>
      </c>
    </row>
    <row r="34" spans="1:29" ht="15">
      <c r="A34" s="471"/>
      <c r="B34" s="421"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11"/>
      <c r="Q34" s="1807" t="str">
        <f t="shared" si="11"/>
        <v>建筑结构</v>
      </c>
      <c r="R34" s="770" t="s">
        <v>17</v>
      </c>
      <c r="S34" s="771">
        <f t="shared" si="12"/>
        <v>100</v>
      </c>
      <c r="T34" s="770" t="s">
        <v>17</v>
      </c>
      <c r="U34" s="771">
        <f t="shared" si="13"/>
        <v>100</v>
      </c>
      <c r="V34" s="770" t="s">
        <v>17</v>
      </c>
      <c r="W34" s="771">
        <f t="shared" si="14"/>
        <v>100</v>
      </c>
      <c r="X34" s="1810"/>
      <c r="Y34" s="3213"/>
      <c r="Z34" s="1811" t="str">
        <f t="shared" si="15"/>
        <v>建筑结构</v>
      </c>
      <c r="AA34" s="1808">
        <f t="shared" si="3"/>
        <v>1</v>
      </c>
      <c r="AB34" s="1808">
        <f t="shared" si="4"/>
        <v>1</v>
      </c>
      <c r="AC34" s="1808">
        <f t="shared" si="5"/>
        <v>1</v>
      </c>
    </row>
    <row r="35" spans="1:29" ht="15">
      <c r="A35" s="471"/>
      <c r="B35" s="421"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11"/>
      <c r="Q35" s="1807" t="str">
        <f t="shared" si="11"/>
        <v>公共部分装修</v>
      </c>
      <c r="R35" s="770" t="s">
        <v>17</v>
      </c>
      <c r="S35" s="771">
        <f t="shared" si="12"/>
        <v>100</v>
      </c>
      <c r="T35" s="770" t="s">
        <v>17</v>
      </c>
      <c r="U35" s="771">
        <f t="shared" si="13"/>
        <v>100</v>
      </c>
      <c r="V35" s="770" t="s">
        <v>17</v>
      </c>
      <c r="W35" s="771">
        <f t="shared" si="14"/>
        <v>100</v>
      </c>
      <c r="X35" s="1810"/>
      <c r="Y35" s="3213"/>
      <c r="Z35" s="1811" t="str">
        <f t="shared" si="15"/>
        <v>公共部分装修</v>
      </c>
      <c r="AA35" s="1808">
        <f t="shared" si="3"/>
        <v>1</v>
      </c>
      <c r="AB35" s="1808">
        <f t="shared" si="4"/>
        <v>1</v>
      </c>
      <c r="AC35" s="1808">
        <f t="shared" si="5"/>
        <v>1</v>
      </c>
    </row>
    <row r="36" spans="1:29" ht="15">
      <c r="A36" s="471"/>
      <c r="B36" s="421" t="s">
        <v>2656</v>
      </c>
      <c r="C36" s="473">
        <f>'数据-取费表'!N6</f>
        <v>0.76</v>
      </c>
      <c r="D36" s="434">
        <v>100</v>
      </c>
      <c r="E36" s="473">
        <f>ROUND(((1-(2018-1985)/60)+85%)/2,2)</f>
        <v>0.65</v>
      </c>
      <c r="F36" s="460">
        <f>LOOKUP(E36,110:110,111:111)-LOOKUP(C36,110:110,111:111)+100</f>
        <v>98</v>
      </c>
      <c r="G36" s="473">
        <f>ROUND(((1-(2018-1985)/60)+85%)/2,2)</f>
        <v>0.65</v>
      </c>
      <c r="H36" s="460">
        <f>LOOKUP(G36,110:110,111:111)-LOOKUP(C36,110:110,111:111)+100</f>
        <v>98</v>
      </c>
      <c r="I36" s="473">
        <f>ROUND(((1-(2018-1996)/60)+85%)/2,2)</f>
        <v>0.74</v>
      </c>
      <c r="J36" s="434">
        <f>LOOKUP(I36,110:110,111:111)-LOOKUP(C36,110:110,111:111)+100</f>
        <v>100</v>
      </c>
      <c r="K36" s="611">
        <v>2</v>
      </c>
      <c r="L36" s="1139"/>
      <c r="M36" s="1130"/>
      <c r="N36" s="1130"/>
      <c r="O36" s="1130"/>
      <c r="P36" s="3211"/>
      <c r="Q36" s="1807" t="str">
        <f t="shared" si="11"/>
        <v>成新度</v>
      </c>
      <c r="R36" s="770" t="s">
        <v>17</v>
      </c>
      <c r="S36" s="771">
        <f t="shared" si="12"/>
        <v>98</v>
      </c>
      <c r="T36" s="770" t="s">
        <v>17</v>
      </c>
      <c r="U36" s="771">
        <f t="shared" si="13"/>
        <v>98</v>
      </c>
      <c r="V36" s="770" t="s">
        <v>17</v>
      </c>
      <c r="W36" s="771">
        <f t="shared" si="14"/>
        <v>100</v>
      </c>
      <c r="X36" s="1810"/>
      <c r="Y36" s="3213"/>
      <c r="Z36" s="1811" t="str">
        <f t="shared" si="15"/>
        <v>成新度</v>
      </c>
      <c r="AA36" s="1808">
        <f t="shared" si="3"/>
        <v>1.0204081632653061</v>
      </c>
      <c r="AB36" s="1808">
        <f t="shared" si="4"/>
        <v>1.0204081632653061</v>
      </c>
      <c r="AC36" s="1808">
        <f t="shared" si="5"/>
        <v>1</v>
      </c>
    </row>
    <row r="37" spans="1:29" s="116" customFormat="1" ht="15">
      <c r="A37" s="472"/>
      <c r="B37" s="421"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11"/>
      <c r="Q37" s="1792" t="str">
        <f t="shared" si="11"/>
        <v>市政基础设施</v>
      </c>
      <c r="R37" s="766" t="s">
        <v>17</v>
      </c>
      <c r="S37" s="767">
        <f t="shared" si="12"/>
        <v>100</v>
      </c>
      <c r="T37" s="766" t="s">
        <v>17</v>
      </c>
      <c r="U37" s="767">
        <f t="shared" si="13"/>
        <v>100</v>
      </c>
      <c r="V37" s="766" t="s">
        <v>17</v>
      </c>
      <c r="W37" s="767">
        <f t="shared" si="14"/>
        <v>100</v>
      </c>
      <c r="X37" s="768"/>
      <c r="Y37" s="3213"/>
      <c r="Z37" s="54" t="str">
        <f t="shared" si="15"/>
        <v>市政基础设施</v>
      </c>
      <c r="AA37" s="769">
        <f t="shared" si="3"/>
        <v>1</v>
      </c>
      <c r="AB37" s="769">
        <f t="shared" si="4"/>
        <v>1</v>
      </c>
      <c r="AC37" s="769">
        <f t="shared" si="5"/>
        <v>1</v>
      </c>
    </row>
    <row r="38" spans="1:29" ht="15">
      <c r="A38" s="471"/>
      <c r="B38" s="421"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11" t="s">
        <v>2559</v>
      </c>
      <c r="Q38" s="1807" t="str">
        <f t="shared" si="11"/>
        <v>业态</v>
      </c>
      <c r="R38" s="770" t="s">
        <v>17</v>
      </c>
      <c r="S38" s="771">
        <f t="shared" si="12"/>
        <v>100</v>
      </c>
      <c r="T38" s="770" t="s">
        <v>17</v>
      </c>
      <c r="U38" s="771">
        <f t="shared" si="13"/>
        <v>100</v>
      </c>
      <c r="V38" s="770" t="s">
        <v>17</v>
      </c>
      <c r="W38" s="771">
        <f t="shared" si="14"/>
        <v>100</v>
      </c>
      <c r="X38" s="1810"/>
      <c r="Y38" s="3213" t="s">
        <v>2559</v>
      </c>
      <c r="Z38" s="1811" t="str">
        <f t="shared" si="15"/>
        <v>业态</v>
      </c>
      <c r="AA38" s="1808">
        <f t="shared" si="3"/>
        <v>1</v>
      </c>
      <c r="AB38" s="1808">
        <f t="shared" si="4"/>
        <v>1</v>
      </c>
      <c r="AC38" s="1808">
        <f t="shared" si="5"/>
        <v>1</v>
      </c>
    </row>
    <row r="39" spans="1:29" ht="15">
      <c r="A39" s="471"/>
      <c r="B39" s="421"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11"/>
      <c r="Q39" s="1807" t="str">
        <f t="shared" si="11"/>
        <v>层高</v>
      </c>
      <c r="R39" s="770" t="s">
        <v>17</v>
      </c>
      <c r="S39" s="771">
        <f t="shared" si="12"/>
        <v>100</v>
      </c>
      <c r="T39" s="770" t="s">
        <v>17</v>
      </c>
      <c r="U39" s="771">
        <f t="shared" si="13"/>
        <v>100</v>
      </c>
      <c r="V39" s="770" t="s">
        <v>17</v>
      </c>
      <c r="W39" s="771">
        <f t="shared" si="14"/>
        <v>100</v>
      </c>
      <c r="X39" s="1810"/>
      <c r="Y39" s="3213"/>
      <c r="Z39" s="1811" t="str">
        <f t="shared" si="15"/>
        <v>层高</v>
      </c>
      <c r="AA39" s="1808">
        <f t="shared" si="3"/>
        <v>1</v>
      </c>
      <c r="AB39" s="1808">
        <f t="shared" si="4"/>
        <v>1</v>
      </c>
      <c r="AC39" s="1808">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1"/>
      <c r="Q40" s="1807" t="str">
        <f t="shared" si="11"/>
        <v>单套建筑面积</v>
      </c>
      <c r="R40" s="770" t="s">
        <v>17</v>
      </c>
      <c r="S40" s="771">
        <f t="shared" si="12"/>
        <v>100</v>
      </c>
      <c r="T40" s="770" t="s">
        <v>17</v>
      </c>
      <c r="U40" s="771">
        <f t="shared" si="13"/>
        <v>100</v>
      </c>
      <c r="V40" s="770" t="s">
        <v>17</v>
      </c>
      <c r="W40" s="771">
        <f t="shared" si="14"/>
        <v>100</v>
      </c>
      <c r="X40" s="1810"/>
      <c r="Y40" s="3213"/>
      <c r="Z40" s="1811" t="str">
        <f t="shared" si="15"/>
        <v>单套建筑面积</v>
      </c>
      <c r="AA40" s="1808">
        <f t="shared" si="3"/>
        <v>1</v>
      </c>
      <c r="AB40" s="1808">
        <f t="shared" si="4"/>
        <v>1</v>
      </c>
      <c r="AC40" s="1808">
        <f t="shared" si="5"/>
        <v>1</v>
      </c>
    </row>
    <row r="41" spans="1:29" s="470" customFormat="1" ht="15">
      <c r="A41" s="467"/>
      <c r="B41" s="180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11"/>
      <c r="Q41" s="772" t="str">
        <f t="shared" si="11"/>
        <v>进深比</v>
      </c>
      <c r="R41" s="773" t="s">
        <v>17</v>
      </c>
      <c r="S41" s="774">
        <f t="shared" si="12"/>
        <v>100</v>
      </c>
      <c r="T41" s="773" t="s">
        <v>17</v>
      </c>
      <c r="U41" s="774">
        <f t="shared" si="13"/>
        <v>100</v>
      </c>
      <c r="V41" s="773" t="s">
        <v>17</v>
      </c>
      <c r="W41" s="774">
        <f t="shared" si="14"/>
        <v>100</v>
      </c>
      <c r="X41" s="775"/>
      <c r="Y41" s="3213"/>
      <c r="Z41" s="776" t="str">
        <f t="shared" si="15"/>
        <v>进深比</v>
      </c>
      <c r="AA41" s="1808">
        <f t="shared" si="3"/>
        <v>1</v>
      </c>
      <c r="AB41" s="1808">
        <f t="shared" si="4"/>
        <v>1</v>
      </c>
      <c r="AC41" s="1808">
        <f t="shared" si="5"/>
        <v>1</v>
      </c>
    </row>
    <row r="42" spans="1:29" ht="15">
      <c r="A42" s="471"/>
      <c r="B42" s="421"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11"/>
      <c r="Q42" s="1807" t="str">
        <f t="shared" si="11"/>
        <v>内部装修</v>
      </c>
      <c r="R42" s="770" t="s">
        <v>17</v>
      </c>
      <c r="S42" s="771">
        <f t="shared" si="12"/>
        <v>98</v>
      </c>
      <c r="T42" s="770" t="s">
        <v>17</v>
      </c>
      <c r="U42" s="771">
        <f t="shared" si="13"/>
        <v>98</v>
      </c>
      <c r="V42" s="770" t="s">
        <v>17</v>
      </c>
      <c r="W42" s="771">
        <f t="shared" si="14"/>
        <v>98</v>
      </c>
      <c r="X42" s="1810"/>
      <c r="Y42" s="3213"/>
      <c r="Z42" s="1811" t="str">
        <f t="shared" si="15"/>
        <v>内部装修</v>
      </c>
      <c r="AA42" s="1808">
        <f t="shared" si="3"/>
        <v>1.0204081632653061</v>
      </c>
      <c r="AB42" s="1808">
        <f t="shared" si="4"/>
        <v>1.0204081632653061</v>
      </c>
      <c r="AC42" s="1808">
        <f t="shared" si="5"/>
        <v>1.0204081632653061</v>
      </c>
    </row>
    <row r="43" spans="1:29" ht="15">
      <c r="A43" s="471"/>
      <c r="B43" s="421"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11"/>
      <c r="Q43" s="1807" t="str">
        <f t="shared" si="11"/>
        <v>内部装修维护情况</v>
      </c>
      <c r="R43" s="770" t="s">
        <v>17</v>
      </c>
      <c r="S43" s="771">
        <f t="shared" si="12"/>
        <v>100</v>
      </c>
      <c r="T43" s="770" t="s">
        <v>17</v>
      </c>
      <c r="U43" s="771">
        <f t="shared" si="13"/>
        <v>100</v>
      </c>
      <c r="V43" s="770" t="s">
        <v>17</v>
      </c>
      <c r="W43" s="771">
        <f t="shared" si="14"/>
        <v>100</v>
      </c>
      <c r="X43" s="1810"/>
      <c r="Y43" s="3213"/>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1"/>
      <c r="Q44" s="1792">
        <f t="shared" si="11"/>
        <v>111</v>
      </c>
      <c r="R44" s="766" t="s">
        <v>17</v>
      </c>
      <c r="S44" s="767">
        <f t="shared" si="12"/>
        <v>100</v>
      </c>
      <c r="T44" s="766" t="s">
        <v>17</v>
      </c>
      <c r="U44" s="767">
        <f t="shared" si="13"/>
        <v>100</v>
      </c>
      <c r="V44" s="766" t="s">
        <v>17</v>
      </c>
      <c r="W44" s="767">
        <f t="shared" si="14"/>
        <v>100</v>
      </c>
      <c r="X44" s="768"/>
      <c r="Y44" s="3213"/>
      <c r="Z44" s="54">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1"/>
      <c r="Q45" s="1807">
        <f t="shared" si="11"/>
        <v>111</v>
      </c>
      <c r="R45" s="770" t="s">
        <v>17</v>
      </c>
      <c r="S45" s="771">
        <f t="shared" si="12"/>
        <v>100</v>
      </c>
      <c r="T45" s="770" t="s">
        <v>17</v>
      </c>
      <c r="U45" s="771">
        <f t="shared" si="13"/>
        <v>100</v>
      </c>
      <c r="V45" s="770" t="s">
        <v>17</v>
      </c>
      <c r="W45" s="771">
        <f t="shared" si="14"/>
        <v>100</v>
      </c>
      <c r="X45" s="1810"/>
      <c r="Y45" s="3213"/>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2"/>
      <c r="Q46" s="1807">
        <f t="shared" si="11"/>
        <v>111</v>
      </c>
      <c r="R46" s="770" t="s">
        <v>17</v>
      </c>
      <c r="S46" s="771">
        <f t="shared" si="12"/>
        <v>100</v>
      </c>
      <c r="T46" s="770" t="s">
        <v>17</v>
      </c>
      <c r="U46" s="771">
        <f t="shared" si="13"/>
        <v>100</v>
      </c>
      <c r="V46" s="770" t="s">
        <v>17</v>
      </c>
      <c r="W46" s="771">
        <f t="shared" si="14"/>
        <v>100</v>
      </c>
      <c r="X46" s="1810"/>
      <c r="Y46" s="3214"/>
      <c r="Z46" s="1811">
        <f t="shared" si="15"/>
        <v>111</v>
      </c>
      <c r="AA46" s="1808">
        <f t="shared" si="3"/>
        <v>1</v>
      </c>
      <c r="AB46" s="1808">
        <f t="shared" si="4"/>
        <v>1</v>
      </c>
      <c r="AC46" s="1808">
        <f t="shared" si="5"/>
        <v>1</v>
      </c>
    </row>
    <row r="47" spans="1:29" ht="15">
      <c r="A47" s="478" t="s">
        <v>2571</v>
      </c>
      <c r="B47" s="479"/>
      <c r="C47" s="1404" t="s">
        <v>1</v>
      </c>
      <c r="D47" s="1405"/>
      <c r="E47" s="1406">
        <f>ROUND(129000*L47,0)</f>
        <v>126420</v>
      </c>
      <c r="F47" s="1407"/>
      <c r="G47" s="1408">
        <f>ROUND(113139*L47,0)</f>
        <v>110876</v>
      </c>
      <c r="H47" s="1409"/>
      <c r="I47" s="1406">
        <f>ROUND(123011*L47,0)</f>
        <v>120551</v>
      </c>
      <c r="J47" s="1409"/>
      <c r="K47" s="779"/>
      <c r="L47" s="1142">
        <v>0.98</v>
      </c>
      <c r="M47" s="1143"/>
      <c r="N47" s="1130"/>
      <c r="O47" s="1143"/>
      <c r="P47" s="3206" t="str">
        <f>A47</f>
        <v>成交单价（元/平方米）</v>
      </c>
      <c r="Q47" s="3206"/>
      <c r="R47" s="3237">
        <f>E47</f>
        <v>126420</v>
      </c>
      <c r="S47" s="3237"/>
      <c r="T47" s="3237">
        <f>G47</f>
        <v>110876</v>
      </c>
      <c r="U47" s="3237"/>
      <c r="V47" s="3237">
        <f>I47</f>
        <v>120551</v>
      </c>
      <c r="W47" s="3237"/>
      <c r="X47" s="755"/>
      <c r="Y47" s="777"/>
      <c r="Z47" s="755"/>
      <c r="AA47" s="755"/>
      <c r="AB47" s="755"/>
      <c r="AC47" s="755"/>
    </row>
    <row r="48" spans="1:29" ht="15.75" thickBot="1">
      <c r="A48" s="485" t="s">
        <v>2663</v>
      </c>
      <c r="B48" s="486"/>
      <c r="C48" s="1410">
        <f>R49</f>
        <v>112484</v>
      </c>
      <c r="D48" s="1411"/>
      <c r="E48" s="1412">
        <f>R48</f>
        <v>123051</v>
      </c>
      <c r="F48" s="1412"/>
      <c r="G48" s="1410">
        <f>T48</f>
        <v>105987</v>
      </c>
      <c r="H48" s="1411"/>
      <c r="I48" s="1412">
        <f>V48</f>
        <v>108414</v>
      </c>
      <c r="J48" s="1411"/>
      <c r="K48" s="780"/>
      <c r="L48" s="1142"/>
      <c r="M48" s="1143"/>
      <c r="N48" s="1130"/>
      <c r="O48" s="1143"/>
      <c r="P48" s="3206" t="str">
        <f>A48</f>
        <v>比较价值（元/平方米）</v>
      </c>
      <c r="Q48" s="3206"/>
      <c r="R48" s="3207">
        <f>IF(F1="售价",ROUND(PRODUCT(R47,AA7:AA46),0),ROUND(PRODUCT(R47,AA7:AA46),1))</f>
        <v>123051</v>
      </c>
      <c r="S48" s="3207"/>
      <c r="T48" s="3207">
        <f>IF(F1="售价",ROUND(PRODUCT(T47,AB7:AB46),0),ROUND(PRODUCT(T47,AB7:AB46),1))</f>
        <v>105987</v>
      </c>
      <c r="U48" s="3207"/>
      <c r="V48" s="3207">
        <f>IF(F1="售价",ROUND(PRODUCT(V47,AC7:AC46),0),ROUND(PRODUCT(V47,AC7:AC46),1))</f>
        <v>108414</v>
      </c>
      <c r="W48" s="3207"/>
      <c r="X48" s="755"/>
      <c r="Y48" s="755"/>
      <c r="Z48" s="755"/>
      <c r="AA48" s="755"/>
      <c r="AB48" s="755"/>
      <c r="AC48" s="755"/>
    </row>
    <row r="49" spans="1:29" ht="15.75" thickBot="1">
      <c r="A49" s="491" t="s">
        <v>2664</v>
      </c>
      <c r="B49" s="492"/>
      <c r="C49" s="1414">
        <f>R49</f>
        <v>112484</v>
      </c>
      <c r="D49" s="1414"/>
      <c r="E49" s="1414"/>
      <c r="F49" s="1414"/>
      <c r="G49" s="1414"/>
      <c r="H49" s="1414"/>
      <c r="I49" s="1414"/>
      <c r="J49" s="1414"/>
      <c r="K49" s="781"/>
      <c r="L49" s="1142"/>
      <c r="M49" s="1143"/>
      <c r="N49" s="1130"/>
      <c r="O49" s="1143"/>
      <c r="P49" s="3203" t="str">
        <f>A49</f>
        <v>估价对象XX用房的比较价值（楼面单价，元/平方米）</v>
      </c>
      <c r="Q49" s="3204"/>
      <c r="R49" s="3205">
        <f>IF(F1="售价",ROUND(AVERAGE(R48:V48),0),ROUND(AVERAGE(R48:V48),1))</f>
        <v>112484</v>
      </c>
      <c r="S49" s="3205"/>
      <c r="T49" s="3205"/>
      <c r="U49" s="3205"/>
      <c r="V49" s="3205"/>
      <c r="W49" s="320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2665</v>
      </c>
      <c r="D52" s="497"/>
      <c r="E52" s="498">
        <f>IF(E47&lt;E48,E48/E47-1,E47/E48-1)</f>
        <v>2.7378891679059825E-2</v>
      </c>
      <c r="F52" s="499" t="str">
        <f>IF(OR(E52&gt;=0.3,E52&lt;=-0.3),"超过30%","")</f>
        <v/>
      </c>
      <c r="G52" s="498">
        <f>IF(G47&lt;G48,G48/G47-1,G47/G48-1)</f>
        <v>4.6128298753620678E-2</v>
      </c>
      <c r="H52" s="499" t="str">
        <f>IF(OR(G52&gt;=0.3,G52&lt;=-0.3),"超过30%","")</f>
        <v/>
      </c>
      <c r="I52" s="498">
        <f>IF(I47&lt;I48,I48/I47-1,I47/I48-1)</f>
        <v>0.11195048609958125</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2666</v>
      </c>
      <c r="D53" s="500"/>
      <c r="E53" s="498">
        <f>IF(E48&lt;G48,G48/E48-1,E48/G48-1)</f>
        <v>0.16100087746610425</v>
      </c>
      <c r="F53" s="499" t="str">
        <f>IF(OR(E53&gt;=0.2,E53&lt;=-0.2),"超过20%","")</f>
        <v/>
      </c>
      <c r="G53" s="498">
        <f>IF(G48&lt;I48,I48/G48-1,G48/I48-1)</f>
        <v>2.2899034787285277E-2</v>
      </c>
      <c r="H53" s="499" t="str">
        <f>IF(OR(G53&gt;=0.2,G53&lt;=-0.2),"超过20%","")</f>
        <v/>
      </c>
      <c r="I53" s="498">
        <f>IF(I48&lt;E48,E48/I48-1,I48/E48-1)</f>
        <v>0.1350102385300791</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2667</v>
      </c>
      <c r="D54" s="500"/>
      <c r="E54" s="498">
        <f>IF(E47&lt;G47,G47/E47-1,E47/G47-1)</f>
        <v>0.14019264764241135</v>
      </c>
      <c r="F54" s="499" t="str">
        <f>IF(OR(E54&gt;=0.3,E54&lt;=-0.3),"超过30%","")</f>
        <v/>
      </c>
      <c r="G54" s="498">
        <f>IF(G47&lt;I47,I47/G47-1,G47/I47-1)</f>
        <v>8.7259641401205013E-2</v>
      </c>
      <c r="H54" s="499" t="str">
        <f>IF(OR(G54&gt;=0.3,G54&lt;=-0.3),"超过30%","")</f>
        <v/>
      </c>
      <c r="I54" s="498">
        <f>IF(I47&lt;E47,E47/I47-1,I47/E47-1)</f>
        <v>4.868478901046025E-2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2668</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2646</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78</v>
      </c>
      <c r="E81" s="543">
        <f>D81-$K19</f>
        <v>56</v>
      </c>
      <c r="F81" s="543">
        <f>E81-$K19</f>
        <v>34</v>
      </c>
      <c r="G81" s="543">
        <f>F81-$K19</f>
        <v>12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2680</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IF(C2="——",ROUND(C50*D3/10000,0),ROUND(C50*D3/10000,0)-D2)</f>
        <v>#DIV/0!</v>
      </c>
      <c r="C2" s="2580"/>
      <c r="D2" s="1362"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IF(C2="——",C50,ROUND(B2*10000/D3,0))</f>
        <v>#DIV/0!</v>
      </c>
      <c r="C3" s="399" t="s">
        <v>2638</v>
      </c>
      <c r="D3" s="398">
        <f>IF(D1="",'数据-汇总表'!E3,SUMIF('数据-汇总表'!$C19:$C33,D1,'数据-汇总表'!$E19:$E33))</f>
        <v>7048.35</v>
      </c>
      <c r="E3" s="2657"/>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2639</v>
      </c>
      <c r="B4" s="401"/>
      <c r="C4" s="3221" t="s">
        <v>2640</v>
      </c>
      <c r="D4" s="3222"/>
      <c r="E4" s="3223" t="s">
        <v>2641</v>
      </c>
      <c r="F4" s="3224"/>
      <c r="G4" s="3221" t="s">
        <v>2642</v>
      </c>
      <c r="H4" s="3222"/>
      <c r="I4" s="3221" t="s">
        <v>2643</v>
      </c>
      <c r="J4" s="3222"/>
      <c r="K4" s="609" t="s">
        <v>2644</v>
      </c>
      <c r="L4" s="1129"/>
      <c r="M4" s="1130"/>
      <c r="N4" s="1130"/>
      <c r="O4" s="1130"/>
      <c r="P4" s="3257" t="s">
        <v>2645</v>
      </c>
      <c r="Q4" s="3258"/>
      <c r="R4" s="3261" t="s">
        <v>2641</v>
      </c>
      <c r="S4" s="3262"/>
      <c r="T4" s="3261" t="s">
        <v>2642</v>
      </c>
      <c r="U4" s="3262"/>
      <c r="V4" s="3263" t="s">
        <v>2643</v>
      </c>
      <c r="W4" s="3263"/>
      <c r="X4" s="2664"/>
      <c r="Y4" s="3261" t="s">
        <v>2645</v>
      </c>
      <c r="Z4" s="3262"/>
      <c r="AA4" s="3265" t="s">
        <v>2641</v>
      </c>
      <c r="AB4" s="3265" t="s">
        <v>2642</v>
      </c>
      <c r="AC4" s="3254" t="s">
        <v>2643</v>
      </c>
    </row>
    <row r="5" spans="1:29" ht="15">
      <c r="A5" s="403"/>
      <c r="B5" s="404"/>
      <c r="C5" s="3240" t="s">
        <v>2536</v>
      </c>
      <c r="D5" s="3241"/>
      <c r="E5" s="3247" t="s">
        <v>2537</v>
      </c>
      <c r="F5" s="3248"/>
      <c r="G5" s="3240" t="s">
        <v>2538</v>
      </c>
      <c r="H5" s="3241"/>
      <c r="I5" s="3240" t="s">
        <v>2539</v>
      </c>
      <c r="J5" s="3241"/>
      <c r="K5" s="609"/>
      <c r="L5" s="1129"/>
      <c r="M5" s="1130"/>
      <c r="N5" s="1130"/>
      <c r="O5" s="1130"/>
      <c r="P5" s="3259"/>
      <c r="Q5" s="3228"/>
      <c r="R5" s="3233"/>
      <c r="S5" s="3234"/>
      <c r="T5" s="3233"/>
      <c r="U5" s="3234"/>
      <c r="V5" s="3237"/>
      <c r="W5" s="3237"/>
      <c r="X5" s="1810"/>
      <c r="Y5" s="3233"/>
      <c r="Z5" s="3234"/>
      <c r="AA5" s="3219"/>
      <c r="AB5" s="3219"/>
      <c r="AC5" s="3255"/>
    </row>
    <row r="6" spans="1:29" ht="15.75" thickBot="1">
      <c r="A6" s="405"/>
      <c r="B6" s="406"/>
      <c r="C6" s="3238" t="s">
        <v>2540</v>
      </c>
      <c r="D6" s="3239"/>
      <c r="E6" s="3245" t="s">
        <v>2540</v>
      </c>
      <c r="F6" s="3246"/>
      <c r="G6" s="3238" t="s">
        <v>2540</v>
      </c>
      <c r="H6" s="3239"/>
      <c r="I6" s="3238" t="s">
        <v>2540</v>
      </c>
      <c r="J6" s="3239"/>
      <c r="K6" s="609" t="s">
        <v>2541</v>
      </c>
      <c r="L6" s="1129"/>
      <c r="M6" s="1130"/>
      <c r="N6" s="1130"/>
      <c r="O6" s="1130"/>
      <c r="P6" s="3260"/>
      <c r="Q6" s="3230"/>
      <c r="R6" s="3233"/>
      <c r="S6" s="3234"/>
      <c r="T6" s="3235"/>
      <c r="U6" s="3236"/>
      <c r="V6" s="3237"/>
      <c r="W6" s="3237"/>
      <c r="X6" s="1810"/>
      <c r="Y6" s="3235"/>
      <c r="Z6" s="3236"/>
      <c r="AA6" s="3220"/>
      <c r="AB6" s="3220"/>
      <c r="AC6" s="3256"/>
    </row>
    <row r="7" spans="1:29" s="116" customFormat="1" ht="15.75" thickBot="1">
      <c r="A7" s="407" t="s">
        <v>2542</v>
      </c>
      <c r="B7" s="408"/>
      <c r="C7" s="409">
        <f>'数据-取费表'!B2</f>
        <v>43276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4" t="s">
        <v>2543</v>
      </c>
      <c r="Q7" s="3244"/>
      <c r="R7" s="766" t="s">
        <v>17</v>
      </c>
      <c r="S7" s="767">
        <f t="shared" ref="S7:S15" si="0">F7</f>
        <v>0</v>
      </c>
      <c r="T7" s="766" t="s">
        <v>17</v>
      </c>
      <c r="U7" s="767">
        <f t="shared" ref="U7:U15" si="1">H7</f>
        <v>0</v>
      </c>
      <c r="V7" s="766" t="s">
        <v>17</v>
      </c>
      <c r="W7" s="767">
        <f t="shared" ref="W7:W15" si="2">J7</f>
        <v>0</v>
      </c>
      <c r="X7" s="768"/>
      <c r="Y7" s="3242" t="s">
        <v>2543</v>
      </c>
      <c r="Z7" s="3243"/>
      <c r="AA7" s="769" t="e">
        <f>D7/F7</f>
        <v>#DIV/0!</v>
      </c>
      <c r="AB7" s="769" t="e">
        <f>D7/H7</f>
        <v>#DIV/0!</v>
      </c>
      <c r="AC7" s="2665"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4" t="s">
        <v>2546</v>
      </c>
      <c r="Q8" s="3243"/>
      <c r="R8" s="766" t="s">
        <v>17</v>
      </c>
      <c r="S8" s="767">
        <f t="shared" si="0"/>
        <v>0</v>
      </c>
      <c r="T8" s="766" t="s">
        <v>17</v>
      </c>
      <c r="U8" s="767">
        <f t="shared" si="1"/>
        <v>0</v>
      </c>
      <c r="V8" s="766" t="s">
        <v>17</v>
      </c>
      <c r="W8" s="767">
        <f t="shared" si="2"/>
        <v>0</v>
      </c>
      <c r="X8" s="768"/>
      <c r="Y8" s="3242" t="s">
        <v>2546</v>
      </c>
      <c r="Z8" s="3243"/>
      <c r="AA8" s="769" t="e">
        <f t="shared" ref="AA8:AA47" si="3">D8/F8</f>
        <v>#DIV/0!</v>
      </c>
      <c r="AB8" s="769" t="e">
        <f t="shared" ref="AB8:AB47" si="4">D8/H8</f>
        <v>#DIV/0!</v>
      </c>
      <c r="AC8" s="2665"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7" t="s">
        <v>2549</v>
      </c>
      <c r="Q9" s="1792" t="str">
        <f t="shared" ref="Q9:Q15" si="6">B9</f>
        <v>用途</v>
      </c>
      <c r="R9" s="766" t="s">
        <v>17</v>
      </c>
      <c r="S9" s="767">
        <f t="shared" si="0"/>
        <v>100</v>
      </c>
      <c r="T9" s="766" t="s">
        <v>17</v>
      </c>
      <c r="U9" s="767">
        <f t="shared" si="1"/>
        <v>100</v>
      </c>
      <c r="V9" s="766" t="s">
        <v>17</v>
      </c>
      <c r="W9" s="767">
        <f t="shared" si="2"/>
        <v>100</v>
      </c>
      <c r="X9" s="768"/>
      <c r="Y9" s="3031" t="s">
        <v>2550</v>
      </c>
      <c r="Z9" s="54" t="str">
        <f t="shared" ref="Z9:Z15" si="7">Q9</f>
        <v>用途</v>
      </c>
      <c r="AA9" s="769">
        <f t="shared" si="3"/>
        <v>1</v>
      </c>
      <c r="AB9" s="769">
        <f t="shared" si="4"/>
        <v>1</v>
      </c>
      <c r="AC9" s="2665">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7"/>
      <c r="Q10" s="1792" t="str">
        <f t="shared" si="6"/>
        <v>土地使用年限（年）</v>
      </c>
      <c r="R10" s="766" t="s">
        <v>17</v>
      </c>
      <c r="S10" s="767">
        <f t="shared" si="0"/>
        <v>100</v>
      </c>
      <c r="T10" s="766" t="s">
        <v>17</v>
      </c>
      <c r="U10" s="767">
        <f t="shared" si="1"/>
        <v>100</v>
      </c>
      <c r="V10" s="766" t="s">
        <v>17</v>
      </c>
      <c r="W10" s="767">
        <f t="shared" si="2"/>
        <v>100</v>
      </c>
      <c r="X10" s="768"/>
      <c r="Y10" s="3031"/>
      <c r="Z10" s="54" t="str">
        <f t="shared" si="7"/>
        <v>土地使用年限（年）</v>
      </c>
      <c r="AA10" s="769">
        <f t="shared" si="3"/>
        <v>1</v>
      </c>
      <c r="AB10" s="769">
        <f t="shared" si="4"/>
        <v>1</v>
      </c>
      <c r="AC10" s="2665">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7"/>
      <c r="Q11" s="1792" t="str">
        <f t="shared" si="6"/>
        <v>容积率</v>
      </c>
      <c r="R11" s="766" t="s">
        <v>17</v>
      </c>
      <c r="S11" s="767" t="e">
        <f t="shared" si="0"/>
        <v>#N/A</v>
      </c>
      <c r="T11" s="766" t="s">
        <v>17</v>
      </c>
      <c r="U11" s="767" t="e">
        <f t="shared" si="1"/>
        <v>#N/A</v>
      </c>
      <c r="V11" s="766" t="s">
        <v>17</v>
      </c>
      <c r="W11" s="767" t="e">
        <f t="shared" si="2"/>
        <v>#N/A</v>
      </c>
      <c r="X11" s="768"/>
      <c r="Y11" s="3031"/>
      <c r="Z11" s="54" t="str">
        <f t="shared" si="7"/>
        <v>容积率</v>
      </c>
      <c r="AA11" s="769" t="e">
        <f t="shared" si="3"/>
        <v>#N/A</v>
      </c>
      <c r="AB11" s="769"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1"/>
      <c r="M12" s="1132"/>
      <c r="N12" s="1132"/>
      <c r="O12" s="1132"/>
      <c r="P12" s="3217"/>
      <c r="Q12" s="1792">
        <f t="shared" si="6"/>
        <v>111</v>
      </c>
      <c r="R12" s="766" t="s">
        <v>17</v>
      </c>
      <c r="S12" s="767">
        <f t="shared" si="0"/>
        <v>100</v>
      </c>
      <c r="T12" s="766" t="s">
        <v>17</v>
      </c>
      <c r="U12" s="767">
        <f t="shared" si="1"/>
        <v>100</v>
      </c>
      <c r="V12" s="766" t="s">
        <v>17</v>
      </c>
      <c r="W12" s="767">
        <f t="shared" si="2"/>
        <v>100</v>
      </c>
      <c r="X12" s="768"/>
      <c r="Y12" s="3031"/>
      <c r="Z12" s="54">
        <f t="shared" si="7"/>
        <v>111</v>
      </c>
      <c r="AA12" s="769">
        <f>D12/F12</f>
        <v>1</v>
      </c>
      <c r="AB12" s="769">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9"/>
      <c r="M13" s="1130"/>
      <c r="N13" s="1130"/>
      <c r="O13" s="1130"/>
      <c r="P13" s="3217"/>
      <c r="Q13" s="1792">
        <f t="shared" si="6"/>
        <v>111</v>
      </c>
      <c r="R13" s="766" t="s">
        <v>17</v>
      </c>
      <c r="S13" s="767">
        <f t="shared" si="0"/>
        <v>100</v>
      </c>
      <c r="T13" s="766" t="s">
        <v>17</v>
      </c>
      <c r="U13" s="767">
        <f t="shared" si="1"/>
        <v>100</v>
      </c>
      <c r="V13" s="766" t="s">
        <v>17</v>
      </c>
      <c r="W13" s="767">
        <f t="shared" si="2"/>
        <v>100</v>
      </c>
      <c r="X13" s="768"/>
      <c r="Y13" s="3031"/>
      <c r="Z13" s="54">
        <f t="shared" si="7"/>
        <v>111</v>
      </c>
      <c r="AA13" s="769">
        <f t="shared" si="3"/>
        <v>1</v>
      </c>
      <c r="AB13" s="769">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9"/>
      <c r="M14" s="1130"/>
      <c r="N14" s="1130"/>
      <c r="O14" s="1130"/>
      <c r="P14" s="3217"/>
      <c r="Q14" s="1792">
        <f t="shared" si="6"/>
        <v>111</v>
      </c>
      <c r="R14" s="766" t="s">
        <v>17</v>
      </c>
      <c r="S14" s="767">
        <f t="shared" si="0"/>
        <v>100</v>
      </c>
      <c r="T14" s="766" t="s">
        <v>17</v>
      </c>
      <c r="U14" s="767">
        <f t="shared" si="1"/>
        <v>100</v>
      </c>
      <c r="V14" s="766" t="s">
        <v>17</v>
      </c>
      <c r="W14" s="767">
        <f t="shared" si="2"/>
        <v>100</v>
      </c>
      <c r="X14" s="768"/>
      <c r="Y14" s="3031"/>
      <c r="Z14" s="54">
        <f t="shared" si="7"/>
        <v>111</v>
      </c>
      <c r="AA14" s="769">
        <f t="shared" si="3"/>
        <v>1</v>
      </c>
      <c r="AB14" s="769">
        <f t="shared" si="4"/>
        <v>1</v>
      </c>
      <c r="AC14" s="2665">
        <f t="shared" si="5"/>
        <v>1</v>
      </c>
    </row>
    <row r="15" spans="1:29" ht="15">
      <c r="A15" s="439" t="s">
        <v>2553</v>
      </c>
      <c r="B15" s="628" t="s">
        <v>2681</v>
      </c>
      <c r="C15" s="2667"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5" t="s">
        <v>2554</v>
      </c>
      <c r="Q15" s="1807" t="str">
        <f t="shared" si="6"/>
        <v>办公集聚程度</v>
      </c>
      <c r="R15" s="770" t="s">
        <v>17</v>
      </c>
      <c r="S15" s="771">
        <f t="shared" si="0"/>
        <v>100</v>
      </c>
      <c r="T15" s="770" t="s">
        <v>17</v>
      </c>
      <c r="U15" s="771">
        <f t="shared" si="1"/>
        <v>100</v>
      </c>
      <c r="V15" s="770" t="s">
        <v>17</v>
      </c>
      <c r="W15" s="771">
        <f t="shared" si="2"/>
        <v>100</v>
      </c>
      <c r="X15" s="1810"/>
      <c r="Y15" s="3208" t="s">
        <v>2554</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9"/>
      <c r="M16" s="1130"/>
      <c r="N16" s="1130"/>
      <c r="O16" s="1130"/>
      <c r="P16" s="3216"/>
      <c r="Q16" s="1807"/>
      <c r="R16" s="770"/>
      <c r="S16" s="771"/>
      <c r="T16" s="770"/>
      <c r="U16" s="771"/>
      <c r="V16" s="770"/>
      <c r="W16" s="771"/>
      <c r="X16" s="1810"/>
      <c r="Y16" s="3209"/>
      <c r="Z16" s="1811"/>
      <c r="AA16" s="1808">
        <v>1</v>
      </c>
      <c r="AB16" s="1808">
        <v>1</v>
      </c>
      <c r="AC16" s="2668">
        <v>1</v>
      </c>
    </row>
    <row r="17" spans="1:29" ht="114">
      <c r="A17" s="427"/>
      <c r="B17" s="630" t="s">
        <v>2091</v>
      </c>
      <c r="C17" s="2669" t="str">
        <f>估价对象房地状况!C6</f>
        <v>周边路网密集，行车出入便捷。1公里范围内有352路、7路、K204路等公交线路及地铁罗宝线，公交便捷度好，综合确定交通便捷度好。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6"/>
      <c r="Q17" s="1807" t="str">
        <f>B17</f>
        <v>交通便捷度</v>
      </c>
      <c r="R17" s="770" t="s">
        <v>17</v>
      </c>
      <c r="S17" s="771">
        <f>F17</f>
        <v>100</v>
      </c>
      <c r="T17" s="770" t="s">
        <v>17</v>
      </c>
      <c r="U17" s="771">
        <f>H17</f>
        <v>100</v>
      </c>
      <c r="V17" s="770" t="s">
        <v>17</v>
      </c>
      <c r="W17" s="771">
        <f>J17</f>
        <v>100</v>
      </c>
      <c r="X17" s="1810"/>
      <c r="Y17" s="3209"/>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9"/>
      <c r="M18" s="1130"/>
      <c r="N18" s="1130"/>
      <c r="O18" s="1130"/>
      <c r="P18" s="3216"/>
      <c r="Q18" s="1807"/>
      <c r="R18" s="770"/>
      <c r="S18" s="771"/>
      <c r="T18" s="770"/>
      <c r="U18" s="771"/>
      <c r="V18" s="770"/>
      <c r="W18" s="771"/>
      <c r="X18" s="1810"/>
      <c r="Y18" s="3209"/>
      <c r="Z18" s="1811"/>
      <c r="AA18" s="1808">
        <v>1</v>
      </c>
      <c r="AB18" s="1808">
        <v>1</v>
      </c>
      <c r="AC18" s="2668">
        <v>1</v>
      </c>
    </row>
    <row r="19" spans="1:29" ht="142.5">
      <c r="A19" s="427"/>
      <c r="B19" s="630" t="s">
        <v>2682</v>
      </c>
      <c r="C19" s="2669"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6"/>
      <c r="Q19" s="1807" t="str">
        <f>B19</f>
        <v>公共配套设施</v>
      </c>
      <c r="R19" s="770" t="s">
        <v>17</v>
      </c>
      <c r="S19" s="771">
        <f>F19</f>
        <v>100</v>
      </c>
      <c r="T19" s="770" t="s">
        <v>17</v>
      </c>
      <c r="U19" s="771">
        <f>H19</f>
        <v>100</v>
      </c>
      <c r="V19" s="770" t="s">
        <v>17</v>
      </c>
      <c r="W19" s="771">
        <f>J19</f>
        <v>100</v>
      </c>
      <c r="X19" s="1810"/>
      <c r="Y19" s="3209"/>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9"/>
      <c r="M20" s="1130"/>
      <c r="N20" s="1130"/>
      <c r="O20" s="1130"/>
      <c r="P20" s="3216"/>
      <c r="Q20" s="1807"/>
      <c r="R20" s="770"/>
      <c r="S20" s="771"/>
      <c r="T20" s="770"/>
      <c r="U20" s="771"/>
      <c r="V20" s="770"/>
      <c r="W20" s="771"/>
      <c r="X20" s="1810"/>
      <c r="Y20" s="3209"/>
      <c r="Z20" s="1811"/>
      <c r="AA20" s="1808">
        <v>1</v>
      </c>
      <c r="AB20" s="1808">
        <v>1</v>
      </c>
      <c r="AC20" s="2668">
        <v>1</v>
      </c>
    </row>
    <row r="21" spans="1:29" ht="42.75">
      <c r="A21" s="427"/>
      <c r="B21" s="632" t="s">
        <v>2683</v>
      </c>
      <c r="C21" s="2669" t="str">
        <f>估价对象房地状况!C8</f>
        <v>估价对象所在区域基础设施水平达“六通”。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6"/>
      <c r="Q21" s="1807" t="str">
        <f>B21</f>
        <v>基础设施水平</v>
      </c>
      <c r="R21" s="770" t="s">
        <v>17</v>
      </c>
      <c r="S21" s="771">
        <f>F21</f>
        <v>100</v>
      </c>
      <c r="T21" s="770" t="s">
        <v>17</v>
      </c>
      <c r="U21" s="771">
        <f>H21</f>
        <v>100</v>
      </c>
      <c r="V21" s="770" t="s">
        <v>17</v>
      </c>
      <c r="W21" s="771">
        <f>J21</f>
        <v>100</v>
      </c>
      <c r="X21" s="1810"/>
      <c r="Y21" s="3209"/>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9"/>
      <c r="M22" s="1130"/>
      <c r="N22" s="1130"/>
      <c r="O22" s="1130"/>
      <c r="P22" s="3216"/>
      <c r="Q22" s="1807"/>
      <c r="R22" s="770"/>
      <c r="S22" s="771"/>
      <c r="T22" s="770"/>
      <c r="U22" s="771"/>
      <c r="V22" s="770"/>
      <c r="W22" s="771"/>
      <c r="X22" s="1810"/>
      <c r="Y22" s="3209"/>
      <c r="Z22" s="1811"/>
      <c r="AA22" s="1808">
        <v>1</v>
      </c>
      <c r="AB22" s="1808">
        <v>1</v>
      </c>
      <c r="AC22" s="2668">
        <v>1</v>
      </c>
    </row>
    <row r="23" spans="1:29" ht="114">
      <c r="A23" s="427"/>
      <c r="B23" s="630" t="s">
        <v>2684</v>
      </c>
      <c r="C23" s="2669" t="str">
        <f>估价对象房地状况!C9</f>
        <v>周边有嘉宾公园、深圳河水系，绿化条件较好，有深圳大剧院、至正艺术博物馆、深圳广播电视大学等场所，综合确定自然及人文环境较好。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6"/>
      <c r="Q23" s="1807" t="str">
        <f>B23</f>
        <v>环境质量</v>
      </c>
      <c r="R23" s="770" t="s">
        <v>17</v>
      </c>
      <c r="S23" s="771">
        <f>F23</f>
        <v>100</v>
      </c>
      <c r="T23" s="770" t="s">
        <v>17</v>
      </c>
      <c r="U23" s="771">
        <f>H23</f>
        <v>100</v>
      </c>
      <c r="V23" s="770" t="s">
        <v>17</v>
      </c>
      <c r="W23" s="771">
        <f>J23</f>
        <v>100</v>
      </c>
      <c r="X23" s="1810"/>
      <c r="Y23" s="3209"/>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9"/>
      <c r="M24" s="1130"/>
      <c r="N24" s="1130"/>
      <c r="O24" s="1130"/>
      <c r="P24" s="3216"/>
      <c r="Q24" s="1807"/>
      <c r="R24" s="770"/>
      <c r="S24" s="771"/>
      <c r="T24" s="770"/>
      <c r="U24" s="771"/>
      <c r="V24" s="770"/>
      <c r="W24" s="771"/>
      <c r="X24" s="1810"/>
      <c r="Y24" s="3209"/>
      <c r="Z24" s="1811"/>
      <c r="AA24" s="1808">
        <v>1</v>
      </c>
      <c r="AB24" s="1808">
        <v>1</v>
      </c>
      <c r="AC24" s="2668">
        <v>1</v>
      </c>
    </row>
    <row r="25" spans="1:29" ht="27">
      <c r="A25" s="403"/>
      <c r="B25" s="630" t="s">
        <v>2685</v>
      </c>
      <c r="C25" s="2609"/>
      <c r="D25" s="434">
        <v>100</v>
      </c>
      <c r="E25" s="433"/>
      <c r="F25" s="434">
        <f>SUMIF(87:87,E26,88:88)-SUMIF(87:87,C26,88:88)+100</f>
        <v>100</v>
      </c>
      <c r="G25" s="2609"/>
      <c r="H25" s="434">
        <f>SUMIF(87:87,G26,88:88)-SUMIF(87:87,C26,88:88)+100</f>
        <v>100</v>
      </c>
      <c r="I25" s="433"/>
      <c r="J25" s="434">
        <f>SUMIF(87:87,I26,88:88)-SUMIF(87:87,C26,88:88)+100</f>
        <v>100</v>
      </c>
      <c r="K25" s="613"/>
      <c r="L25" s="1139"/>
      <c r="M25" s="1130"/>
      <c r="N25" s="1130"/>
      <c r="O25" s="1130"/>
      <c r="P25" s="3216"/>
      <c r="Q25" s="1807" t="str">
        <f>B25</f>
        <v>毗邻道路的类型与等级</v>
      </c>
      <c r="R25" s="770" t="s">
        <v>17</v>
      </c>
      <c r="S25" s="771">
        <f>F25</f>
        <v>100</v>
      </c>
      <c r="T25" s="770" t="s">
        <v>17</v>
      </c>
      <c r="U25" s="771">
        <f>H25</f>
        <v>100</v>
      </c>
      <c r="V25" s="770" t="s">
        <v>17</v>
      </c>
      <c r="W25" s="771">
        <f>J25</f>
        <v>100</v>
      </c>
      <c r="X25" s="1810"/>
      <c r="Y25" s="3209"/>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9"/>
      <c r="M26" s="1130"/>
      <c r="N26" s="1130"/>
      <c r="O26" s="1130"/>
      <c r="P26" s="3216"/>
      <c r="Q26" s="1807"/>
      <c r="R26" s="770"/>
      <c r="S26" s="771"/>
      <c r="T26" s="770"/>
      <c r="U26" s="771"/>
      <c r="V26" s="770"/>
      <c r="W26" s="771"/>
      <c r="X26" s="1810"/>
      <c r="Y26" s="3209"/>
      <c r="Z26" s="1811"/>
      <c r="AA26" s="1808">
        <v>1</v>
      </c>
      <c r="AB26" s="1808">
        <v>1</v>
      </c>
      <c r="AC26" s="2668">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6"/>
      <c r="Q27" s="1807" t="str">
        <f t="shared" ref="Q27:Q47" si="11">B27</f>
        <v>楼层</v>
      </c>
      <c r="R27" s="770" t="s">
        <v>17</v>
      </c>
      <c r="S27" s="771">
        <f>F27</f>
        <v>100</v>
      </c>
      <c r="T27" s="770" t="s">
        <v>17</v>
      </c>
      <c r="U27" s="771">
        <f>H27</f>
        <v>100</v>
      </c>
      <c r="V27" s="770" t="s">
        <v>17</v>
      </c>
      <c r="W27" s="771">
        <f>J27</f>
        <v>100</v>
      </c>
      <c r="X27" s="1810"/>
      <c r="Y27" s="3209"/>
      <c r="Z27" s="1811" t="str">
        <f>Q27</f>
        <v>楼层</v>
      </c>
      <c r="AA27" s="1808">
        <f t="shared" si="3"/>
        <v>1</v>
      </c>
      <c r="AB27" s="1808">
        <f t="shared" si="4"/>
        <v>1</v>
      </c>
      <c r="AC27" s="2668">
        <f t="shared" si="5"/>
        <v>1</v>
      </c>
    </row>
    <row r="28" spans="1:29" s="116" customFormat="1" ht="15">
      <c r="A28" s="430"/>
      <c r="B28" s="630" t="s">
        <v>2686</v>
      </c>
      <c r="C28" s="2671"/>
      <c r="D28" s="461">
        <v>100</v>
      </c>
      <c r="E28" s="2659"/>
      <c r="F28" s="461">
        <f>SUMIF(91:91,E28,92:92)-SUMIF(91:91,C28,92:92)+100</f>
        <v>100</v>
      </c>
      <c r="G28" s="2671"/>
      <c r="H28" s="461">
        <f>SUMIF(91:91,G28,92:92)-SUMIF(91:91,C28,92:92)+100</f>
        <v>100</v>
      </c>
      <c r="I28" s="2659"/>
      <c r="J28" s="461">
        <f>SUMIF(91:91,I28,92:92)-SUMIF(91:91,C28,92:92)+100</f>
        <v>100</v>
      </c>
      <c r="K28" s="611"/>
      <c r="L28" s="1131"/>
      <c r="M28" s="1132"/>
      <c r="N28" s="1132"/>
      <c r="O28" s="1132"/>
      <c r="P28" s="3216"/>
      <c r="Q28" s="1792" t="str">
        <f t="shared" si="11"/>
        <v>朝向</v>
      </c>
      <c r="R28" s="766" t="s">
        <v>17</v>
      </c>
      <c r="S28" s="767">
        <f>F28</f>
        <v>100</v>
      </c>
      <c r="T28" s="766" t="s">
        <v>17</v>
      </c>
      <c r="U28" s="767">
        <f>H28</f>
        <v>100</v>
      </c>
      <c r="V28" s="766" t="s">
        <v>17</v>
      </c>
      <c r="W28" s="767">
        <f>J28</f>
        <v>100</v>
      </c>
      <c r="X28" s="768"/>
      <c r="Y28" s="3209"/>
      <c r="Z28" s="54"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9"/>
      <c r="M29" s="1130"/>
      <c r="N29" s="1130"/>
      <c r="O29" s="1130"/>
      <c r="P29" s="3216"/>
      <c r="Q29" s="1807">
        <f t="shared" si="11"/>
        <v>111</v>
      </c>
      <c r="R29" s="770" t="s">
        <v>17</v>
      </c>
      <c r="S29" s="771">
        <f t="shared" ref="S29:S47" si="12">F29</f>
        <v>100</v>
      </c>
      <c r="T29" s="770" t="s">
        <v>17</v>
      </c>
      <c r="U29" s="771">
        <f t="shared" ref="U29:U47" si="13">H29</f>
        <v>100</v>
      </c>
      <c r="V29" s="770" t="s">
        <v>17</v>
      </c>
      <c r="W29" s="771">
        <f t="shared" ref="W29:W47" si="14">J29</f>
        <v>100</v>
      </c>
      <c r="X29" s="1810"/>
      <c r="Y29" s="3209"/>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9"/>
      <c r="M30" s="1130"/>
      <c r="N30" s="1130"/>
      <c r="O30" s="1130"/>
      <c r="P30" s="3216"/>
      <c r="Q30" s="1807">
        <f t="shared" si="11"/>
        <v>111</v>
      </c>
      <c r="R30" s="770" t="s">
        <v>17</v>
      </c>
      <c r="S30" s="771">
        <f t="shared" si="12"/>
        <v>100</v>
      </c>
      <c r="T30" s="770" t="s">
        <v>17</v>
      </c>
      <c r="U30" s="771">
        <f t="shared" si="13"/>
        <v>100</v>
      </c>
      <c r="V30" s="770" t="s">
        <v>17</v>
      </c>
      <c r="W30" s="771">
        <f t="shared" si="14"/>
        <v>100</v>
      </c>
      <c r="X30" s="1810"/>
      <c r="Y30" s="3209"/>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9"/>
      <c r="M31" s="1130"/>
      <c r="N31" s="1130"/>
      <c r="O31" s="1130"/>
      <c r="P31" s="3216"/>
      <c r="Q31" s="1807">
        <f t="shared" si="11"/>
        <v>111</v>
      </c>
      <c r="R31" s="770" t="s">
        <v>17</v>
      </c>
      <c r="S31" s="771">
        <f t="shared" si="12"/>
        <v>100</v>
      </c>
      <c r="T31" s="770" t="s">
        <v>17</v>
      </c>
      <c r="U31" s="771">
        <f t="shared" si="13"/>
        <v>100</v>
      </c>
      <c r="V31" s="770" t="s">
        <v>17</v>
      </c>
      <c r="W31" s="771">
        <f t="shared" si="14"/>
        <v>100</v>
      </c>
      <c r="X31" s="1810"/>
      <c r="Y31" s="3209"/>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9"/>
      <c r="M32" s="1130"/>
      <c r="N32" s="1130"/>
      <c r="O32" s="1130"/>
      <c r="P32" s="3216"/>
      <c r="Q32" s="1807">
        <f t="shared" si="11"/>
        <v>111</v>
      </c>
      <c r="R32" s="770" t="s">
        <v>17</v>
      </c>
      <c r="S32" s="771">
        <f t="shared" si="12"/>
        <v>100</v>
      </c>
      <c r="T32" s="770" t="s">
        <v>17</v>
      </c>
      <c r="U32" s="771">
        <f t="shared" si="13"/>
        <v>100</v>
      </c>
      <c r="V32" s="770" t="s">
        <v>17</v>
      </c>
      <c r="W32" s="771">
        <f t="shared" si="14"/>
        <v>100</v>
      </c>
      <c r="X32" s="1810"/>
      <c r="Y32" s="3209"/>
      <c r="Z32" s="1811">
        <f t="shared" si="15"/>
        <v>111</v>
      </c>
      <c r="AA32" s="1808">
        <f t="shared" si="3"/>
        <v>1</v>
      </c>
      <c r="AB32" s="1808">
        <f t="shared" si="4"/>
        <v>1</v>
      </c>
      <c r="AC32" s="2668">
        <f t="shared" si="5"/>
        <v>1</v>
      </c>
    </row>
    <row r="33" spans="1:29" ht="15">
      <c r="A33" s="439" t="s">
        <v>2557</v>
      </c>
      <c r="B33" s="70" t="s">
        <v>2687</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9"/>
      <c r="M33" s="1130"/>
      <c r="N33" s="1130"/>
      <c r="O33" s="1130"/>
      <c r="P33" s="3210" t="s">
        <v>2559</v>
      </c>
      <c r="Q33" s="1807" t="str">
        <f t="shared" si="11"/>
        <v>建筑类型</v>
      </c>
      <c r="R33" s="770" t="s">
        <v>17</v>
      </c>
      <c r="S33" s="771">
        <f t="shared" si="12"/>
        <v>100</v>
      </c>
      <c r="T33" s="770" t="s">
        <v>17</v>
      </c>
      <c r="U33" s="771">
        <f t="shared" si="13"/>
        <v>100</v>
      </c>
      <c r="V33" s="770" t="s">
        <v>17</v>
      </c>
      <c r="W33" s="771">
        <f t="shared" si="14"/>
        <v>100</v>
      </c>
      <c r="X33" s="1810"/>
      <c r="Y33" s="3213" t="s">
        <v>2559</v>
      </c>
      <c r="Z33" s="1811" t="str">
        <f t="shared" si="15"/>
        <v>建筑类型</v>
      </c>
      <c r="AA33" s="1808">
        <f t="shared" si="3"/>
        <v>1</v>
      </c>
      <c r="AB33" s="1808">
        <f t="shared" si="4"/>
        <v>1</v>
      </c>
      <c r="AC33" s="2668">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1"/>
      <c r="Q34" s="772" t="str">
        <f t="shared" si="11"/>
        <v>项目建筑规模</v>
      </c>
      <c r="R34" s="773" t="s">
        <v>17</v>
      </c>
      <c r="S34" s="774" t="e">
        <f t="shared" si="12"/>
        <v>#N/A</v>
      </c>
      <c r="T34" s="773" t="s">
        <v>17</v>
      </c>
      <c r="U34" s="774" t="e">
        <f t="shared" si="13"/>
        <v>#N/A</v>
      </c>
      <c r="V34" s="773" t="s">
        <v>17</v>
      </c>
      <c r="W34" s="774" t="e">
        <f t="shared" si="14"/>
        <v>#N/A</v>
      </c>
      <c r="X34" s="775"/>
      <c r="Y34" s="3213"/>
      <c r="Z34" s="776" t="str">
        <f t="shared" si="15"/>
        <v>项目建筑规模</v>
      </c>
      <c r="AA34" s="1808" t="e">
        <f t="shared" si="3"/>
        <v>#N/A</v>
      </c>
      <c r="AB34" s="1808" t="e">
        <f t="shared" si="4"/>
        <v>#N/A</v>
      </c>
      <c r="AC34" s="2668"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1"/>
      <c r="Q35" s="1807" t="str">
        <f t="shared" si="11"/>
        <v>建筑结构</v>
      </c>
      <c r="R35" s="770" t="s">
        <v>17</v>
      </c>
      <c r="S35" s="771">
        <f t="shared" si="12"/>
        <v>100</v>
      </c>
      <c r="T35" s="770" t="s">
        <v>17</v>
      </c>
      <c r="U35" s="771">
        <f t="shared" si="13"/>
        <v>100</v>
      </c>
      <c r="V35" s="770" t="s">
        <v>17</v>
      </c>
      <c r="W35" s="771">
        <f t="shared" si="14"/>
        <v>100</v>
      </c>
      <c r="X35" s="1810"/>
      <c r="Y35" s="3213"/>
      <c r="Z35" s="1811" t="str">
        <f t="shared" si="15"/>
        <v>建筑结构</v>
      </c>
      <c r="AA35" s="1808">
        <f t="shared" si="3"/>
        <v>1</v>
      </c>
      <c r="AB35" s="1808">
        <f t="shared" si="4"/>
        <v>1</v>
      </c>
      <c r="AC35" s="2668">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1"/>
      <c r="Q36" s="1807" t="str">
        <f t="shared" si="11"/>
        <v>公共部分装修</v>
      </c>
      <c r="R36" s="770" t="s">
        <v>17</v>
      </c>
      <c r="S36" s="771">
        <f t="shared" si="12"/>
        <v>100</v>
      </c>
      <c r="T36" s="770" t="s">
        <v>17</v>
      </c>
      <c r="U36" s="771">
        <f t="shared" si="13"/>
        <v>100</v>
      </c>
      <c r="V36" s="770" t="s">
        <v>17</v>
      </c>
      <c r="W36" s="771">
        <f t="shared" si="14"/>
        <v>100</v>
      </c>
      <c r="X36" s="1810"/>
      <c r="Y36" s="3213"/>
      <c r="Z36" s="1811" t="str">
        <f t="shared" si="15"/>
        <v>公共部分装修</v>
      </c>
      <c r="AA36" s="1808">
        <f t="shared" si="3"/>
        <v>1</v>
      </c>
      <c r="AB36" s="1808">
        <f t="shared" si="4"/>
        <v>1</v>
      </c>
      <c r="AC36" s="2668">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1"/>
      <c r="Q37" s="1807" t="str">
        <f t="shared" si="11"/>
        <v>成新度</v>
      </c>
      <c r="R37" s="770" t="s">
        <v>17</v>
      </c>
      <c r="S37" s="771" t="e">
        <f t="shared" si="12"/>
        <v>#N/A</v>
      </c>
      <c r="T37" s="770" t="s">
        <v>17</v>
      </c>
      <c r="U37" s="771" t="e">
        <f t="shared" si="13"/>
        <v>#N/A</v>
      </c>
      <c r="V37" s="770" t="s">
        <v>17</v>
      </c>
      <c r="W37" s="771" t="e">
        <f t="shared" si="14"/>
        <v>#N/A</v>
      </c>
      <c r="X37" s="1810"/>
      <c r="Y37" s="3213"/>
      <c r="Z37" s="1811" t="str">
        <f t="shared" si="15"/>
        <v>成新度</v>
      </c>
      <c r="AA37" s="1808" t="e">
        <f t="shared" si="3"/>
        <v>#N/A</v>
      </c>
      <c r="AB37" s="1808" t="e">
        <f t="shared" si="4"/>
        <v>#N/A</v>
      </c>
      <c r="AC37" s="2668"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1"/>
      <c r="Q38" s="1792" t="str">
        <f t="shared" si="11"/>
        <v>写字楼等级</v>
      </c>
      <c r="R38" s="766" t="s">
        <v>17</v>
      </c>
      <c r="S38" s="767">
        <f t="shared" si="12"/>
        <v>100</v>
      </c>
      <c r="T38" s="766" t="s">
        <v>17</v>
      </c>
      <c r="U38" s="767">
        <f t="shared" si="13"/>
        <v>100</v>
      </c>
      <c r="V38" s="766" t="s">
        <v>17</v>
      </c>
      <c r="W38" s="767">
        <f t="shared" si="14"/>
        <v>100</v>
      </c>
      <c r="X38" s="768"/>
      <c r="Y38" s="3213"/>
      <c r="Z38" s="54" t="str">
        <f t="shared" si="15"/>
        <v>写字楼等级</v>
      </c>
      <c r="AA38" s="769">
        <f t="shared" si="3"/>
        <v>1</v>
      </c>
      <c r="AB38" s="769">
        <f t="shared" si="4"/>
        <v>1</v>
      </c>
      <c r="AC38" s="2665">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1" t="s">
        <v>2559</v>
      </c>
      <c r="Q39" s="1807" t="str">
        <f t="shared" si="11"/>
        <v>物业管理</v>
      </c>
      <c r="R39" s="770" t="s">
        <v>17</v>
      </c>
      <c r="S39" s="771">
        <f t="shared" si="12"/>
        <v>100</v>
      </c>
      <c r="T39" s="770" t="s">
        <v>17</v>
      </c>
      <c r="U39" s="771">
        <f t="shared" si="13"/>
        <v>100</v>
      </c>
      <c r="V39" s="770" t="s">
        <v>17</v>
      </c>
      <c r="W39" s="771">
        <f t="shared" si="14"/>
        <v>100</v>
      </c>
      <c r="X39" s="1810"/>
      <c r="Y39" s="3213" t="s">
        <v>2559</v>
      </c>
      <c r="Z39" s="1811" t="str">
        <f t="shared" si="15"/>
        <v>物业管理</v>
      </c>
      <c r="AA39" s="1808">
        <f t="shared" si="3"/>
        <v>1</v>
      </c>
      <c r="AB39" s="1808">
        <f t="shared" si="4"/>
        <v>1</v>
      </c>
      <c r="AC39" s="2668">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1"/>
      <c r="Q40" s="1807" t="str">
        <f t="shared" si="11"/>
        <v>市政基础设施</v>
      </c>
      <c r="R40" s="770" t="s">
        <v>17</v>
      </c>
      <c r="S40" s="771">
        <f t="shared" si="12"/>
        <v>100</v>
      </c>
      <c r="T40" s="770" t="s">
        <v>17</v>
      </c>
      <c r="U40" s="771">
        <f t="shared" si="13"/>
        <v>100</v>
      </c>
      <c r="V40" s="770" t="s">
        <v>17</v>
      </c>
      <c r="W40" s="771">
        <f t="shared" si="14"/>
        <v>100</v>
      </c>
      <c r="X40" s="1810"/>
      <c r="Y40" s="3213"/>
      <c r="Z40" s="1811" t="str">
        <f t="shared" si="15"/>
        <v>市政基础设施</v>
      </c>
      <c r="AA40" s="1808">
        <f t="shared" si="3"/>
        <v>1</v>
      </c>
      <c r="AB40" s="1808">
        <f t="shared" si="4"/>
        <v>1</v>
      </c>
      <c r="AC40" s="2668">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1"/>
      <c r="Q41" s="1807" t="str">
        <f t="shared" si="11"/>
        <v>层高</v>
      </c>
      <c r="R41" s="770" t="s">
        <v>17</v>
      </c>
      <c r="S41" s="771">
        <f t="shared" si="12"/>
        <v>100</v>
      </c>
      <c r="T41" s="770" t="s">
        <v>17</v>
      </c>
      <c r="U41" s="771">
        <f t="shared" si="13"/>
        <v>100</v>
      </c>
      <c r="V41" s="770" t="s">
        <v>17</v>
      </c>
      <c r="W41" s="771">
        <f t="shared" si="14"/>
        <v>100</v>
      </c>
      <c r="X41" s="1810"/>
      <c r="Y41" s="3213"/>
      <c r="Z41" s="1811" t="str">
        <f t="shared" si="15"/>
        <v>层高</v>
      </c>
      <c r="AA41" s="1808">
        <f t="shared" si="3"/>
        <v>1</v>
      </c>
      <c r="AB41" s="1808">
        <f t="shared" si="4"/>
        <v>1</v>
      </c>
      <c r="AC41" s="2668">
        <f t="shared" si="5"/>
        <v>1</v>
      </c>
    </row>
    <row r="42" spans="1:29" s="470" customFormat="1" ht="15">
      <c r="A42" s="467"/>
      <c r="B42" s="1809"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1"/>
      <c r="Q42" s="772" t="str">
        <f t="shared" si="11"/>
        <v>单套建筑面积</v>
      </c>
      <c r="R42" s="773" t="s">
        <v>17</v>
      </c>
      <c r="S42" s="774">
        <f t="shared" si="12"/>
        <v>100</v>
      </c>
      <c r="T42" s="773" t="s">
        <v>17</v>
      </c>
      <c r="U42" s="774">
        <f t="shared" si="13"/>
        <v>100</v>
      </c>
      <c r="V42" s="773" t="s">
        <v>17</v>
      </c>
      <c r="W42" s="774">
        <f t="shared" si="14"/>
        <v>100</v>
      </c>
      <c r="X42" s="775"/>
      <c r="Y42" s="3213"/>
      <c r="Z42" s="776" t="str">
        <f t="shared" si="15"/>
        <v>单套建筑面积</v>
      </c>
      <c r="AA42" s="1808">
        <f t="shared" si="3"/>
        <v>1</v>
      </c>
      <c r="AB42" s="1808">
        <f t="shared" si="4"/>
        <v>1</v>
      </c>
      <c r="AC42" s="2668">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1"/>
      <c r="Q43" s="1807" t="str">
        <f t="shared" si="11"/>
        <v>内部装修</v>
      </c>
      <c r="R43" s="770" t="s">
        <v>17</v>
      </c>
      <c r="S43" s="771">
        <f t="shared" si="12"/>
        <v>100</v>
      </c>
      <c r="T43" s="770" t="s">
        <v>17</v>
      </c>
      <c r="U43" s="771">
        <f t="shared" si="13"/>
        <v>100</v>
      </c>
      <c r="V43" s="770" t="s">
        <v>17</v>
      </c>
      <c r="W43" s="771">
        <f t="shared" si="14"/>
        <v>100</v>
      </c>
      <c r="X43" s="1810"/>
      <c r="Y43" s="3213"/>
      <c r="Z43" s="1811" t="str">
        <f t="shared" si="15"/>
        <v>内部装修</v>
      </c>
      <c r="AA43" s="1808">
        <f t="shared" si="3"/>
        <v>1</v>
      </c>
      <c r="AB43" s="1808">
        <f t="shared" si="4"/>
        <v>1</v>
      </c>
      <c r="AC43" s="2668">
        <f t="shared" si="5"/>
        <v>1</v>
      </c>
    </row>
    <row r="44" spans="1:29" ht="15">
      <c r="A44" s="471"/>
      <c r="B44" s="421" t="s">
        <v>2570</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9"/>
      <c r="M44" s="1130"/>
      <c r="N44" s="1130"/>
      <c r="O44" s="1130"/>
      <c r="P44" s="3211"/>
      <c r="Q44" s="1807" t="str">
        <f t="shared" si="11"/>
        <v>内部装修维护情况</v>
      </c>
      <c r="R44" s="770" t="s">
        <v>17</v>
      </c>
      <c r="S44" s="771">
        <f t="shared" si="12"/>
        <v>100</v>
      </c>
      <c r="T44" s="770" t="s">
        <v>17</v>
      </c>
      <c r="U44" s="771">
        <f t="shared" si="13"/>
        <v>100</v>
      </c>
      <c r="V44" s="770" t="s">
        <v>17</v>
      </c>
      <c r="W44" s="771">
        <f t="shared" si="14"/>
        <v>100</v>
      </c>
      <c r="X44" s="1810"/>
      <c r="Y44" s="3213"/>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1"/>
      <c r="Q45" s="1792">
        <f t="shared" si="11"/>
        <v>111</v>
      </c>
      <c r="R45" s="766" t="s">
        <v>17</v>
      </c>
      <c r="S45" s="767">
        <f t="shared" si="12"/>
        <v>100</v>
      </c>
      <c r="T45" s="766" t="s">
        <v>17</v>
      </c>
      <c r="U45" s="767">
        <f t="shared" si="13"/>
        <v>100</v>
      </c>
      <c r="V45" s="766" t="s">
        <v>17</v>
      </c>
      <c r="W45" s="767">
        <f t="shared" si="14"/>
        <v>100</v>
      </c>
      <c r="X45" s="768"/>
      <c r="Y45" s="3213"/>
      <c r="Z45" s="54">
        <f t="shared" si="15"/>
        <v>111</v>
      </c>
      <c r="AA45" s="769">
        <f t="shared" si="3"/>
        <v>1</v>
      </c>
      <c r="AB45" s="769">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1"/>
      <c r="Q46" s="1807">
        <f t="shared" si="11"/>
        <v>111</v>
      </c>
      <c r="R46" s="770" t="s">
        <v>17</v>
      </c>
      <c r="S46" s="771">
        <f t="shared" si="12"/>
        <v>100</v>
      </c>
      <c r="T46" s="770" t="s">
        <v>17</v>
      </c>
      <c r="U46" s="771">
        <f t="shared" si="13"/>
        <v>100</v>
      </c>
      <c r="V46" s="770" t="s">
        <v>17</v>
      </c>
      <c r="W46" s="771">
        <f t="shared" si="14"/>
        <v>100</v>
      </c>
      <c r="X46" s="1810"/>
      <c r="Y46" s="3213"/>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2"/>
      <c r="Q47" s="1807">
        <f t="shared" si="11"/>
        <v>111</v>
      </c>
      <c r="R47" s="770" t="s">
        <v>17</v>
      </c>
      <c r="S47" s="771">
        <f t="shared" si="12"/>
        <v>100</v>
      </c>
      <c r="T47" s="770" t="s">
        <v>17</v>
      </c>
      <c r="U47" s="771">
        <f t="shared" si="13"/>
        <v>100</v>
      </c>
      <c r="V47" s="770" t="s">
        <v>17</v>
      </c>
      <c r="W47" s="771">
        <f t="shared" si="14"/>
        <v>100</v>
      </c>
      <c r="X47" s="1810"/>
      <c r="Y47" s="3214"/>
      <c r="Z47" s="1811">
        <f t="shared" si="15"/>
        <v>111</v>
      </c>
      <c r="AA47" s="1808">
        <f t="shared" si="3"/>
        <v>1</v>
      </c>
      <c r="AB47" s="1808">
        <f t="shared" si="4"/>
        <v>1</v>
      </c>
      <c r="AC47" s="2668">
        <f t="shared" si="5"/>
        <v>1</v>
      </c>
    </row>
    <row r="48" spans="1:29" ht="15">
      <c r="A48" s="478" t="s">
        <v>2571</v>
      </c>
      <c r="B48" s="479"/>
      <c r="C48" s="1404" t="s">
        <v>1</v>
      </c>
      <c r="D48" s="1405"/>
      <c r="E48" s="1406"/>
      <c r="F48" s="1407"/>
      <c r="G48" s="1408"/>
      <c r="H48" s="1409"/>
      <c r="I48" s="1406"/>
      <c r="J48" s="484"/>
      <c r="K48" s="779"/>
      <c r="L48" s="1142"/>
      <c r="M48" s="1130"/>
      <c r="N48" s="1130"/>
      <c r="O48" s="1130"/>
      <c r="P48" s="3217" t="str">
        <f>A48</f>
        <v>成交单价（元/平方米）</v>
      </c>
      <c r="Q48" s="3206"/>
      <c r="R48" s="3207">
        <f>E48</f>
        <v>0</v>
      </c>
      <c r="S48" s="3207"/>
      <c r="T48" s="3207">
        <f>G48</f>
        <v>0</v>
      </c>
      <c r="U48" s="3207"/>
      <c r="V48" s="3207">
        <f>I48</f>
        <v>0</v>
      </c>
      <c r="W48" s="3207"/>
      <c r="X48" s="445"/>
      <c r="Y48" s="777"/>
      <c r="Z48" s="445"/>
      <c r="AA48" s="445"/>
      <c r="AB48" s="445"/>
      <c r="AC48" s="629"/>
    </row>
    <row r="49" spans="1:29" ht="15.75" thickBot="1">
      <c r="A49" s="485" t="s">
        <v>2663</v>
      </c>
      <c r="B49" s="486"/>
      <c r="C49" s="1410" t="e">
        <f>R50</f>
        <v>#DIV/0!</v>
      </c>
      <c r="D49" s="1411"/>
      <c r="E49" s="1412" t="e">
        <f>R49</f>
        <v>#DIV/0!</v>
      </c>
      <c r="F49" s="1412"/>
      <c r="G49" s="1410" t="e">
        <f>T49</f>
        <v>#DIV/0!</v>
      </c>
      <c r="H49" s="1411"/>
      <c r="I49" s="1412" t="e">
        <f>V49</f>
        <v>#DIV/0!</v>
      </c>
      <c r="J49" s="488"/>
      <c r="K49" s="780"/>
      <c r="L49" s="1142"/>
      <c r="M49" s="1130"/>
      <c r="N49" s="1130"/>
      <c r="O49" s="1130"/>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5"/>
      <c r="Y49" s="445"/>
      <c r="Z49" s="445"/>
      <c r="AA49" s="445"/>
      <c r="AB49" s="445"/>
      <c r="AC49" s="629"/>
    </row>
    <row r="50" spans="1:29" ht="15.75" thickBot="1">
      <c r="A50" s="491" t="s">
        <v>2664</v>
      </c>
      <c r="B50" s="492"/>
      <c r="C50" s="1414" t="e">
        <f>R50</f>
        <v>#DIV/0!</v>
      </c>
      <c r="D50" s="1414"/>
      <c r="E50" s="1414"/>
      <c r="F50" s="1414"/>
      <c r="G50" s="1414"/>
      <c r="H50" s="1414"/>
      <c r="I50" s="1414"/>
      <c r="J50" s="493"/>
      <c r="K50" s="781"/>
      <c r="L50" s="1142"/>
      <c r="M50" s="1130"/>
      <c r="N50" s="1130"/>
      <c r="O50" s="1130"/>
      <c r="P50" s="3251" t="str">
        <f>A50</f>
        <v>估价对象XX用房的比较价值（楼面单价，元/平方米）</v>
      </c>
      <c r="Q50" s="3252"/>
      <c r="R50" s="3253" t="e">
        <f>IF(F1="售价",ROUND(AVERAGE(R49:V49),0),ROUND(AVERAGE(R49:V49),1))</f>
        <v>#DIV/0!</v>
      </c>
      <c r="S50" s="3253"/>
      <c r="T50" s="3253"/>
      <c r="U50" s="3253"/>
      <c r="V50" s="3253"/>
      <c r="W50" s="3253"/>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4"/>
    </row>
    <row r="56" spans="1:29" s="501"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59" t="s">
        <v>2668</v>
      </c>
      <c r="B58" s="755"/>
      <c r="C58" s="760"/>
      <c r="D58" s="760"/>
      <c r="E58" s="760"/>
      <c r="F58" s="761"/>
      <c r="G58" s="761"/>
      <c r="H58" s="760"/>
      <c r="I58" s="760"/>
      <c r="J58" s="760"/>
      <c r="K58" s="762"/>
      <c r="L58" s="1160"/>
      <c r="M58" s="1158"/>
      <c r="N58" s="1158"/>
      <c r="O58" s="1158"/>
      <c r="P58" s="2675"/>
      <c r="Q58" s="503"/>
    </row>
    <row r="59" spans="1:29" s="507" customFormat="1" ht="15">
      <c r="A59" s="504" t="s">
        <v>2542</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2579</v>
      </c>
      <c r="B61" s="515"/>
      <c r="C61" s="516"/>
      <c r="D61" s="517"/>
      <c r="E61" s="517"/>
      <c r="F61" s="517"/>
      <c r="G61" s="517"/>
      <c r="H61" s="517"/>
      <c r="I61" s="517"/>
      <c r="J61" s="517"/>
      <c r="K61" s="517"/>
      <c r="L61" s="517"/>
      <c r="M61" s="518"/>
      <c r="N61" s="517"/>
      <c r="O61" s="518"/>
      <c r="P61" s="2676"/>
      <c r="Q61" s="503"/>
    </row>
    <row r="62" spans="1:29" s="116" customFormat="1" ht="15">
      <c r="A62" s="520" t="s">
        <v>2544</v>
      </c>
      <c r="B62" s="509"/>
      <c r="C62" s="521" t="s">
        <v>2646</v>
      </c>
      <c r="D62" s="522"/>
      <c r="E62" s="522"/>
      <c r="F62" s="522"/>
      <c r="G62" s="522"/>
      <c r="H62" s="522"/>
      <c r="I62" s="522"/>
      <c r="J62" s="522"/>
      <c r="K62" s="522"/>
      <c r="L62" s="523"/>
      <c r="M62" s="524"/>
      <c r="N62" s="1150"/>
      <c r="O62" s="1150"/>
      <c r="P62" s="2677"/>
      <c r="Q62" s="503"/>
    </row>
    <row r="63" spans="1:29" s="116" customFormat="1" ht="15.75" thickBot="1">
      <c r="A63" s="520"/>
      <c r="B63" s="509"/>
      <c r="C63" s="510">
        <v>100</v>
      </c>
      <c r="D63" s="511"/>
      <c r="E63" s="511"/>
      <c r="F63" s="511"/>
      <c r="G63" s="511"/>
      <c r="H63" s="511"/>
      <c r="I63" s="511"/>
      <c r="J63" s="511"/>
      <c r="K63" s="511"/>
      <c r="L63" s="511"/>
      <c r="M63" s="513"/>
      <c r="N63" s="1150"/>
      <c r="O63" s="1150"/>
      <c r="P63" s="2676"/>
      <c r="Q63" s="503"/>
    </row>
    <row r="64" spans="1:29">
      <c r="A64" s="526" t="s">
        <v>2582</v>
      </c>
      <c r="B64" s="527" t="s">
        <v>2548</v>
      </c>
      <c r="C64" s="528">
        <f>C9</f>
        <v>0</v>
      </c>
      <c r="D64" s="529"/>
      <c r="E64" s="529"/>
      <c r="F64" s="529"/>
      <c r="G64" s="529"/>
      <c r="H64" s="529"/>
      <c r="I64" s="529"/>
      <c r="J64" s="529"/>
      <c r="K64" s="530"/>
      <c r="L64" s="531"/>
      <c r="M64" s="532"/>
      <c r="N64" s="1151"/>
      <c r="O64" s="1151"/>
      <c r="P64" s="2678"/>
      <c r="Q64" s="503"/>
    </row>
    <row r="65" spans="1:17" ht="15.75" thickBot="1">
      <c r="A65" s="533"/>
      <c r="B65" s="534"/>
      <c r="C65" s="535">
        <v>100</v>
      </c>
      <c r="D65" s="535"/>
      <c r="E65" s="535"/>
      <c r="F65" s="535"/>
      <c r="G65" s="535"/>
      <c r="H65" s="535"/>
      <c r="I65" s="535"/>
      <c r="J65" s="535"/>
      <c r="K65" s="535"/>
      <c r="L65" s="535"/>
      <c r="M65" s="536"/>
      <c r="N65" s="1152"/>
      <c r="O65" s="1152"/>
      <c r="P65" s="2678"/>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8"/>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8"/>
      <c r="Q68" s="503"/>
    </row>
    <row r="69" spans="1:17" ht="15">
      <c r="A69" s="533"/>
      <c r="B69" s="547"/>
      <c r="C69" s="548"/>
      <c r="D69" s="548"/>
      <c r="E69" s="548"/>
      <c r="F69" s="548"/>
      <c r="G69" s="548"/>
      <c r="H69" s="548"/>
      <c r="I69" s="548"/>
      <c r="J69" s="548"/>
      <c r="K69" s="549"/>
      <c r="L69" s="550"/>
      <c r="M69" s="551"/>
      <c r="N69" s="1151"/>
      <c r="O69" s="1151"/>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8"/>
      <c r="Q70" s="503"/>
    </row>
    <row r="71" spans="1:17" s="470" customFormat="1" ht="15.75" thickTop="1">
      <c r="A71" s="552"/>
      <c r="B71" s="537">
        <f>B12</f>
        <v>111</v>
      </c>
      <c r="C71" s="553"/>
      <c r="D71" s="553"/>
      <c r="E71" s="553"/>
      <c r="F71" s="553"/>
      <c r="G71" s="553"/>
      <c r="H71" s="554"/>
      <c r="I71" s="554"/>
      <c r="J71" s="554"/>
      <c r="K71" s="554"/>
      <c r="L71" s="555"/>
      <c r="M71" s="556"/>
      <c r="N71" s="1153"/>
      <c r="O71" s="1153"/>
      <c r="P71" s="2679"/>
      <c r="Q71" s="558"/>
    </row>
    <row r="72" spans="1:17" s="470" customFormat="1" ht="15.75" thickBot="1">
      <c r="A72" s="552"/>
      <c r="B72" s="542"/>
      <c r="C72" s="559"/>
      <c r="D72" s="535"/>
      <c r="E72" s="535"/>
      <c r="F72" s="535"/>
      <c r="G72" s="535"/>
      <c r="H72" s="535"/>
      <c r="I72" s="535"/>
      <c r="J72" s="535"/>
      <c r="K72" s="535"/>
      <c r="L72" s="535"/>
      <c r="M72" s="536"/>
      <c r="N72" s="1152"/>
      <c r="O72" s="1152"/>
      <c r="P72" s="2679"/>
      <c r="Q72" s="558"/>
    </row>
    <row r="73" spans="1:17" s="470" customFormat="1" ht="15.75" thickTop="1">
      <c r="A73" s="552"/>
      <c r="B73" s="537">
        <f>B13</f>
        <v>111</v>
      </c>
      <c r="C73" s="553"/>
      <c r="D73" s="553"/>
      <c r="E73" s="553"/>
      <c r="F73" s="553"/>
      <c r="G73" s="553"/>
      <c r="H73" s="554"/>
      <c r="I73" s="554"/>
      <c r="J73" s="554"/>
      <c r="K73" s="554"/>
      <c r="L73" s="555"/>
      <c r="M73" s="556"/>
      <c r="N73" s="1153"/>
      <c r="O73" s="1153"/>
      <c r="P73" s="2680"/>
      <c r="Q73" s="560"/>
    </row>
    <row r="74" spans="1:17" s="470" customFormat="1" ht="15.75" thickBot="1">
      <c r="A74" s="552"/>
      <c r="B74" s="542"/>
      <c r="C74" s="559"/>
      <c r="D74" s="559"/>
      <c r="E74" s="559"/>
      <c r="F74" s="559"/>
      <c r="G74" s="559"/>
      <c r="H74" s="561"/>
      <c r="I74" s="561"/>
      <c r="J74" s="561"/>
      <c r="K74" s="561"/>
      <c r="L74" s="561"/>
      <c r="M74" s="562"/>
      <c r="N74" s="1153"/>
      <c r="O74" s="1153"/>
      <c r="P74" s="2679"/>
      <c r="Q74" s="558"/>
    </row>
    <row r="75" spans="1:17" s="470" customFormat="1" ht="15.75" thickTop="1">
      <c r="A75" s="552"/>
      <c r="B75" s="545">
        <f>B14</f>
        <v>111</v>
      </c>
      <c r="C75" s="522"/>
      <c r="D75" s="522"/>
      <c r="E75" s="522"/>
      <c r="F75" s="522"/>
      <c r="G75" s="522"/>
      <c r="H75" s="563"/>
      <c r="I75" s="563"/>
      <c r="J75" s="563"/>
      <c r="K75" s="563"/>
      <c r="L75" s="564"/>
      <c r="M75" s="565"/>
      <c r="N75" s="1153"/>
      <c r="O75" s="1153"/>
      <c r="P75" s="2681"/>
      <c r="Q75" s="558"/>
    </row>
    <row r="76" spans="1:17" s="470" customFormat="1" ht="15.75" thickBot="1">
      <c r="A76" s="567"/>
      <c r="B76" s="568"/>
      <c r="C76" s="569"/>
      <c r="D76" s="569"/>
      <c r="E76" s="569"/>
      <c r="F76" s="569"/>
      <c r="G76" s="569"/>
      <c r="H76" s="570"/>
      <c r="I76" s="570"/>
      <c r="J76" s="570"/>
      <c r="K76" s="570"/>
      <c r="L76" s="570"/>
      <c r="M76" s="571"/>
      <c r="N76" s="1153"/>
      <c r="O76" s="1153"/>
      <c r="P76" s="2679"/>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8"/>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8"/>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8"/>
      <c r="Q82" s="503"/>
    </row>
    <row r="83" spans="1:17" ht="15.75" thickTop="1">
      <c r="A83" s="533"/>
      <c r="B83" s="545" t="s">
        <v>2683</v>
      </c>
      <c r="C83" s="659" t="s">
        <v>2669</v>
      </c>
      <c r="D83" s="659" t="s">
        <v>2670</v>
      </c>
      <c r="E83" s="659" t="s">
        <v>2671</v>
      </c>
      <c r="F83" s="659" t="s">
        <v>2672</v>
      </c>
      <c r="G83" s="659" t="s">
        <v>2673</v>
      </c>
      <c r="H83" s="538"/>
      <c r="I83" s="538"/>
      <c r="J83" s="538"/>
      <c r="K83" s="538"/>
      <c r="L83" s="538"/>
      <c r="M83" s="1379"/>
      <c r="N83" s="1152"/>
      <c r="O83" s="1152"/>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8"/>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8"/>
      <c r="Q86" s="503"/>
    </row>
    <row r="87" spans="1:17" s="116" customFormat="1" ht="27.75" thickTop="1">
      <c r="A87" s="578"/>
      <c r="B87" s="537" t="s">
        <v>2693</v>
      </c>
      <c r="C87" s="553"/>
      <c r="D87" s="553"/>
      <c r="E87" s="553"/>
      <c r="F87" s="553"/>
      <c r="G87" s="553"/>
      <c r="H87" s="553"/>
      <c r="I87" s="553"/>
      <c r="J87" s="553"/>
      <c r="K87" s="553"/>
      <c r="L87" s="579"/>
      <c r="M87" s="580"/>
      <c r="N87" s="1150"/>
      <c r="O87" s="1150"/>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8"/>
      <c r="Q88" s="503"/>
    </row>
    <row r="89" spans="1:17" s="116" customFormat="1" ht="15.75" thickTop="1">
      <c r="A89" s="578"/>
      <c r="B89" s="537" t="str">
        <f>B27</f>
        <v>楼层</v>
      </c>
      <c r="C89" s="553"/>
      <c r="D89" s="553"/>
      <c r="E89" s="553"/>
      <c r="F89" s="2629"/>
      <c r="G89" s="553"/>
      <c r="H89" s="553"/>
      <c r="I89" s="553"/>
      <c r="J89" s="553"/>
      <c r="K89" s="553"/>
      <c r="L89" s="553"/>
      <c r="M89" s="580"/>
      <c r="N89" s="1150"/>
      <c r="O89" s="1150"/>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8"/>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9"/>
      <c r="Q92" s="558"/>
    </row>
    <row r="93" spans="1:17" ht="15.75" thickTop="1">
      <c r="A93" s="533"/>
      <c r="B93" s="537">
        <f>B29</f>
        <v>111</v>
      </c>
      <c r="C93" s="553"/>
      <c r="D93" s="553"/>
      <c r="E93" s="553"/>
      <c r="F93" s="553"/>
      <c r="G93" s="553"/>
      <c r="H93" s="553"/>
      <c r="I93" s="553"/>
      <c r="J93" s="553"/>
      <c r="K93" s="553"/>
      <c r="L93" s="579"/>
      <c r="M93" s="580"/>
      <c r="N93" s="1151"/>
      <c r="O93" s="1151"/>
      <c r="P93" s="2678"/>
      <c r="Q93" s="503"/>
    </row>
    <row r="94" spans="1:17" ht="15.75" thickBot="1">
      <c r="A94" s="533"/>
      <c r="B94" s="542"/>
      <c r="C94" s="559"/>
      <c r="D94" s="535"/>
      <c r="E94" s="535"/>
      <c r="F94" s="535"/>
      <c r="G94" s="535"/>
      <c r="H94" s="535"/>
      <c r="I94" s="535"/>
      <c r="J94" s="535"/>
      <c r="K94" s="535"/>
      <c r="L94" s="535"/>
      <c r="M94" s="536"/>
      <c r="N94" s="1152"/>
      <c r="O94" s="1152"/>
      <c r="P94" s="2678"/>
      <c r="Q94" s="503"/>
    </row>
    <row r="95" spans="1:17" ht="15.75" thickTop="1">
      <c r="A95" s="533"/>
      <c r="B95" s="537">
        <f>B30</f>
        <v>111</v>
      </c>
      <c r="C95" s="553"/>
      <c r="D95" s="553"/>
      <c r="E95" s="553"/>
      <c r="F95" s="553"/>
      <c r="G95" s="582"/>
      <c r="H95" s="582"/>
      <c r="I95" s="582"/>
      <c r="J95" s="582"/>
      <c r="K95" s="583"/>
      <c r="L95" s="584"/>
      <c r="M95" s="585"/>
      <c r="N95" s="1151"/>
      <c r="O95" s="1151"/>
      <c r="P95" s="2678"/>
      <c r="Q95" s="503"/>
    </row>
    <row r="96" spans="1:17" ht="15.75" thickBot="1">
      <c r="A96" s="533"/>
      <c r="B96" s="542"/>
      <c r="C96" s="559"/>
      <c r="D96" s="559"/>
      <c r="E96" s="559"/>
      <c r="F96" s="559"/>
      <c r="G96" s="535"/>
      <c r="H96" s="535"/>
      <c r="I96" s="535"/>
      <c r="J96" s="535"/>
      <c r="K96" s="535"/>
      <c r="L96" s="535"/>
      <c r="M96" s="536"/>
      <c r="N96" s="1152"/>
      <c r="O96" s="1152"/>
      <c r="P96" s="2678"/>
      <c r="Q96" s="503"/>
    </row>
    <row r="97" spans="1:17" ht="15.75" thickTop="1">
      <c r="A97" s="533"/>
      <c r="B97" s="537">
        <f>B31</f>
        <v>111</v>
      </c>
      <c r="C97" s="553"/>
      <c r="D97" s="553"/>
      <c r="E97" s="553"/>
      <c r="F97" s="553"/>
      <c r="G97" s="582"/>
      <c r="H97" s="582"/>
      <c r="I97" s="582"/>
      <c r="J97" s="582"/>
      <c r="K97" s="583"/>
      <c r="L97" s="584"/>
      <c r="M97" s="585"/>
      <c r="N97" s="1151"/>
      <c r="O97" s="1151"/>
      <c r="P97" s="2678"/>
      <c r="Q97" s="503"/>
    </row>
    <row r="98" spans="1:17" ht="15.75" thickBot="1">
      <c r="A98" s="533"/>
      <c r="B98" s="542"/>
      <c r="C98" s="559"/>
      <c r="D98" s="535"/>
      <c r="E98" s="535"/>
      <c r="F98" s="535"/>
      <c r="G98" s="535"/>
      <c r="H98" s="535"/>
      <c r="I98" s="535"/>
      <c r="J98" s="535"/>
      <c r="K98" s="535"/>
      <c r="L98" s="535"/>
      <c r="M98" s="536"/>
      <c r="N98" s="1152"/>
      <c r="O98" s="1152"/>
      <c r="P98" s="2678"/>
      <c r="Q98" s="503"/>
    </row>
    <row r="99" spans="1:17" ht="15.75" thickTop="1">
      <c r="A99" s="533"/>
      <c r="B99" s="545">
        <f>B32</f>
        <v>111</v>
      </c>
      <c r="C99" s="522"/>
      <c r="D99" s="522"/>
      <c r="E99" s="522"/>
      <c r="F99" s="522"/>
      <c r="G99" s="586"/>
      <c r="H99" s="586"/>
      <c r="I99" s="586"/>
      <c r="J99" s="586"/>
      <c r="K99" s="587"/>
      <c r="L99" s="588"/>
      <c r="M99" s="589"/>
      <c r="N99" s="1151"/>
      <c r="O99" s="1151"/>
      <c r="P99" s="2678"/>
      <c r="Q99" s="503"/>
    </row>
    <row r="100" spans="1:17" ht="15.75" thickBot="1">
      <c r="A100" s="2630"/>
      <c r="B100" s="568"/>
      <c r="C100" s="569"/>
      <c r="D100" s="569"/>
      <c r="E100" s="569"/>
      <c r="F100" s="569"/>
      <c r="G100" s="590"/>
      <c r="H100" s="590"/>
      <c r="I100" s="590"/>
      <c r="J100" s="590"/>
      <c r="K100" s="590"/>
      <c r="L100" s="590"/>
      <c r="M100" s="591"/>
      <c r="N100" s="1152"/>
      <c r="O100" s="1152"/>
      <c r="P100" s="2678"/>
      <c r="Q100" s="503"/>
    </row>
    <row r="101" spans="1:17">
      <c r="A101" s="526" t="s">
        <v>2557</v>
      </c>
      <c r="B101" s="527" t="s">
        <v>2606</v>
      </c>
      <c r="C101" s="529"/>
      <c r="D101" s="529"/>
      <c r="E101" s="529"/>
      <c r="F101" s="529"/>
      <c r="G101" s="529"/>
      <c r="H101" s="529"/>
      <c r="I101" s="529"/>
      <c r="J101" s="529"/>
      <c r="K101" s="530"/>
      <c r="L101" s="531"/>
      <c r="M101" s="532"/>
      <c r="N101" s="1151"/>
      <c r="O101" s="1151"/>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8"/>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8"/>
      <c r="Q103" s="503"/>
    </row>
    <row r="104" spans="1:17" s="470" customFormat="1">
      <c r="A104" s="592"/>
      <c r="B104" s="593"/>
      <c r="C104" s="594"/>
      <c r="D104" s="594"/>
      <c r="E104" s="594"/>
      <c r="F104" s="594"/>
      <c r="G104" s="594"/>
      <c r="H104" s="594"/>
      <c r="I104" s="594"/>
      <c r="J104" s="595"/>
      <c r="K104" s="595"/>
      <c r="L104" s="596"/>
      <c r="M104" s="597"/>
      <c r="N104" s="1153"/>
      <c r="O104" s="1153"/>
      <c r="P104" s="2679"/>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9"/>
      <c r="Q105" s="558"/>
    </row>
    <row r="106" spans="1:17" ht="15" thickTop="1">
      <c r="A106" s="598"/>
      <c r="B106" s="537" t="s">
        <v>2608</v>
      </c>
      <c r="C106" s="553"/>
      <c r="D106" s="553"/>
      <c r="E106" s="582"/>
      <c r="F106" s="582"/>
      <c r="G106" s="582"/>
      <c r="H106" s="582"/>
      <c r="I106" s="582"/>
      <c r="J106" s="582"/>
      <c r="K106" s="583"/>
      <c r="L106" s="584"/>
      <c r="M106" s="585"/>
      <c r="N106" s="1151"/>
      <c r="O106" s="1151"/>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8"/>
      <c r="Q107" s="503"/>
    </row>
    <row r="108" spans="1:17" ht="15" thickTop="1">
      <c r="A108" s="598"/>
      <c r="B108" s="537" t="s">
        <v>2610</v>
      </c>
      <c r="C108" s="553"/>
      <c r="D108" s="553"/>
      <c r="E108" s="553"/>
      <c r="F108" s="582"/>
      <c r="G108" s="582"/>
      <c r="H108" s="582"/>
      <c r="I108" s="582"/>
      <c r="J108" s="582"/>
      <c r="K108" s="583"/>
      <c r="L108" s="584"/>
      <c r="M108" s="585"/>
      <c r="N108" s="1151"/>
      <c r="O108" s="1151"/>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8"/>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8"/>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8"/>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9"/>
      <c r="Q114" s="558"/>
    </row>
    <row r="115" spans="1:17" ht="15" thickTop="1">
      <c r="A115" s="598"/>
      <c r="B115" s="537" t="s">
        <v>2611</v>
      </c>
      <c r="C115" s="553"/>
      <c r="D115" s="553"/>
      <c r="E115" s="582"/>
      <c r="F115" s="582"/>
      <c r="G115" s="582"/>
      <c r="H115" s="582"/>
      <c r="I115" s="582"/>
      <c r="J115" s="582"/>
      <c r="K115" s="583"/>
      <c r="L115" s="584"/>
      <c r="M115" s="585"/>
      <c r="N115" s="1151"/>
      <c r="O115" s="1151"/>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8"/>
      <c r="Q116" s="503"/>
    </row>
    <row r="117" spans="1:17" ht="15" thickTop="1">
      <c r="A117" s="598"/>
      <c r="B117" s="537" t="s">
        <v>2612</v>
      </c>
      <c r="C117" s="553"/>
      <c r="D117" s="553"/>
      <c r="E117" s="553"/>
      <c r="F117" s="553"/>
      <c r="G117" s="553"/>
      <c r="H117" s="582"/>
      <c r="I117" s="582"/>
      <c r="J117" s="582"/>
      <c r="K117" s="583"/>
      <c r="L117" s="584"/>
      <c r="M117" s="585"/>
      <c r="N117" s="1151"/>
      <c r="O117" s="1151"/>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8"/>
      <c r="Q118" s="503"/>
    </row>
    <row r="119" spans="1:17" ht="15" thickTop="1">
      <c r="A119" s="598"/>
      <c r="B119" s="635" t="s">
        <v>2695</v>
      </c>
      <c r="C119" s="582"/>
      <c r="D119" s="582"/>
      <c r="E119" s="582"/>
      <c r="F119" s="582"/>
      <c r="G119" s="582"/>
      <c r="H119" s="582"/>
      <c r="I119" s="582"/>
      <c r="J119" s="582"/>
      <c r="K119" s="582"/>
      <c r="L119" s="2683"/>
      <c r="M119" s="2684"/>
      <c r="N119" s="1152"/>
      <c r="O119" s="1152"/>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8"/>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9"/>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9"/>
      <c r="Q122" s="558"/>
    </row>
    <row r="123" spans="1:17" ht="15" thickTop="1">
      <c r="A123" s="598"/>
      <c r="B123" s="537" t="s">
        <v>2614</v>
      </c>
      <c r="C123" s="553"/>
      <c r="D123" s="553"/>
      <c r="E123" s="553"/>
      <c r="F123" s="582"/>
      <c r="G123" s="582"/>
      <c r="H123" s="582"/>
      <c r="I123" s="582"/>
      <c r="J123" s="582"/>
      <c r="K123" s="583"/>
      <c r="L123" s="584"/>
      <c r="M123" s="585"/>
      <c r="N123" s="1151"/>
      <c r="O123" s="1151"/>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8"/>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8"/>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9"/>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9"/>
      <c r="Q128" s="558"/>
    </row>
    <row r="129" spans="1:17" ht="15" thickTop="1">
      <c r="A129" s="598"/>
      <c r="B129" s="537">
        <f>B46</f>
        <v>111</v>
      </c>
      <c r="C129" s="553"/>
      <c r="D129" s="553"/>
      <c r="E129" s="553"/>
      <c r="F129" s="553"/>
      <c r="G129" s="582"/>
      <c r="H129" s="582"/>
      <c r="I129" s="582"/>
      <c r="J129" s="582"/>
      <c r="K129" s="583"/>
      <c r="L129" s="584"/>
      <c r="M129" s="585"/>
      <c r="N129" s="1151"/>
      <c r="O129" s="1151"/>
      <c r="P129" s="2678"/>
      <c r="Q129" s="503"/>
    </row>
    <row r="130" spans="1:17" ht="15.75" thickBot="1">
      <c r="A130" s="533"/>
      <c r="B130" s="542"/>
      <c r="C130" s="559"/>
      <c r="D130" s="559"/>
      <c r="E130" s="559"/>
      <c r="F130" s="559"/>
      <c r="G130" s="535"/>
      <c r="H130" s="535"/>
      <c r="I130" s="535"/>
      <c r="J130" s="535"/>
      <c r="K130" s="535"/>
      <c r="L130" s="535"/>
      <c r="M130" s="536"/>
      <c r="N130" s="1152"/>
      <c r="O130" s="1152"/>
      <c r="P130" s="2678"/>
      <c r="Q130" s="503"/>
    </row>
    <row r="131" spans="1:17" ht="15" thickTop="1">
      <c r="A131" s="598"/>
      <c r="B131" s="545">
        <f>B47</f>
        <v>111</v>
      </c>
      <c r="C131" s="522"/>
      <c r="D131" s="522"/>
      <c r="E131" s="522"/>
      <c r="F131" s="522"/>
      <c r="G131" s="586"/>
      <c r="H131" s="586"/>
      <c r="I131" s="586"/>
      <c r="J131" s="586"/>
      <c r="K131" s="522"/>
      <c r="L131" s="523"/>
      <c r="M131" s="589"/>
      <c r="N131" s="1151"/>
      <c r="O131" s="1151"/>
      <c r="P131" s="2678"/>
      <c r="Q131" s="503"/>
    </row>
    <row r="132" spans="1:17" ht="15.75" thickBot="1">
      <c r="A132" s="2630"/>
      <c r="B132" s="568"/>
      <c r="C132" s="569"/>
      <c r="D132" s="569"/>
      <c r="E132" s="569"/>
      <c r="F132" s="569"/>
      <c r="G132" s="590"/>
      <c r="H132" s="590"/>
      <c r="I132" s="590"/>
      <c r="J132" s="590"/>
      <c r="K132" s="590"/>
      <c r="L132" s="590"/>
      <c r="M132" s="591"/>
      <c r="N132" s="1152"/>
      <c r="O132" s="1152"/>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昆仑信托有限责任公司：</v>
      </c>
    </row>
    <row r="4" spans="1:1" ht="36">
      <c r="A4" s="1945" t="str">
        <f>"受贵公司委托，我公司对"&amp;项目基本情况!S1&amp;"进行了预评估。"</f>
        <v>受贵公司委托，我公司对广东省深圳市罗湖区嘉宾路太平洋商贸大厦107号等25套商业用房房地产房地产抵押价值进行了预评估。</v>
      </c>
    </row>
    <row r="5" spans="1:1" ht="18.75">
      <c r="A5" s="1946" t="s">
        <v>1611</v>
      </c>
    </row>
    <row r="6" spans="1:1" ht="18.75">
      <c r="A6" s="1947" t="s">
        <v>1612</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1" ht="57.75">
      <c r="A8" s="1948" t="s">
        <v>1613</v>
      </c>
    </row>
    <row r="9" spans="1:1" ht="18.75">
      <c r="A9" s="1947" t="s">
        <v>1614</v>
      </c>
    </row>
    <row r="10" spans="1:1" ht="126">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1" spans="1:1" ht="76.5">
      <c r="A11" s="1948" t="s">
        <v>1615</v>
      </c>
    </row>
    <row r="12" spans="1:1" ht="18.75">
      <c r="A12" s="1946" t="s">
        <v>1616</v>
      </c>
    </row>
    <row r="13" spans="1:1" ht="38.25" customHeight="1">
      <c r="A13" s="1949" t="str">
        <f>IF(项目基本情况!B8="抵押",IF(项目基本情况!B5=项目基本情况!B6,定义!C51,定义!B51),定义!D51)</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2018年6月25日（评估专业人员实地查勘之日）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本次评估采用的主估价方法为基准地价系数修正法和收益法。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2696</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IF(C2="——",ROUND(C43*D3/10000,0),ROUND(C43*D3/10000,0)-D2)</f>
        <v>#DIV/0!</v>
      </c>
      <c r="C2" s="2580"/>
      <c r="D2" s="1123"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2323</v>
      </c>
      <c r="B3" s="608" t="e">
        <f ca="1">IF(C2="——",C43,ROUND(B2*10000/D3,0))</f>
        <v>#DIV/0!</v>
      </c>
      <c r="C3" s="399" t="s">
        <v>2638</v>
      </c>
      <c r="D3" s="398">
        <f>IF(D1="",'数据-汇总表'!E3,SUMIF('数据-汇总表'!$C19:$C33,D1,'数据-汇总表'!$E19:$E33))</f>
        <v>7048.35</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1" t="s">
        <v>2640</v>
      </c>
      <c r="D4" s="3222"/>
      <c r="E4" s="3223" t="s">
        <v>2641</v>
      </c>
      <c r="F4" s="3224"/>
      <c r="G4" s="3221" t="s">
        <v>2642</v>
      </c>
      <c r="H4" s="3222"/>
      <c r="I4" s="3221" t="s">
        <v>2643</v>
      </c>
      <c r="J4" s="3222"/>
      <c r="K4" s="609" t="s">
        <v>2644</v>
      </c>
      <c r="L4" s="1129"/>
      <c r="M4" s="1130"/>
      <c r="N4" s="1130"/>
      <c r="O4" s="1130"/>
      <c r="P4" s="3225" t="s">
        <v>2645</v>
      </c>
      <c r="Q4" s="3226"/>
      <c r="R4" s="3231" t="s">
        <v>2641</v>
      </c>
      <c r="S4" s="3232"/>
      <c r="T4" s="3231" t="s">
        <v>2642</v>
      </c>
      <c r="U4" s="3232"/>
      <c r="V4" s="3237" t="s">
        <v>2643</v>
      </c>
      <c r="W4" s="3237"/>
      <c r="X4" s="1810"/>
      <c r="Y4" s="3231" t="s">
        <v>2645</v>
      </c>
      <c r="Z4" s="3232"/>
      <c r="AA4" s="3218" t="s">
        <v>2641</v>
      </c>
      <c r="AB4" s="3219" t="s">
        <v>2642</v>
      </c>
      <c r="AC4" s="3218" t="s">
        <v>2643</v>
      </c>
    </row>
    <row r="5" spans="1:29" ht="15">
      <c r="A5" s="403"/>
      <c r="B5" s="404"/>
      <c r="C5" s="3240" t="s">
        <v>2536</v>
      </c>
      <c r="D5" s="3241"/>
      <c r="E5" s="3247" t="s">
        <v>2537</v>
      </c>
      <c r="F5" s="3248"/>
      <c r="G5" s="3240" t="s">
        <v>2538</v>
      </c>
      <c r="H5" s="3241"/>
      <c r="I5" s="3240" t="s">
        <v>2539</v>
      </c>
      <c r="J5" s="3241"/>
      <c r="K5" s="609"/>
      <c r="L5" s="1129"/>
      <c r="M5" s="1130"/>
      <c r="N5" s="1130"/>
      <c r="O5" s="1130"/>
      <c r="P5" s="3227"/>
      <c r="Q5" s="3228"/>
      <c r="R5" s="3233"/>
      <c r="S5" s="3234"/>
      <c r="T5" s="3233"/>
      <c r="U5" s="3234"/>
      <c r="V5" s="3237"/>
      <c r="W5" s="3237"/>
      <c r="X5" s="1810"/>
      <c r="Y5" s="3233"/>
      <c r="Z5" s="3234"/>
      <c r="AA5" s="3219"/>
      <c r="AB5" s="3219"/>
      <c r="AC5" s="3219"/>
    </row>
    <row r="6" spans="1:29" ht="15.75" thickBot="1">
      <c r="A6" s="405"/>
      <c r="B6" s="406"/>
      <c r="C6" s="3238" t="s">
        <v>2540</v>
      </c>
      <c r="D6" s="3239"/>
      <c r="E6" s="3245" t="s">
        <v>2540</v>
      </c>
      <c r="F6" s="3246"/>
      <c r="G6" s="3238" t="s">
        <v>2540</v>
      </c>
      <c r="H6" s="3239"/>
      <c r="I6" s="3238" t="s">
        <v>2540</v>
      </c>
      <c r="J6" s="3239"/>
      <c r="K6" s="609" t="s">
        <v>2541</v>
      </c>
      <c r="L6" s="1129"/>
      <c r="M6" s="1130"/>
      <c r="N6" s="1130"/>
      <c r="O6" s="1130"/>
      <c r="P6" s="3229"/>
      <c r="Q6" s="3230"/>
      <c r="R6" s="3233"/>
      <c r="S6" s="3234"/>
      <c r="T6" s="3235"/>
      <c r="U6" s="3236"/>
      <c r="V6" s="3237"/>
      <c r="W6" s="3237"/>
      <c r="X6" s="1810"/>
      <c r="Y6" s="3235"/>
      <c r="Z6" s="3236"/>
      <c r="AA6" s="3220"/>
      <c r="AB6" s="3220"/>
      <c r="AC6" s="3220"/>
    </row>
    <row r="7" spans="1:29" s="116" customFormat="1" ht="15.75" thickBot="1">
      <c r="A7" s="407" t="s">
        <v>2542</v>
      </c>
      <c r="B7" s="408"/>
      <c r="C7" s="409">
        <f>'数据-取费表'!B2</f>
        <v>43276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2" t="s">
        <v>2543</v>
      </c>
      <c r="Q7" s="3244"/>
      <c r="R7" s="766" t="s">
        <v>17</v>
      </c>
      <c r="S7" s="767">
        <f t="shared" ref="S7:S15" si="0">F7</f>
        <v>0</v>
      </c>
      <c r="T7" s="766" t="s">
        <v>17</v>
      </c>
      <c r="U7" s="767">
        <f t="shared" ref="U7:U15" si="1">H7</f>
        <v>0</v>
      </c>
      <c r="V7" s="766" t="s">
        <v>17</v>
      </c>
      <c r="W7" s="767">
        <f t="shared" ref="W7:W15" si="2">J7</f>
        <v>0</v>
      </c>
      <c r="X7" s="768"/>
      <c r="Y7" s="3242" t="s">
        <v>2543</v>
      </c>
      <c r="Z7" s="3243"/>
      <c r="AA7" s="769" t="e">
        <f>D7/F7</f>
        <v>#DIV/0!</v>
      </c>
      <c r="AB7" s="769" t="e">
        <f>D7/H7</f>
        <v>#DIV/0!</v>
      </c>
      <c r="AC7" s="769"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2" t="s">
        <v>2546</v>
      </c>
      <c r="Q8" s="3243"/>
      <c r="R8" s="766" t="s">
        <v>17</v>
      </c>
      <c r="S8" s="767">
        <f t="shared" si="0"/>
        <v>0</v>
      </c>
      <c r="T8" s="766" t="s">
        <v>17</v>
      </c>
      <c r="U8" s="767">
        <f t="shared" si="1"/>
        <v>0</v>
      </c>
      <c r="V8" s="766" t="s">
        <v>17</v>
      </c>
      <c r="W8" s="767">
        <f t="shared" si="2"/>
        <v>0</v>
      </c>
      <c r="X8" s="768"/>
      <c r="Y8" s="3242" t="s">
        <v>2546</v>
      </c>
      <c r="Z8" s="3243"/>
      <c r="AA8" s="769" t="e">
        <f t="shared" ref="AA8:AA40" si="3">D8/F8</f>
        <v>#DIV/0!</v>
      </c>
      <c r="AB8" s="769" t="e">
        <f t="shared" ref="AB8:AB40" si="4">D8/H8</f>
        <v>#DIV/0!</v>
      </c>
      <c r="AC8" s="769"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6" t="s">
        <v>2549</v>
      </c>
      <c r="Q9" s="1792" t="str">
        <f t="shared" ref="Q9:Q15" si="6">B9</f>
        <v>用途</v>
      </c>
      <c r="R9" s="766" t="s">
        <v>17</v>
      </c>
      <c r="S9" s="767">
        <f t="shared" si="0"/>
        <v>100</v>
      </c>
      <c r="T9" s="766" t="s">
        <v>17</v>
      </c>
      <c r="U9" s="767">
        <f t="shared" si="1"/>
        <v>100</v>
      </c>
      <c r="V9" s="766" t="s">
        <v>17</v>
      </c>
      <c r="W9" s="767">
        <f t="shared" si="2"/>
        <v>100</v>
      </c>
      <c r="X9" s="768"/>
      <c r="Y9" s="3031"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6"/>
      <c r="Q10" s="1792" t="str">
        <f t="shared" si="6"/>
        <v>土地使用年限（年）</v>
      </c>
      <c r="R10" s="766" t="s">
        <v>17</v>
      </c>
      <c r="S10" s="767">
        <f t="shared" si="0"/>
        <v>100</v>
      </c>
      <c r="T10" s="766" t="s">
        <v>17</v>
      </c>
      <c r="U10" s="767">
        <f t="shared" si="1"/>
        <v>100</v>
      </c>
      <c r="V10" s="766" t="s">
        <v>17</v>
      </c>
      <c r="W10" s="767">
        <f t="shared" si="2"/>
        <v>100</v>
      </c>
      <c r="X10" s="768"/>
      <c r="Y10" s="3031"/>
      <c r="Z10" s="54" t="str">
        <f t="shared" si="7"/>
        <v>土地使用年限（年）</v>
      </c>
      <c r="AA10" s="769">
        <f t="shared" si="3"/>
        <v>1</v>
      </c>
      <c r="AB10" s="769">
        <f t="shared" si="4"/>
        <v>1</v>
      </c>
      <c r="AC10" s="769">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6"/>
      <c r="Q11" s="1792" t="str">
        <f t="shared" si="6"/>
        <v>容积率</v>
      </c>
      <c r="R11" s="766" t="s">
        <v>17</v>
      </c>
      <c r="S11" s="767" t="e">
        <f t="shared" si="0"/>
        <v>#N/A</v>
      </c>
      <c r="T11" s="766" t="s">
        <v>17</v>
      </c>
      <c r="U11" s="767" t="e">
        <f t="shared" si="1"/>
        <v>#N/A</v>
      </c>
      <c r="V11" s="766" t="s">
        <v>17</v>
      </c>
      <c r="W11" s="767" t="e">
        <f t="shared" si="2"/>
        <v>#N/A</v>
      </c>
      <c r="X11" s="768"/>
      <c r="Y11" s="3031"/>
      <c r="Z11" s="54" t="str">
        <f t="shared" si="7"/>
        <v>容积率</v>
      </c>
      <c r="AA11" s="769" t="e">
        <f t="shared" si="3"/>
        <v>#N/A</v>
      </c>
      <c r="AB11" s="769" t="e">
        <f t="shared" si="4"/>
        <v>#N/A</v>
      </c>
      <c r="AC11" s="769"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1"/>
      <c r="M12" s="1132"/>
      <c r="N12" s="1132"/>
      <c r="O12" s="1133"/>
      <c r="P12" s="3206"/>
      <c r="Q12" s="1792">
        <f t="shared" si="6"/>
        <v>111</v>
      </c>
      <c r="R12" s="766" t="s">
        <v>17</v>
      </c>
      <c r="S12" s="767">
        <f t="shared" si="0"/>
        <v>100</v>
      </c>
      <c r="T12" s="766" t="s">
        <v>17</v>
      </c>
      <c r="U12" s="767">
        <f t="shared" si="1"/>
        <v>100</v>
      </c>
      <c r="V12" s="766" t="s">
        <v>17</v>
      </c>
      <c r="W12" s="767">
        <f t="shared" si="2"/>
        <v>100</v>
      </c>
      <c r="X12" s="768"/>
      <c r="Y12" s="3031"/>
      <c r="Z12" s="54">
        <f t="shared" si="7"/>
        <v>111</v>
      </c>
      <c r="AA12" s="769">
        <f>D12/F12</f>
        <v>1</v>
      </c>
      <c r="AB12" s="769">
        <f>D12/H12</f>
        <v>1</v>
      </c>
      <c r="AC12" s="769">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9"/>
      <c r="M13" s="1130"/>
      <c r="N13" s="1130"/>
      <c r="O13" s="1138"/>
      <c r="P13" s="3206"/>
      <c r="Q13" s="1792">
        <f t="shared" si="6"/>
        <v>111</v>
      </c>
      <c r="R13" s="766" t="s">
        <v>17</v>
      </c>
      <c r="S13" s="767">
        <f t="shared" si="0"/>
        <v>100</v>
      </c>
      <c r="T13" s="766" t="s">
        <v>17</v>
      </c>
      <c r="U13" s="767">
        <f t="shared" si="1"/>
        <v>100</v>
      </c>
      <c r="V13" s="766" t="s">
        <v>17</v>
      </c>
      <c r="W13" s="767">
        <f t="shared" si="2"/>
        <v>100</v>
      </c>
      <c r="X13" s="768"/>
      <c r="Y13" s="3031"/>
      <c r="Z13" s="54">
        <f t="shared" si="7"/>
        <v>111</v>
      </c>
      <c r="AA13" s="769">
        <f t="shared" si="3"/>
        <v>1</v>
      </c>
      <c r="AB13" s="769">
        <f t="shared" si="4"/>
        <v>1</v>
      </c>
      <c r="AC13" s="769">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9"/>
      <c r="M14" s="1130"/>
      <c r="N14" s="1130"/>
      <c r="O14" s="1138"/>
      <c r="P14" s="3206"/>
      <c r="Q14" s="1792">
        <f t="shared" si="6"/>
        <v>111</v>
      </c>
      <c r="R14" s="766" t="s">
        <v>17</v>
      </c>
      <c r="S14" s="767">
        <f t="shared" si="0"/>
        <v>100</v>
      </c>
      <c r="T14" s="766" t="s">
        <v>17</v>
      </c>
      <c r="U14" s="767">
        <f t="shared" si="1"/>
        <v>100</v>
      </c>
      <c r="V14" s="766" t="s">
        <v>17</v>
      </c>
      <c r="W14" s="767">
        <f t="shared" si="2"/>
        <v>100</v>
      </c>
      <c r="X14" s="768"/>
      <c r="Y14" s="3031"/>
      <c r="Z14" s="54">
        <f t="shared" si="7"/>
        <v>111</v>
      </c>
      <c r="AA14" s="769">
        <f t="shared" si="3"/>
        <v>1</v>
      </c>
      <c r="AB14" s="769">
        <f t="shared" si="4"/>
        <v>1</v>
      </c>
      <c r="AC14" s="769">
        <f t="shared" si="5"/>
        <v>1</v>
      </c>
    </row>
    <row r="15" spans="1:29" ht="57">
      <c r="A15" s="439" t="s">
        <v>2553</v>
      </c>
      <c r="B15" s="68" t="s">
        <v>2697</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8" t="s">
        <v>2554</v>
      </c>
      <c r="Q15" s="1807" t="str">
        <f t="shared" si="6"/>
        <v>产业集聚程度</v>
      </c>
      <c r="R15" s="770" t="s">
        <v>17</v>
      </c>
      <c r="S15" s="771">
        <f t="shared" si="0"/>
        <v>100</v>
      </c>
      <c r="T15" s="770" t="s">
        <v>17</v>
      </c>
      <c r="U15" s="771">
        <f t="shared" si="1"/>
        <v>100</v>
      </c>
      <c r="V15" s="770" t="s">
        <v>17</v>
      </c>
      <c r="W15" s="771">
        <f t="shared" si="2"/>
        <v>100</v>
      </c>
      <c r="X15" s="1810"/>
      <c r="Y15" s="3208" t="s">
        <v>2554</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09"/>
      <c r="Q16" s="1807"/>
      <c r="R16" s="770"/>
      <c r="S16" s="771"/>
      <c r="T16" s="770"/>
      <c r="U16" s="771"/>
      <c r="V16" s="770"/>
      <c r="W16" s="771"/>
      <c r="X16" s="1810"/>
      <c r="Y16" s="3209"/>
      <c r="Z16" s="1811"/>
      <c r="AA16" s="1808">
        <v>1</v>
      </c>
      <c r="AB16" s="1808">
        <v>1</v>
      </c>
      <c r="AC16" s="1808">
        <v>1</v>
      </c>
    </row>
    <row r="17" spans="1:29" ht="85.5">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9"/>
      <c r="Q17" s="1807" t="str">
        <f>B17</f>
        <v>交通便捷度</v>
      </c>
      <c r="R17" s="770" t="s">
        <v>17</v>
      </c>
      <c r="S17" s="771">
        <f>F17</f>
        <v>100</v>
      </c>
      <c r="T17" s="770" t="s">
        <v>17</v>
      </c>
      <c r="U17" s="771">
        <f>H17</f>
        <v>100</v>
      </c>
      <c r="V17" s="770" t="s">
        <v>17</v>
      </c>
      <c r="W17" s="771">
        <f>J17</f>
        <v>100</v>
      </c>
      <c r="X17" s="1810"/>
      <c r="Y17" s="3209"/>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9"/>
      <c r="M18" s="1130"/>
      <c r="N18" s="1130"/>
      <c r="O18" s="1138"/>
      <c r="P18" s="3209"/>
      <c r="Q18" s="1807"/>
      <c r="R18" s="770"/>
      <c r="S18" s="771"/>
      <c r="T18" s="770"/>
      <c r="U18" s="771"/>
      <c r="V18" s="770"/>
      <c r="W18" s="771"/>
      <c r="X18" s="1810"/>
      <c r="Y18" s="3209"/>
      <c r="Z18" s="1811"/>
      <c r="AA18" s="1808">
        <v>1</v>
      </c>
      <c r="AB18" s="1808">
        <v>1</v>
      </c>
      <c r="AC18" s="1808">
        <v>1</v>
      </c>
    </row>
    <row r="19" spans="1:29" ht="42.75">
      <c r="A19" s="427"/>
      <c r="B19" s="450" t="s">
        <v>2682</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9"/>
      <c r="Q19" s="1807" t="str">
        <f>B19</f>
        <v>公共配套设施</v>
      </c>
      <c r="R19" s="770" t="s">
        <v>17</v>
      </c>
      <c r="S19" s="771">
        <f>F19</f>
        <v>100</v>
      </c>
      <c r="T19" s="770" t="s">
        <v>17</v>
      </c>
      <c r="U19" s="771">
        <f>H19</f>
        <v>100</v>
      </c>
      <c r="V19" s="770" t="s">
        <v>17</v>
      </c>
      <c r="W19" s="771">
        <f>J19</f>
        <v>100</v>
      </c>
      <c r="X19" s="1810"/>
      <c r="Y19" s="3209"/>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9"/>
      <c r="M20" s="1130"/>
      <c r="N20" s="1130"/>
      <c r="O20" s="1138"/>
      <c r="P20" s="3209"/>
      <c r="Q20" s="1807"/>
      <c r="R20" s="770"/>
      <c r="S20" s="771"/>
      <c r="T20" s="770"/>
      <c r="U20" s="771"/>
      <c r="V20" s="770"/>
      <c r="W20" s="771"/>
      <c r="X20" s="1810"/>
      <c r="Y20" s="3209"/>
      <c r="Z20" s="1811"/>
      <c r="AA20" s="1808">
        <v>1</v>
      </c>
      <c r="AB20" s="1808">
        <v>1</v>
      </c>
      <c r="AC20" s="1808">
        <v>1</v>
      </c>
    </row>
    <row r="21" spans="1:29" ht="28.5">
      <c r="A21" s="427"/>
      <c r="B21" s="1381" t="s">
        <v>2683</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9"/>
      <c r="Q21" s="1807" t="str">
        <f>B21</f>
        <v>基础设施水平</v>
      </c>
      <c r="R21" s="770" t="s">
        <v>17</v>
      </c>
      <c r="S21" s="771">
        <f>F21</f>
        <v>100</v>
      </c>
      <c r="T21" s="770" t="s">
        <v>17</v>
      </c>
      <c r="U21" s="771">
        <f>H21</f>
        <v>100</v>
      </c>
      <c r="V21" s="770" t="s">
        <v>17</v>
      </c>
      <c r="W21" s="771">
        <f>J21</f>
        <v>100</v>
      </c>
      <c r="X21" s="1810"/>
      <c r="Y21" s="3209"/>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9"/>
      <c r="M22" s="1130"/>
      <c r="N22" s="1130"/>
      <c r="O22" s="1138"/>
      <c r="P22" s="3209"/>
      <c r="Q22" s="1807"/>
      <c r="R22" s="770"/>
      <c r="S22" s="771"/>
      <c r="T22" s="770"/>
      <c r="U22" s="771"/>
      <c r="V22" s="770"/>
      <c r="W22" s="771"/>
      <c r="X22" s="1810"/>
      <c r="Y22" s="3209"/>
      <c r="Z22" s="1811"/>
      <c r="AA22" s="1808">
        <v>1</v>
      </c>
      <c r="AB22" s="1808">
        <v>1</v>
      </c>
      <c r="AC22" s="1808">
        <v>1</v>
      </c>
    </row>
    <row r="23" spans="1:29" ht="71.25">
      <c r="A23" s="427"/>
      <c r="B23" s="450" t="s">
        <v>2684</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9"/>
      <c r="Q23" s="1807" t="str">
        <f>B23</f>
        <v>环境质量</v>
      </c>
      <c r="R23" s="770" t="s">
        <v>17</v>
      </c>
      <c r="S23" s="771">
        <f>F23</f>
        <v>100</v>
      </c>
      <c r="T23" s="770" t="s">
        <v>17</v>
      </c>
      <c r="U23" s="771">
        <f>H23</f>
        <v>100</v>
      </c>
      <c r="V23" s="770" t="s">
        <v>17</v>
      </c>
      <c r="W23" s="771">
        <f>J23</f>
        <v>100</v>
      </c>
      <c r="X23" s="1810"/>
      <c r="Y23" s="3209"/>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9"/>
      <c r="M24" s="1130"/>
      <c r="N24" s="1130"/>
      <c r="O24" s="1138"/>
      <c r="P24" s="3209"/>
      <c r="Q24" s="1807"/>
      <c r="R24" s="770"/>
      <c r="S24" s="771"/>
      <c r="T24" s="770"/>
      <c r="U24" s="771"/>
      <c r="V24" s="770"/>
      <c r="W24" s="771"/>
      <c r="X24" s="1810"/>
      <c r="Y24" s="3209"/>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9"/>
      <c r="Q25" s="1807">
        <f>B25</f>
        <v>111</v>
      </c>
      <c r="R25" s="770" t="s">
        <v>17</v>
      </c>
      <c r="S25" s="771">
        <f>F25</f>
        <v>100</v>
      </c>
      <c r="T25" s="770" t="s">
        <v>17</v>
      </c>
      <c r="U25" s="771">
        <f>H25</f>
        <v>100</v>
      </c>
      <c r="V25" s="770" t="s">
        <v>17</v>
      </c>
      <c r="W25" s="771">
        <f>J25</f>
        <v>100</v>
      </c>
      <c r="X25" s="1810"/>
      <c r="Y25" s="3209"/>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9"/>
      <c r="Q26" s="1807">
        <f t="shared" ref="Q26:Q40" si="11">B26</f>
        <v>111</v>
      </c>
      <c r="R26" s="770" t="s">
        <v>17</v>
      </c>
      <c r="S26" s="771">
        <f>F26</f>
        <v>100</v>
      </c>
      <c r="T26" s="770" t="s">
        <v>17</v>
      </c>
      <c r="U26" s="771">
        <f>H26</f>
        <v>100</v>
      </c>
      <c r="V26" s="770" t="s">
        <v>17</v>
      </c>
      <c r="W26" s="771">
        <f>J26</f>
        <v>100</v>
      </c>
      <c r="X26" s="1810"/>
      <c r="Y26" s="3209"/>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9"/>
      <c r="Q27" s="1792">
        <f t="shared" si="11"/>
        <v>111</v>
      </c>
      <c r="R27" s="766" t="s">
        <v>17</v>
      </c>
      <c r="S27" s="767">
        <f>F27</f>
        <v>100</v>
      </c>
      <c r="T27" s="766" t="s">
        <v>17</v>
      </c>
      <c r="U27" s="767">
        <f>H27</f>
        <v>100</v>
      </c>
      <c r="V27" s="766" t="s">
        <v>17</v>
      </c>
      <c r="W27" s="767">
        <f>J27</f>
        <v>100</v>
      </c>
      <c r="X27" s="768"/>
      <c r="Y27" s="3209"/>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9"/>
      <c r="Q28" s="1807">
        <f t="shared" si="11"/>
        <v>111</v>
      </c>
      <c r="R28" s="770" t="s">
        <v>17</v>
      </c>
      <c r="S28" s="771">
        <f t="shared" ref="S28:S40" si="12">F28</f>
        <v>100</v>
      </c>
      <c r="T28" s="770" t="s">
        <v>17</v>
      </c>
      <c r="U28" s="771">
        <f t="shared" ref="U28:U40" si="13">H28</f>
        <v>100</v>
      </c>
      <c r="V28" s="770" t="s">
        <v>17</v>
      </c>
      <c r="W28" s="771">
        <f t="shared" ref="W28:W40" si="14">J28</f>
        <v>100</v>
      </c>
      <c r="X28" s="1810"/>
      <c r="Y28" s="3209"/>
      <c r="Z28" s="1811">
        <f t="shared" ref="Z28:Z40" si="15">Q28</f>
        <v>111</v>
      </c>
      <c r="AA28" s="1808">
        <f t="shared" si="3"/>
        <v>1</v>
      </c>
      <c r="AB28" s="1808">
        <f t="shared" si="4"/>
        <v>1</v>
      </c>
      <c r="AC28" s="1808">
        <f t="shared" si="5"/>
        <v>1</v>
      </c>
    </row>
    <row r="29" spans="1:29" ht="15">
      <c r="A29" s="465" t="s">
        <v>2557</v>
      </c>
      <c r="B29" s="70" t="s">
        <v>2687</v>
      </c>
      <c r="C29" s="2673"/>
      <c r="D29" s="466">
        <v>100</v>
      </c>
      <c r="E29" s="2673"/>
      <c r="F29" s="460">
        <f>SUMIF(88:88,E29,89:89)-SUMIF(88:88,C29,89:89)+100</f>
        <v>100</v>
      </c>
      <c r="G29" s="2673"/>
      <c r="H29" s="434">
        <f>SUMIF(88:88,G29,89:89)-SUMIF(88:88,C29,89:89)+100</f>
        <v>100</v>
      </c>
      <c r="I29" s="2673"/>
      <c r="J29" s="466">
        <f>SUMIF(88:88,I29,89:89)-SUMIF(88:88,C29,89:89)+100</f>
        <v>100</v>
      </c>
      <c r="K29" s="611"/>
      <c r="L29" s="1139"/>
      <c r="M29" s="1130"/>
      <c r="N29" s="1130"/>
      <c r="O29" s="1138"/>
      <c r="P29" s="3266" t="s">
        <v>2559</v>
      </c>
      <c r="Q29" s="1807" t="str">
        <f t="shared" si="11"/>
        <v>建筑类型</v>
      </c>
      <c r="R29" s="770" t="s">
        <v>17</v>
      </c>
      <c r="S29" s="771">
        <f t="shared" si="12"/>
        <v>100</v>
      </c>
      <c r="T29" s="770" t="s">
        <v>17</v>
      </c>
      <c r="U29" s="771">
        <f t="shared" si="13"/>
        <v>100</v>
      </c>
      <c r="V29" s="770" t="s">
        <v>17</v>
      </c>
      <c r="W29" s="771">
        <f t="shared" si="14"/>
        <v>100</v>
      </c>
      <c r="X29" s="1810"/>
      <c r="Y29" s="3213" t="s">
        <v>2559</v>
      </c>
      <c r="Z29" s="1811" t="str">
        <f t="shared" si="15"/>
        <v>建筑类型</v>
      </c>
      <c r="AA29" s="1808">
        <f t="shared" si="3"/>
        <v>1</v>
      </c>
      <c r="AB29" s="1808">
        <f t="shared" si="4"/>
        <v>1</v>
      </c>
      <c r="AC29" s="1808">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3"/>
      <c r="Q30" s="772" t="str">
        <f t="shared" si="11"/>
        <v>项目建筑规模</v>
      </c>
      <c r="R30" s="773" t="s">
        <v>17</v>
      </c>
      <c r="S30" s="774" t="e">
        <f t="shared" si="12"/>
        <v>#N/A</v>
      </c>
      <c r="T30" s="773" t="s">
        <v>17</v>
      </c>
      <c r="U30" s="774" t="e">
        <f t="shared" si="13"/>
        <v>#N/A</v>
      </c>
      <c r="V30" s="773" t="s">
        <v>17</v>
      </c>
      <c r="W30" s="774" t="e">
        <f t="shared" si="14"/>
        <v>#N/A</v>
      </c>
      <c r="X30" s="775"/>
      <c r="Y30" s="3213"/>
      <c r="Z30" s="776" t="str">
        <f t="shared" si="15"/>
        <v>项目建筑规模</v>
      </c>
      <c r="AA30" s="1808" t="e">
        <f t="shared" si="3"/>
        <v>#N/A</v>
      </c>
      <c r="AB30" s="1808" t="e">
        <f t="shared" si="4"/>
        <v>#N/A</v>
      </c>
      <c r="AC30" s="1808"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3"/>
      <c r="Q31" s="1807" t="str">
        <f t="shared" si="11"/>
        <v>建筑结构</v>
      </c>
      <c r="R31" s="770" t="s">
        <v>17</v>
      </c>
      <c r="S31" s="771">
        <f t="shared" si="12"/>
        <v>100</v>
      </c>
      <c r="T31" s="770" t="s">
        <v>17</v>
      </c>
      <c r="U31" s="771">
        <f t="shared" si="13"/>
        <v>100</v>
      </c>
      <c r="V31" s="770" t="s">
        <v>17</v>
      </c>
      <c r="W31" s="771">
        <f t="shared" si="14"/>
        <v>100</v>
      </c>
      <c r="X31" s="1810"/>
      <c r="Y31" s="3213"/>
      <c r="Z31" s="1811" t="str">
        <f t="shared" si="15"/>
        <v>建筑结构</v>
      </c>
      <c r="AA31" s="1808">
        <f t="shared" si="3"/>
        <v>1</v>
      </c>
      <c r="AB31" s="1808">
        <f t="shared" si="4"/>
        <v>1</v>
      </c>
      <c r="AC31" s="1808">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3"/>
      <c r="Q32" s="1807" t="str">
        <f t="shared" si="11"/>
        <v>公共部分装修</v>
      </c>
      <c r="R32" s="770" t="s">
        <v>17</v>
      </c>
      <c r="S32" s="771">
        <f t="shared" si="12"/>
        <v>100</v>
      </c>
      <c r="T32" s="770" t="s">
        <v>17</v>
      </c>
      <c r="U32" s="771">
        <f t="shared" si="13"/>
        <v>100</v>
      </c>
      <c r="V32" s="770" t="s">
        <v>17</v>
      </c>
      <c r="W32" s="771">
        <f t="shared" si="14"/>
        <v>100</v>
      </c>
      <c r="X32" s="1810"/>
      <c r="Y32" s="3213"/>
      <c r="Z32" s="1811" t="str">
        <f t="shared" si="15"/>
        <v>公共部分装修</v>
      </c>
      <c r="AA32" s="1808">
        <f t="shared" si="3"/>
        <v>1</v>
      </c>
      <c r="AB32" s="1808">
        <f t="shared" si="4"/>
        <v>1</v>
      </c>
      <c r="AC32" s="1808">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3"/>
      <c r="Q33" s="1807" t="str">
        <f t="shared" si="11"/>
        <v>成新度</v>
      </c>
      <c r="R33" s="770" t="s">
        <v>17</v>
      </c>
      <c r="S33" s="771" t="e">
        <f t="shared" si="12"/>
        <v>#N/A</v>
      </c>
      <c r="T33" s="770" t="s">
        <v>17</v>
      </c>
      <c r="U33" s="771" t="e">
        <f t="shared" si="13"/>
        <v>#N/A</v>
      </c>
      <c r="V33" s="770" t="s">
        <v>17</v>
      </c>
      <c r="W33" s="771" t="e">
        <f t="shared" si="14"/>
        <v>#N/A</v>
      </c>
      <c r="X33" s="1810"/>
      <c r="Y33" s="3213"/>
      <c r="Z33" s="1811" t="str">
        <f t="shared" si="15"/>
        <v>成新度</v>
      </c>
      <c r="AA33" s="1808" t="e">
        <f t="shared" si="3"/>
        <v>#N/A</v>
      </c>
      <c r="AB33" s="1808" t="e">
        <f t="shared" si="4"/>
        <v>#N/A</v>
      </c>
      <c r="AC33" s="1808"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3"/>
      <c r="Q34" s="1792" t="str">
        <f t="shared" si="11"/>
        <v>物业管理</v>
      </c>
      <c r="R34" s="766" t="s">
        <v>17</v>
      </c>
      <c r="S34" s="767">
        <f t="shared" si="12"/>
        <v>100</v>
      </c>
      <c r="T34" s="766" t="s">
        <v>17</v>
      </c>
      <c r="U34" s="767">
        <f t="shared" si="13"/>
        <v>100</v>
      </c>
      <c r="V34" s="766" t="s">
        <v>17</v>
      </c>
      <c r="W34" s="767">
        <f t="shared" si="14"/>
        <v>100</v>
      </c>
      <c r="X34" s="768"/>
      <c r="Y34" s="3213"/>
      <c r="Z34" s="54" t="str">
        <f t="shared" si="15"/>
        <v>物业管理</v>
      </c>
      <c r="AA34" s="769">
        <f t="shared" si="3"/>
        <v>1</v>
      </c>
      <c r="AB34" s="769">
        <f t="shared" si="4"/>
        <v>1</v>
      </c>
      <c r="AC34" s="769">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3" t="s">
        <v>2559</v>
      </c>
      <c r="Q35" s="1807" t="str">
        <f t="shared" si="11"/>
        <v>市政基础设施</v>
      </c>
      <c r="R35" s="770" t="s">
        <v>17</v>
      </c>
      <c r="S35" s="771">
        <f t="shared" si="12"/>
        <v>100</v>
      </c>
      <c r="T35" s="770" t="s">
        <v>17</v>
      </c>
      <c r="U35" s="771">
        <f t="shared" si="13"/>
        <v>100</v>
      </c>
      <c r="V35" s="770" t="s">
        <v>17</v>
      </c>
      <c r="W35" s="771">
        <f t="shared" si="14"/>
        <v>100</v>
      </c>
      <c r="X35" s="1810"/>
      <c r="Y35" s="3213" t="s">
        <v>2559</v>
      </c>
      <c r="Z35" s="1811" t="str">
        <f t="shared" si="15"/>
        <v>市政基础设施</v>
      </c>
      <c r="AA35" s="1808">
        <f t="shared" si="3"/>
        <v>1</v>
      </c>
      <c r="AB35" s="1808">
        <f t="shared" si="4"/>
        <v>1</v>
      </c>
      <c r="AC35" s="1808">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3"/>
      <c r="Q36" s="1807" t="str">
        <f t="shared" si="11"/>
        <v>内部装修</v>
      </c>
      <c r="R36" s="770" t="s">
        <v>17</v>
      </c>
      <c r="S36" s="771">
        <f t="shared" si="12"/>
        <v>100</v>
      </c>
      <c r="T36" s="770" t="s">
        <v>17</v>
      </c>
      <c r="U36" s="771">
        <f t="shared" si="13"/>
        <v>100</v>
      </c>
      <c r="V36" s="770" t="s">
        <v>17</v>
      </c>
      <c r="W36" s="771">
        <f t="shared" si="14"/>
        <v>100</v>
      </c>
      <c r="X36" s="1810"/>
      <c r="Y36" s="3213"/>
      <c r="Z36" s="1811" t="str">
        <f t="shared" si="15"/>
        <v>内部装修</v>
      </c>
      <c r="AA36" s="1808">
        <f t="shared" si="3"/>
        <v>1</v>
      </c>
      <c r="AB36" s="1808">
        <f t="shared" si="4"/>
        <v>1</v>
      </c>
      <c r="AC36" s="1808">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3"/>
      <c r="Q37" s="1807" t="str">
        <f t="shared" si="11"/>
        <v>内部装修状况</v>
      </c>
      <c r="R37" s="770" t="s">
        <v>17</v>
      </c>
      <c r="S37" s="771">
        <f t="shared" si="12"/>
        <v>100</v>
      </c>
      <c r="T37" s="770" t="s">
        <v>17</v>
      </c>
      <c r="U37" s="771">
        <f t="shared" si="13"/>
        <v>100</v>
      </c>
      <c r="V37" s="770" t="s">
        <v>17</v>
      </c>
      <c r="W37" s="771">
        <f t="shared" si="14"/>
        <v>100</v>
      </c>
      <c r="X37" s="1810"/>
      <c r="Y37" s="3213"/>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3"/>
      <c r="Q38" s="772">
        <f t="shared" si="11"/>
        <v>111</v>
      </c>
      <c r="R38" s="773" t="s">
        <v>17</v>
      </c>
      <c r="S38" s="774">
        <f t="shared" si="12"/>
        <v>100</v>
      </c>
      <c r="T38" s="773" t="s">
        <v>17</v>
      </c>
      <c r="U38" s="774">
        <f t="shared" si="13"/>
        <v>100</v>
      </c>
      <c r="V38" s="773" t="s">
        <v>17</v>
      </c>
      <c r="W38" s="774">
        <f t="shared" si="14"/>
        <v>100</v>
      </c>
      <c r="X38" s="775"/>
      <c r="Y38" s="3213"/>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3"/>
      <c r="Q39" s="1807">
        <f t="shared" si="11"/>
        <v>111</v>
      </c>
      <c r="R39" s="770" t="s">
        <v>17</v>
      </c>
      <c r="S39" s="771">
        <f t="shared" si="12"/>
        <v>100</v>
      </c>
      <c r="T39" s="770" t="s">
        <v>17</v>
      </c>
      <c r="U39" s="771">
        <f t="shared" si="13"/>
        <v>100</v>
      </c>
      <c r="V39" s="770" t="s">
        <v>17</v>
      </c>
      <c r="W39" s="771">
        <f t="shared" si="14"/>
        <v>100</v>
      </c>
      <c r="X39" s="1810"/>
      <c r="Y39" s="3213"/>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4"/>
      <c r="Q40" s="1807">
        <f t="shared" si="11"/>
        <v>111</v>
      </c>
      <c r="R40" s="770" t="s">
        <v>17</v>
      </c>
      <c r="S40" s="771">
        <f t="shared" si="12"/>
        <v>100</v>
      </c>
      <c r="T40" s="770" t="s">
        <v>17</v>
      </c>
      <c r="U40" s="771">
        <f t="shared" si="13"/>
        <v>100</v>
      </c>
      <c r="V40" s="770" t="s">
        <v>17</v>
      </c>
      <c r="W40" s="771">
        <f t="shared" si="14"/>
        <v>100</v>
      </c>
      <c r="X40" s="1810"/>
      <c r="Y40" s="3214"/>
      <c r="Z40" s="1811">
        <f t="shared" si="15"/>
        <v>111</v>
      </c>
      <c r="AA40" s="1808">
        <f t="shared" si="3"/>
        <v>1</v>
      </c>
      <c r="AB40" s="1808">
        <f t="shared" si="4"/>
        <v>1</v>
      </c>
      <c r="AC40" s="1808">
        <f t="shared" si="5"/>
        <v>1</v>
      </c>
    </row>
    <row r="41" spans="1:29" ht="15">
      <c r="A41" s="478" t="s">
        <v>2571</v>
      </c>
      <c r="B41" s="479"/>
      <c r="C41" s="1404" t="s">
        <v>1</v>
      </c>
      <c r="D41" s="1405"/>
      <c r="E41" s="1406"/>
      <c r="F41" s="1407"/>
      <c r="G41" s="1408"/>
      <c r="H41" s="1409"/>
      <c r="I41" s="1406"/>
      <c r="J41" s="1409"/>
      <c r="K41" s="779"/>
      <c r="L41" s="1142"/>
      <c r="M41" s="1143"/>
      <c r="N41" s="1130"/>
      <c r="O41" s="1143"/>
      <c r="P41" s="3206" t="str">
        <f>A41</f>
        <v>成交单价（元/平方米）</v>
      </c>
      <c r="Q41" s="3206"/>
      <c r="R41" s="3207">
        <f>E41</f>
        <v>0</v>
      </c>
      <c r="S41" s="3207"/>
      <c r="T41" s="3207">
        <f>G41</f>
        <v>0</v>
      </c>
      <c r="U41" s="3207"/>
      <c r="V41" s="3207">
        <f>I41</f>
        <v>0</v>
      </c>
      <c r="W41" s="3207"/>
      <c r="X41" s="755"/>
      <c r="Y41" s="777"/>
      <c r="Z41" s="755"/>
      <c r="AA41" s="755"/>
      <c r="AB41" s="755"/>
      <c r="AC41" s="755"/>
    </row>
    <row r="42" spans="1:29" ht="15.75" thickBot="1">
      <c r="A42" s="485" t="s">
        <v>2663</v>
      </c>
      <c r="B42" s="486"/>
      <c r="C42" s="1410" t="e">
        <f>R43</f>
        <v>#DIV/0!</v>
      </c>
      <c r="D42" s="1411"/>
      <c r="E42" s="1412" t="e">
        <f>R42</f>
        <v>#DIV/0!</v>
      </c>
      <c r="F42" s="1412"/>
      <c r="G42" s="1410" t="e">
        <f>T42</f>
        <v>#DIV/0!</v>
      </c>
      <c r="H42" s="1411"/>
      <c r="I42" s="1412" t="e">
        <f>V42</f>
        <v>#DIV/0!</v>
      </c>
      <c r="J42" s="1411"/>
      <c r="K42" s="780"/>
      <c r="L42" s="1142"/>
      <c r="M42" s="1143"/>
      <c r="N42" s="1130"/>
      <c r="O42" s="1143"/>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5"/>
      <c r="Y42" s="755"/>
      <c r="Z42" s="755"/>
      <c r="AA42" s="755"/>
      <c r="AB42" s="755"/>
      <c r="AC42" s="755"/>
    </row>
    <row r="43" spans="1:29" ht="15.75" thickBot="1">
      <c r="A43" s="491" t="s">
        <v>2664</v>
      </c>
      <c r="B43" s="492"/>
      <c r="C43" s="1414" t="e">
        <f>R43</f>
        <v>#DIV/0!</v>
      </c>
      <c r="D43" s="1414"/>
      <c r="E43" s="1414"/>
      <c r="F43" s="1414"/>
      <c r="G43" s="1414"/>
      <c r="H43" s="1414"/>
      <c r="I43" s="1414"/>
      <c r="J43" s="1414"/>
      <c r="K43" s="781"/>
      <c r="L43" s="1142"/>
      <c r="M43" s="1143"/>
      <c r="N43" s="1143"/>
      <c r="O43" s="1143"/>
      <c r="P43" s="3203" t="str">
        <f>A43</f>
        <v>估价对象XX用房的比较价值（楼面单价，元/平方米）</v>
      </c>
      <c r="Q43" s="3204"/>
      <c r="R43" s="3205" t="e">
        <f>IF(F1="售价",ROUND(AVERAGE(R42:V42),0),ROUND(AVERAGE(R42:V42),1))</f>
        <v>#DIV/0!</v>
      </c>
      <c r="S43" s="3205"/>
      <c r="T43" s="3205"/>
      <c r="U43" s="3205"/>
      <c r="V43" s="3205"/>
      <c r="W43" s="3205"/>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2668</v>
      </c>
      <c r="B51" s="755"/>
      <c r="C51" s="760"/>
      <c r="D51" s="760"/>
      <c r="E51" s="760"/>
      <c r="F51" s="761"/>
      <c r="G51" s="761"/>
      <c r="H51" s="760"/>
      <c r="I51" s="760"/>
      <c r="J51" s="760"/>
      <c r="K51" s="1159"/>
      <c r="L51" s="1160"/>
      <c r="M51" s="1158"/>
      <c r="N51" s="1158"/>
      <c r="O51" s="1158"/>
      <c r="P51" s="502"/>
      <c r="Q51" s="503"/>
    </row>
    <row r="52" spans="1:17" s="507" customFormat="1" ht="15">
      <c r="A52" s="504" t="s">
        <v>2542</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0"/>
      <c r="B87" s="568"/>
      <c r="C87" s="569"/>
      <c r="D87" s="569"/>
      <c r="E87" s="569"/>
      <c r="F87" s="569"/>
      <c r="G87" s="590"/>
      <c r="H87" s="590"/>
      <c r="I87" s="590"/>
      <c r="J87" s="590"/>
      <c r="K87" s="590"/>
      <c r="L87" s="590"/>
      <c r="M87" s="591"/>
      <c r="N87" s="1152"/>
      <c r="O87" s="1152"/>
      <c r="P87" s="44"/>
      <c r="Q87" s="503"/>
    </row>
    <row r="88" spans="1:17">
      <c r="A88" s="526" t="s">
        <v>2557</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0"/>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19"/>
      <c r="F1" s="2578"/>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2321</v>
      </c>
      <c r="B2" s="1415" t="e">
        <f ca="1">IF(C2="——",IF(B37="元/平方米",ROUND(C39*D3/10000,0),ROUND(F3*C39/10000,0)),IF(B37="元/平方米",ROUND(C39*D3/10000,0),ROUND(F3*C39/10000,0))-D2)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2639</v>
      </c>
      <c r="B4" s="401"/>
      <c r="C4" s="3221" t="s">
        <v>2640</v>
      </c>
      <c r="D4" s="3222"/>
      <c r="E4" s="3223" t="s">
        <v>2641</v>
      </c>
      <c r="F4" s="3224"/>
      <c r="G4" s="3221" t="s">
        <v>2642</v>
      </c>
      <c r="H4" s="3222"/>
      <c r="I4" s="3221" t="s">
        <v>2643</v>
      </c>
      <c r="J4" s="3222"/>
      <c r="K4" s="609" t="s">
        <v>2644</v>
      </c>
      <c r="L4" s="1129"/>
      <c r="M4" s="1130"/>
      <c r="N4" s="1130"/>
      <c r="O4" s="1130"/>
      <c r="P4" s="3225" t="s">
        <v>2645</v>
      </c>
      <c r="Q4" s="3226"/>
      <c r="R4" s="3231" t="s">
        <v>2641</v>
      </c>
      <c r="S4" s="3232"/>
      <c r="T4" s="3231" t="s">
        <v>2642</v>
      </c>
      <c r="U4" s="3232"/>
      <c r="V4" s="3237" t="s">
        <v>2643</v>
      </c>
      <c r="W4" s="3237"/>
      <c r="X4" s="1810"/>
      <c r="Y4" s="3231" t="s">
        <v>2645</v>
      </c>
      <c r="Z4" s="3232"/>
      <c r="AA4" s="3218" t="s">
        <v>2641</v>
      </c>
      <c r="AB4" s="3219" t="s">
        <v>2642</v>
      </c>
      <c r="AC4" s="3218" t="s">
        <v>2643</v>
      </c>
    </row>
    <row r="5" spans="1:29" ht="15">
      <c r="A5" s="403"/>
      <c r="B5" s="404"/>
      <c r="C5" s="3240" t="s">
        <v>2536</v>
      </c>
      <c r="D5" s="3241"/>
      <c r="E5" s="3247" t="s">
        <v>2537</v>
      </c>
      <c r="F5" s="3248"/>
      <c r="G5" s="3240" t="s">
        <v>2538</v>
      </c>
      <c r="H5" s="3241"/>
      <c r="I5" s="3240" t="s">
        <v>2539</v>
      </c>
      <c r="J5" s="3241"/>
      <c r="K5" s="609"/>
      <c r="L5" s="1129"/>
      <c r="M5" s="1130"/>
      <c r="N5" s="1130"/>
      <c r="O5" s="1130"/>
      <c r="P5" s="3227"/>
      <c r="Q5" s="3228"/>
      <c r="R5" s="3233"/>
      <c r="S5" s="3234"/>
      <c r="T5" s="3233"/>
      <c r="U5" s="3234"/>
      <c r="V5" s="3237"/>
      <c r="W5" s="3237"/>
      <c r="X5" s="1810"/>
      <c r="Y5" s="3233"/>
      <c r="Z5" s="3234"/>
      <c r="AA5" s="3219"/>
      <c r="AB5" s="3219"/>
      <c r="AC5" s="3219"/>
    </row>
    <row r="6" spans="1:29" ht="15.75" thickBot="1">
      <c r="A6" s="405"/>
      <c r="B6" s="406"/>
      <c r="C6" s="3238" t="s">
        <v>2540</v>
      </c>
      <c r="D6" s="3239"/>
      <c r="E6" s="3245" t="s">
        <v>2540</v>
      </c>
      <c r="F6" s="3246"/>
      <c r="G6" s="3238" t="s">
        <v>2540</v>
      </c>
      <c r="H6" s="3239"/>
      <c r="I6" s="3238" t="s">
        <v>2540</v>
      </c>
      <c r="J6" s="3239"/>
      <c r="K6" s="609" t="s">
        <v>2541</v>
      </c>
      <c r="L6" s="1129"/>
      <c r="M6" s="1130"/>
      <c r="N6" s="1130"/>
      <c r="O6" s="1130"/>
      <c r="P6" s="3229"/>
      <c r="Q6" s="3230"/>
      <c r="R6" s="3233"/>
      <c r="S6" s="3234"/>
      <c r="T6" s="3235"/>
      <c r="U6" s="3236"/>
      <c r="V6" s="3237"/>
      <c r="W6" s="3237"/>
      <c r="X6" s="1810"/>
      <c r="Y6" s="3235"/>
      <c r="Z6" s="3236"/>
      <c r="AA6" s="3220"/>
      <c r="AB6" s="3220"/>
      <c r="AC6" s="3220"/>
    </row>
    <row r="7" spans="1:29" s="116" customFormat="1" ht="15.75" thickBot="1">
      <c r="A7" s="407" t="s">
        <v>2542</v>
      </c>
      <c r="B7" s="408"/>
      <c r="C7" s="409">
        <f>'数据-取费表'!B2</f>
        <v>43276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2" t="s">
        <v>2543</v>
      </c>
      <c r="Q7" s="3244"/>
      <c r="R7" s="766" t="s">
        <v>17</v>
      </c>
      <c r="S7" s="767">
        <f t="shared" ref="S7:S14" si="0">F7</f>
        <v>0</v>
      </c>
      <c r="T7" s="766" t="s">
        <v>17</v>
      </c>
      <c r="U7" s="767">
        <f t="shared" ref="U7:U14" si="1">H7</f>
        <v>0</v>
      </c>
      <c r="V7" s="766" t="s">
        <v>17</v>
      </c>
      <c r="W7" s="767">
        <f t="shared" ref="W7:W14" si="2">J7</f>
        <v>0</v>
      </c>
      <c r="X7" s="768"/>
      <c r="Y7" s="3242" t="s">
        <v>2543</v>
      </c>
      <c r="Z7" s="3243"/>
      <c r="AA7" s="769" t="e">
        <f>D7/F7</f>
        <v>#DIV/0!</v>
      </c>
      <c r="AB7" s="769" t="e">
        <f>D7/H7</f>
        <v>#DIV/0!</v>
      </c>
      <c r="AC7" s="769"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2" t="s">
        <v>2546</v>
      </c>
      <c r="Q8" s="3243"/>
      <c r="R8" s="766" t="s">
        <v>17</v>
      </c>
      <c r="S8" s="767">
        <f t="shared" si="0"/>
        <v>0</v>
      </c>
      <c r="T8" s="766" t="s">
        <v>17</v>
      </c>
      <c r="U8" s="767">
        <f t="shared" si="1"/>
        <v>0</v>
      </c>
      <c r="V8" s="766" t="s">
        <v>17</v>
      </c>
      <c r="W8" s="767">
        <f t="shared" si="2"/>
        <v>0</v>
      </c>
      <c r="X8" s="768"/>
      <c r="Y8" s="3242" t="s">
        <v>2546</v>
      </c>
      <c r="Z8" s="3243"/>
      <c r="AA8" s="769" t="e">
        <f t="shared" ref="AA8:AA36" si="3">D8/F8</f>
        <v>#DIV/0!</v>
      </c>
      <c r="AB8" s="769" t="e">
        <f t="shared" ref="AB8:AB36" si="4">D8/H8</f>
        <v>#DIV/0!</v>
      </c>
      <c r="AC8" s="769"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6" t="s">
        <v>2549</v>
      </c>
      <c r="Q9" s="1792" t="str">
        <f t="shared" ref="Q9:Q14" si="6">B9</f>
        <v>用途</v>
      </c>
      <c r="R9" s="766" t="s">
        <v>17</v>
      </c>
      <c r="S9" s="767">
        <f t="shared" si="0"/>
        <v>100</v>
      </c>
      <c r="T9" s="766" t="s">
        <v>17</v>
      </c>
      <c r="U9" s="767">
        <f t="shared" si="1"/>
        <v>100</v>
      </c>
      <c r="V9" s="766" t="s">
        <v>17</v>
      </c>
      <c r="W9" s="767">
        <f t="shared" si="2"/>
        <v>100</v>
      </c>
      <c r="X9" s="768"/>
      <c r="Y9" s="3031" t="s">
        <v>2550</v>
      </c>
      <c r="Z9" s="54" t="str">
        <f t="shared" ref="Z9:Z14" si="7">Q9</f>
        <v>用途</v>
      </c>
      <c r="AA9" s="769">
        <f t="shared" si="3"/>
        <v>1</v>
      </c>
      <c r="AB9" s="769">
        <f t="shared" si="4"/>
        <v>1</v>
      </c>
      <c r="AC9" s="769">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6"/>
      <c r="Q10" s="1792" t="str">
        <f t="shared" si="6"/>
        <v>土地使用年限（年）</v>
      </c>
      <c r="R10" s="766" t="s">
        <v>17</v>
      </c>
      <c r="S10" s="767">
        <f t="shared" si="0"/>
        <v>100</v>
      </c>
      <c r="T10" s="766" t="s">
        <v>17</v>
      </c>
      <c r="U10" s="767">
        <f t="shared" si="1"/>
        <v>100</v>
      </c>
      <c r="V10" s="766" t="s">
        <v>17</v>
      </c>
      <c r="W10" s="767">
        <f t="shared" si="2"/>
        <v>100</v>
      </c>
      <c r="X10" s="768"/>
      <c r="Y10" s="3031"/>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6"/>
      <c r="Q11" s="1792">
        <f t="shared" si="6"/>
        <v>111</v>
      </c>
      <c r="R11" s="766" t="s">
        <v>17</v>
      </c>
      <c r="S11" s="767">
        <f t="shared" si="0"/>
        <v>100</v>
      </c>
      <c r="T11" s="766" t="s">
        <v>17</v>
      </c>
      <c r="U11" s="767">
        <f t="shared" si="1"/>
        <v>100</v>
      </c>
      <c r="V11" s="766" t="s">
        <v>17</v>
      </c>
      <c r="W11" s="767">
        <f t="shared" si="2"/>
        <v>100</v>
      </c>
      <c r="X11" s="768"/>
      <c r="Y11" s="3031"/>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6"/>
      <c r="Q12" s="1792">
        <f t="shared" si="6"/>
        <v>111</v>
      </c>
      <c r="R12" s="766" t="s">
        <v>17</v>
      </c>
      <c r="S12" s="767">
        <f t="shared" si="0"/>
        <v>100</v>
      </c>
      <c r="T12" s="766" t="s">
        <v>17</v>
      </c>
      <c r="U12" s="767">
        <f t="shared" si="1"/>
        <v>100</v>
      </c>
      <c r="V12" s="766" t="s">
        <v>17</v>
      </c>
      <c r="W12" s="767">
        <f t="shared" si="2"/>
        <v>100</v>
      </c>
      <c r="X12" s="768"/>
      <c r="Y12" s="3031"/>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6"/>
      <c r="Q13" s="1792">
        <f t="shared" si="6"/>
        <v>111</v>
      </c>
      <c r="R13" s="766" t="s">
        <v>17</v>
      </c>
      <c r="S13" s="767">
        <f t="shared" si="0"/>
        <v>100</v>
      </c>
      <c r="T13" s="766" t="s">
        <v>17</v>
      </c>
      <c r="U13" s="767">
        <f t="shared" si="1"/>
        <v>100</v>
      </c>
      <c r="V13" s="766" t="s">
        <v>17</v>
      </c>
      <c r="W13" s="767">
        <f t="shared" si="2"/>
        <v>100</v>
      </c>
      <c r="X13" s="768"/>
      <c r="Y13" s="3031"/>
      <c r="Z13" s="54">
        <f t="shared" si="7"/>
        <v>111</v>
      </c>
      <c r="AA13" s="769">
        <f t="shared" si="3"/>
        <v>1</v>
      </c>
      <c r="AB13" s="769">
        <f t="shared" si="4"/>
        <v>1</v>
      </c>
      <c r="AC13" s="769">
        <f t="shared" si="5"/>
        <v>1</v>
      </c>
    </row>
    <row r="14" spans="1:29" ht="128.25">
      <c r="A14" s="400" t="s">
        <v>2553</v>
      </c>
      <c r="B14" s="62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8" t="s">
        <v>2554</v>
      </c>
      <c r="Q14" s="1807" t="str">
        <f t="shared" si="6"/>
        <v>交通便捷度</v>
      </c>
      <c r="R14" s="770" t="s">
        <v>17</v>
      </c>
      <c r="S14" s="771">
        <f t="shared" si="0"/>
        <v>100</v>
      </c>
      <c r="T14" s="770" t="s">
        <v>17</v>
      </c>
      <c r="U14" s="771">
        <f t="shared" si="1"/>
        <v>100</v>
      </c>
      <c r="V14" s="770" t="s">
        <v>17</v>
      </c>
      <c r="W14" s="771">
        <f t="shared" si="2"/>
        <v>100</v>
      </c>
      <c r="X14" s="1810"/>
      <c r="Y14" s="3208" t="s">
        <v>2554</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9"/>
      <c r="M15" s="1130"/>
      <c r="N15" s="1130"/>
      <c r="O15" s="1130"/>
      <c r="P15" s="3209"/>
      <c r="Q15" s="1807"/>
      <c r="R15" s="770"/>
      <c r="S15" s="771"/>
      <c r="T15" s="770"/>
      <c r="U15" s="771"/>
      <c r="V15" s="770"/>
      <c r="W15" s="771"/>
      <c r="X15" s="1810"/>
      <c r="Y15" s="3209"/>
      <c r="Z15" s="1811"/>
      <c r="AA15" s="1808">
        <v>1</v>
      </c>
      <c r="AB15" s="1808">
        <v>1</v>
      </c>
      <c r="AC15" s="1808">
        <v>1</v>
      </c>
    </row>
    <row r="16" spans="1:29" ht="156.75">
      <c r="A16" s="403"/>
      <c r="B16" s="63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9"/>
      <c r="Q16" s="1807" t="str">
        <f>B16</f>
        <v>公共配套设施</v>
      </c>
      <c r="R16" s="770" t="s">
        <v>17</v>
      </c>
      <c r="S16" s="771">
        <f>F16</f>
        <v>100</v>
      </c>
      <c r="T16" s="770" t="s">
        <v>17</v>
      </c>
      <c r="U16" s="771">
        <f>H16</f>
        <v>100</v>
      </c>
      <c r="V16" s="770" t="s">
        <v>17</v>
      </c>
      <c r="W16" s="771">
        <f>J16</f>
        <v>100</v>
      </c>
      <c r="X16" s="1810"/>
      <c r="Y16" s="3209"/>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9"/>
      <c r="M17" s="1130"/>
      <c r="N17" s="1130"/>
      <c r="O17" s="1130"/>
      <c r="P17" s="3209"/>
      <c r="Q17" s="1807"/>
      <c r="R17" s="770"/>
      <c r="S17" s="771"/>
      <c r="T17" s="770"/>
      <c r="U17" s="771"/>
      <c r="V17" s="770"/>
      <c r="W17" s="771"/>
      <c r="X17" s="1810"/>
      <c r="Y17" s="3209"/>
      <c r="Z17" s="1811"/>
      <c r="AA17" s="1808">
        <v>1</v>
      </c>
      <c r="AB17" s="1808">
        <v>1</v>
      </c>
      <c r="AC17" s="1808">
        <v>1</v>
      </c>
    </row>
    <row r="18" spans="1:29" ht="42.75">
      <c r="A18" s="403"/>
      <c r="B18" s="632" t="s">
        <v>2683</v>
      </c>
      <c r="C18" s="2601" t="str">
        <f>IF(B1="工业",估价对象房地状况!G6,估价对象房地状况!C8)</f>
        <v>估价对象所在区域基础设施水平达“六通”。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9"/>
      <c r="Q18" s="1807" t="str">
        <f>B18</f>
        <v>基础设施水平</v>
      </c>
      <c r="R18" s="770" t="s">
        <v>17</v>
      </c>
      <c r="S18" s="771">
        <f>F18</f>
        <v>100</v>
      </c>
      <c r="T18" s="770" t="s">
        <v>17</v>
      </c>
      <c r="U18" s="771">
        <f>H18</f>
        <v>100</v>
      </c>
      <c r="V18" s="770" t="s">
        <v>17</v>
      </c>
      <c r="W18" s="771">
        <f>J18</f>
        <v>100</v>
      </c>
      <c r="X18" s="1810"/>
      <c r="Y18" s="3209"/>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9"/>
      <c r="M19" s="1130"/>
      <c r="N19" s="1130"/>
      <c r="O19" s="1130"/>
      <c r="P19" s="3209"/>
      <c r="Q19" s="1807"/>
      <c r="R19" s="770"/>
      <c r="S19" s="771"/>
      <c r="T19" s="770"/>
      <c r="U19" s="771"/>
      <c r="V19" s="770"/>
      <c r="W19" s="771"/>
      <c r="X19" s="1810"/>
      <c r="Y19" s="3209"/>
      <c r="Z19" s="1811"/>
      <c r="AA19" s="1808">
        <v>1</v>
      </c>
      <c r="AB19" s="1808">
        <v>1</v>
      </c>
      <c r="AC19" s="1808">
        <v>1</v>
      </c>
    </row>
    <row r="20" spans="1:29" ht="128.25">
      <c r="A20" s="403"/>
      <c r="B20" s="63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9"/>
      <c r="Q20" s="1807" t="str">
        <f>B20</f>
        <v>自然及人文环境</v>
      </c>
      <c r="R20" s="770" t="s">
        <v>17</v>
      </c>
      <c r="S20" s="771">
        <f>F20</f>
        <v>100</v>
      </c>
      <c r="T20" s="770" t="s">
        <v>17</v>
      </c>
      <c r="U20" s="771">
        <f>H20</f>
        <v>100</v>
      </c>
      <c r="V20" s="770" t="s">
        <v>17</v>
      </c>
      <c r="W20" s="771">
        <f>J20</f>
        <v>100</v>
      </c>
      <c r="X20" s="1810"/>
      <c r="Y20" s="3209"/>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9"/>
      <c r="M21" s="1130"/>
      <c r="N21" s="1130"/>
      <c r="O21" s="1130"/>
      <c r="P21" s="3209"/>
      <c r="Q21" s="1807"/>
      <c r="R21" s="770"/>
      <c r="S21" s="771"/>
      <c r="T21" s="770"/>
      <c r="U21" s="771"/>
      <c r="V21" s="770"/>
      <c r="W21" s="771"/>
      <c r="X21" s="1810"/>
      <c r="Y21" s="3209"/>
      <c r="Z21" s="1811"/>
      <c r="AA21" s="1808">
        <v>1</v>
      </c>
      <c r="AB21" s="1808">
        <v>1</v>
      </c>
      <c r="AC21" s="1808">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9"/>
      <c r="Q22" s="1807" t="str">
        <f>B22</f>
        <v>楼层</v>
      </c>
      <c r="R22" s="770" t="s">
        <v>17</v>
      </c>
      <c r="S22" s="771">
        <f>F22</f>
        <v>100</v>
      </c>
      <c r="T22" s="770" t="s">
        <v>17</v>
      </c>
      <c r="U22" s="771">
        <f>H22</f>
        <v>100</v>
      </c>
      <c r="V22" s="770" t="s">
        <v>17</v>
      </c>
      <c r="W22" s="771">
        <f>J22</f>
        <v>100</v>
      </c>
      <c r="X22" s="1810"/>
      <c r="Y22" s="3209"/>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9"/>
      <c r="Q23" s="1807">
        <f>B23</f>
        <v>111</v>
      </c>
      <c r="R23" s="770" t="s">
        <v>17</v>
      </c>
      <c r="S23" s="771">
        <f>F23</f>
        <v>100</v>
      </c>
      <c r="T23" s="770" t="s">
        <v>17</v>
      </c>
      <c r="U23" s="771">
        <f>H23</f>
        <v>100</v>
      </c>
      <c r="V23" s="770" t="s">
        <v>17</v>
      </c>
      <c r="W23" s="771">
        <f>J23</f>
        <v>100</v>
      </c>
      <c r="X23" s="1810"/>
      <c r="Y23" s="3209"/>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9"/>
      <c r="Q24" s="1807">
        <f t="shared" ref="Q24:Q36" si="11">B24</f>
        <v>111</v>
      </c>
      <c r="R24" s="770" t="s">
        <v>17</v>
      </c>
      <c r="S24" s="771">
        <f>F24</f>
        <v>100</v>
      </c>
      <c r="T24" s="770" t="s">
        <v>17</v>
      </c>
      <c r="U24" s="771">
        <f>H24</f>
        <v>100</v>
      </c>
      <c r="V24" s="770" t="s">
        <v>17</v>
      </c>
      <c r="W24" s="771">
        <f>J24</f>
        <v>100</v>
      </c>
      <c r="X24" s="1810"/>
      <c r="Y24" s="3209"/>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9"/>
      <c r="Q25" s="1792">
        <f t="shared" si="11"/>
        <v>111</v>
      </c>
      <c r="R25" s="766" t="s">
        <v>17</v>
      </c>
      <c r="S25" s="767">
        <f>F25</f>
        <v>100</v>
      </c>
      <c r="T25" s="766" t="s">
        <v>17</v>
      </c>
      <c r="U25" s="767">
        <f>H25</f>
        <v>100</v>
      </c>
      <c r="V25" s="766" t="s">
        <v>17</v>
      </c>
      <c r="W25" s="767">
        <f>J25</f>
        <v>100</v>
      </c>
      <c r="X25" s="768"/>
      <c r="Y25" s="3209"/>
      <c r="Z25" s="54">
        <f>Q25</f>
        <v>111</v>
      </c>
      <c r="AA25" s="1808">
        <f>D25/F25</f>
        <v>1</v>
      </c>
      <c r="AB25" s="1808">
        <f>D25/H25</f>
        <v>1</v>
      </c>
      <c r="AC25" s="1808">
        <f>D25/J25</f>
        <v>1</v>
      </c>
    </row>
    <row r="26" spans="1:29" ht="15">
      <c r="A26" s="651" t="s">
        <v>2557</v>
      </c>
      <c r="B26" s="69" t="s">
        <v>2706</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6" t="s">
        <v>2559</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13" t="s">
        <v>2559</v>
      </c>
      <c r="Z26" s="1811" t="str">
        <f t="shared" ref="Z26:Z36" si="15">Q26</f>
        <v>配套类型</v>
      </c>
      <c r="AA26" s="1808">
        <f t="shared" si="3"/>
        <v>1</v>
      </c>
      <c r="AB26" s="1808">
        <f t="shared" si="4"/>
        <v>1</v>
      </c>
      <c r="AC26" s="1808">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3"/>
      <c r="Q27" s="772" t="str">
        <f t="shared" si="11"/>
        <v>项目停车位配比</v>
      </c>
      <c r="R27" s="773" t="s">
        <v>17</v>
      </c>
      <c r="S27" s="774">
        <f t="shared" si="12"/>
        <v>100</v>
      </c>
      <c r="T27" s="773" t="s">
        <v>17</v>
      </c>
      <c r="U27" s="774">
        <f t="shared" si="13"/>
        <v>100</v>
      </c>
      <c r="V27" s="773" t="s">
        <v>17</v>
      </c>
      <c r="W27" s="774">
        <f t="shared" si="14"/>
        <v>100</v>
      </c>
      <c r="X27" s="775"/>
      <c r="Y27" s="3213"/>
      <c r="Z27" s="776" t="str">
        <f t="shared" si="15"/>
        <v>项目停车位配比</v>
      </c>
      <c r="AA27" s="1808">
        <f t="shared" si="3"/>
        <v>1</v>
      </c>
      <c r="AB27" s="1808">
        <f t="shared" si="4"/>
        <v>1</v>
      </c>
      <c r="AC27" s="1808">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3"/>
      <c r="Q28" s="1807" t="str">
        <f t="shared" si="11"/>
        <v>公共部分装修</v>
      </c>
      <c r="R28" s="770" t="s">
        <v>17</v>
      </c>
      <c r="S28" s="771">
        <f t="shared" si="12"/>
        <v>100</v>
      </c>
      <c r="T28" s="770" t="s">
        <v>17</v>
      </c>
      <c r="U28" s="771">
        <f t="shared" si="13"/>
        <v>100</v>
      </c>
      <c r="V28" s="770" t="s">
        <v>17</v>
      </c>
      <c r="W28" s="771">
        <f t="shared" si="14"/>
        <v>100</v>
      </c>
      <c r="X28" s="1810"/>
      <c r="Y28" s="3213"/>
      <c r="Z28" s="1811" t="str">
        <f t="shared" si="15"/>
        <v>公共部分装修</v>
      </c>
      <c r="AA28" s="1808">
        <f t="shared" si="3"/>
        <v>1</v>
      </c>
      <c r="AB28" s="1808">
        <f t="shared" si="4"/>
        <v>1</v>
      </c>
      <c r="AC28" s="1808">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3"/>
      <c r="Q29" s="1807" t="str">
        <f t="shared" si="11"/>
        <v>成新率</v>
      </c>
      <c r="R29" s="770" t="s">
        <v>17</v>
      </c>
      <c r="S29" s="771" t="e">
        <f t="shared" si="12"/>
        <v>#N/A</v>
      </c>
      <c r="T29" s="770" t="s">
        <v>17</v>
      </c>
      <c r="U29" s="771" t="e">
        <f t="shared" si="13"/>
        <v>#N/A</v>
      </c>
      <c r="V29" s="770" t="s">
        <v>17</v>
      </c>
      <c r="W29" s="771" t="e">
        <f t="shared" si="14"/>
        <v>#N/A</v>
      </c>
      <c r="X29" s="1810"/>
      <c r="Y29" s="3213"/>
      <c r="Z29" s="1811" t="str">
        <f t="shared" si="15"/>
        <v>成新率</v>
      </c>
      <c r="AA29" s="1808" t="e">
        <f t="shared" si="3"/>
        <v>#N/A</v>
      </c>
      <c r="AB29" s="1808" t="e">
        <f t="shared" si="4"/>
        <v>#N/A</v>
      </c>
      <c r="AC29" s="1808"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3"/>
      <c r="Q30" s="1807" t="str">
        <f t="shared" si="11"/>
        <v>物业等级</v>
      </c>
      <c r="R30" s="770" t="s">
        <v>17</v>
      </c>
      <c r="S30" s="771">
        <f t="shared" si="12"/>
        <v>100</v>
      </c>
      <c r="T30" s="770" t="s">
        <v>17</v>
      </c>
      <c r="U30" s="771">
        <f t="shared" si="13"/>
        <v>100</v>
      </c>
      <c r="V30" s="770" t="s">
        <v>17</v>
      </c>
      <c r="W30" s="771">
        <f t="shared" si="14"/>
        <v>100</v>
      </c>
      <c r="X30" s="1810"/>
      <c r="Y30" s="3213"/>
      <c r="Z30" s="1811" t="str">
        <f t="shared" si="15"/>
        <v>物业等级</v>
      </c>
      <c r="AA30" s="1808">
        <f t="shared" si="3"/>
        <v>1</v>
      </c>
      <c r="AB30" s="1808">
        <f t="shared" si="4"/>
        <v>1</v>
      </c>
      <c r="AC30" s="1808">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3"/>
      <c r="Q31" s="1792" t="str">
        <f t="shared" si="11"/>
        <v>停车位面积</v>
      </c>
      <c r="R31" s="766" t="s">
        <v>17</v>
      </c>
      <c r="S31" s="767" t="e">
        <f t="shared" si="12"/>
        <v>#N/A</v>
      </c>
      <c r="T31" s="766" t="s">
        <v>17</v>
      </c>
      <c r="U31" s="767" t="e">
        <f t="shared" si="13"/>
        <v>#N/A</v>
      </c>
      <c r="V31" s="766" t="s">
        <v>17</v>
      </c>
      <c r="W31" s="767" t="e">
        <f t="shared" si="14"/>
        <v>#N/A</v>
      </c>
      <c r="X31" s="768"/>
      <c r="Y31" s="3213"/>
      <c r="Z31" s="54" t="str">
        <f t="shared" si="15"/>
        <v>停车位面积</v>
      </c>
      <c r="AA31" s="769" t="e">
        <f t="shared" si="3"/>
        <v>#N/A</v>
      </c>
      <c r="AB31" s="769" t="e">
        <f t="shared" si="4"/>
        <v>#N/A</v>
      </c>
      <c r="AC31" s="769"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3" t="s">
        <v>2559</v>
      </c>
      <c r="Q32" s="1807" t="str">
        <f t="shared" si="11"/>
        <v>车位类型</v>
      </c>
      <c r="R32" s="770" t="s">
        <v>17</v>
      </c>
      <c r="S32" s="771">
        <f t="shared" si="12"/>
        <v>100</v>
      </c>
      <c r="T32" s="770" t="s">
        <v>17</v>
      </c>
      <c r="U32" s="771">
        <f t="shared" si="13"/>
        <v>100</v>
      </c>
      <c r="V32" s="770" t="s">
        <v>17</v>
      </c>
      <c r="W32" s="771">
        <f t="shared" si="14"/>
        <v>100</v>
      </c>
      <c r="X32" s="1810"/>
      <c r="Y32" s="3213" t="s">
        <v>2559</v>
      </c>
      <c r="Z32" s="1811" t="str">
        <f t="shared" si="15"/>
        <v>车位类型</v>
      </c>
      <c r="AA32" s="1808">
        <f t="shared" si="3"/>
        <v>1</v>
      </c>
      <c r="AB32" s="1808">
        <f t="shared" si="4"/>
        <v>1</v>
      </c>
      <c r="AC32" s="1808">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3"/>
      <c r="Q33" s="1807" t="str">
        <f t="shared" si="11"/>
        <v>是否直接入户</v>
      </c>
      <c r="R33" s="770" t="s">
        <v>17</v>
      </c>
      <c r="S33" s="771">
        <f t="shared" si="12"/>
        <v>100</v>
      </c>
      <c r="T33" s="770" t="s">
        <v>17</v>
      </c>
      <c r="U33" s="771">
        <f t="shared" si="13"/>
        <v>100</v>
      </c>
      <c r="V33" s="770" t="s">
        <v>17</v>
      </c>
      <c r="W33" s="771">
        <f t="shared" si="14"/>
        <v>100</v>
      </c>
      <c r="X33" s="1810"/>
      <c r="Y33" s="3213"/>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3"/>
      <c r="Q34" s="1807">
        <f t="shared" si="11"/>
        <v>111</v>
      </c>
      <c r="R34" s="770" t="s">
        <v>17</v>
      </c>
      <c r="S34" s="771">
        <f t="shared" si="12"/>
        <v>100</v>
      </c>
      <c r="T34" s="770" t="s">
        <v>17</v>
      </c>
      <c r="U34" s="771">
        <f t="shared" si="13"/>
        <v>100</v>
      </c>
      <c r="V34" s="770" t="s">
        <v>17</v>
      </c>
      <c r="W34" s="771">
        <f t="shared" si="14"/>
        <v>100</v>
      </c>
      <c r="X34" s="1810"/>
      <c r="Y34" s="3213"/>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3"/>
      <c r="Q35" s="772">
        <f t="shared" si="11"/>
        <v>111</v>
      </c>
      <c r="R35" s="773" t="s">
        <v>17</v>
      </c>
      <c r="S35" s="774">
        <f t="shared" si="12"/>
        <v>100</v>
      </c>
      <c r="T35" s="773" t="s">
        <v>17</v>
      </c>
      <c r="U35" s="774">
        <f t="shared" si="13"/>
        <v>100</v>
      </c>
      <c r="V35" s="773" t="s">
        <v>17</v>
      </c>
      <c r="W35" s="774">
        <f t="shared" si="14"/>
        <v>100</v>
      </c>
      <c r="X35" s="775"/>
      <c r="Y35" s="3213"/>
      <c r="Z35" s="776">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3"/>
      <c r="Q36" s="1807">
        <f t="shared" si="11"/>
        <v>111</v>
      </c>
      <c r="R36" s="770" t="s">
        <v>17</v>
      </c>
      <c r="S36" s="771">
        <f t="shared" si="12"/>
        <v>100</v>
      </c>
      <c r="T36" s="770" t="s">
        <v>17</v>
      </c>
      <c r="U36" s="771">
        <f t="shared" si="13"/>
        <v>100</v>
      </c>
      <c r="V36" s="770" t="s">
        <v>17</v>
      </c>
      <c r="W36" s="771">
        <f t="shared" si="14"/>
        <v>100</v>
      </c>
      <c r="X36" s="1810"/>
      <c r="Y36" s="3213"/>
      <c r="Z36" s="1811">
        <f t="shared" si="15"/>
        <v>111</v>
      </c>
      <c r="AA36" s="1808">
        <f t="shared" si="3"/>
        <v>1</v>
      </c>
      <c r="AB36" s="1808">
        <f t="shared" si="4"/>
        <v>1</v>
      </c>
      <c r="AC36" s="1808">
        <f t="shared" si="5"/>
        <v>1</v>
      </c>
    </row>
    <row r="37" spans="1:29" ht="15">
      <c r="A37" s="478" t="s">
        <v>2714</v>
      </c>
      <c r="B37" s="2689" t="s">
        <v>2715</v>
      </c>
      <c r="C37" s="1404" t="s">
        <v>1</v>
      </c>
      <c r="D37" s="1405"/>
      <c r="E37" s="1406"/>
      <c r="F37" s="1407"/>
      <c r="G37" s="1408"/>
      <c r="H37" s="1409"/>
      <c r="I37" s="1406"/>
      <c r="J37" s="1409"/>
      <c r="K37" s="618"/>
      <c r="L37" s="1142"/>
      <c r="M37" s="1143"/>
      <c r="N37" s="1130"/>
      <c r="O37" s="1143"/>
      <c r="P37" s="3206" t="str">
        <f>A37</f>
        <v>成交单价</v>
      </c>
      <c r="Q37" s="3206"/>
      <c r="R37" s="3207">
        <f>E37</f>
        <v>0</v>
      </c>
      <c r="S37" s="3207"/>
      <c r="T37" s="3207">
        <f>G37</f>
        <v>0</v>
      </c>
      <c r="U37" s="3207"/>
      <c r="V37" s="3207">
        <f>I37</f>
        <v>0</v>
      </c>
      <c r="W37" s="3207"/>
      <c r="X37" s="755"/>
      <c r="Y37" s="777"/>
      <c r="Z37" s="755"/>
      <c r="AA37" s="755"/>
      <c r="AB37" s="755"/>
      <c r="AC37" s="755"/>
    </row>
    <row r="38" spans="1:29" ht="15.75" thickBot="1">
      <c r="A38" s="485" t="s">
        <v>2716</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5"/>
      <c r="Y38" s="755"/>
      <c r="Z38" s="755"/>
      <c r="AA38" s="755"/>
      <c r="AB38" s="755"/>
      <c r="AC38" s="755"/>
    </row>
    <row r="39" spans="1:29" ht="15.75" thickBot="1">
      <c r="A39" s="491" t="s">
        <v>2717</v>
      </c>
      <c r="B39" s="492"/>
      <c r="C39" s="1414" t="e">
        <f>R39</f>
        <v>#DIV/0!</v>
      </c>
      <c r="D39" s="1414"/>
      <c r="E39" s="1414"/>
      <c r="F39" s="1414"/>
      <c r="G39" s="1414"/>
      <c r="H39" s="1414"/>
      <c r="I39" s="1414"/>
      <c r="J39" s="1414"/>
      <c r="K39" s="620"/>
      <c r="L39" s="1142"/>
      <c r="M39" s="1143"/>
      <c r="N39" s="1143"/>
      <c r="O39" s="1143"/>
      <c r="P39" s="3203" t="str">
        <f>A39</f>
        <v>估价对象XX用房的比较价值（楼面单价，元/平方米）</v>
      </c>
      <c r="Q39" s="3204"/>
      <c r="R39" s="3205" t="e">
        <f>IF(F1="售价",ROUND(AVERAGE(R38:V38),0),ROUND(AVERAGE(R38:V38),1))</f>
        <v>#DIV/0!</v>
      </c>
      <c r="S39" s="3205"/>
      <c r="T39" s="3205"/>
      <c r="U39" s="3205"/>
      <c r="V39" s="3205"/>
      <c r="W39" s="3205"/>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2721</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2722</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2579</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2544</v>
      </c>
      <c r="B51" s="509"/>
      <c r="C51" s="521" t="s">
        <v>2646</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2582</v>
      </c>
      <c r="B53" s="527" t="s">
        <v>2548</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2557</v>
      </c>
      <c r="B79" s="527" t="s">
        <v>2724</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2610</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2729</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IF(C2="——",ROUND(C37*D3/10000,0),ROUND(C37*D3/10000,0)-D2)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1" t="s">
        <v>2640</v>
      </c>
      <c r="D4" s="3222"/>
      <c r="E4" s="3223" t="s">
        <v>2641</v>
      </c>
      <c r="F4" s="3224"/>
      <c r="G4" s="3221" t="s">
        <v>2642</v>
      </c>
      <c r="H4" s="3222"/>
      <c r="I4" s="3221" t="s">
        <v>2643</v>
      </c>
      <c r="J4" s="3222"/>
      <c r="K4" s="609" t="s">
        <v>2644</v>
      </c>
      <c r="L4" s="1129"/>
      <c r="M4" s="1130"/>
      <c r="N4" s="1130"/>
      <c r="O4" s="1130"/>
      <c r="P4" s="3225" t="s">
        <v>2645</v>
      </c>
      <c r="Q4" s="3226"/>
      <c r="R4" s="3231" t="s">
        <v>2641</v>
      </c>
      <c r="S4" s="3232"/>
      <c r="T4" s="3231" t="s">
        <v>2642</v>
      </c>
      <c r="U4" s="3232"/>
      <c r="V4" s="3237" t="s">
        <v>2643</v>
      </c>
      <c r="W4" s="3237"/>
      <c r="X4" s="1810"/>
      <c r="Y4" s="3231" t="s">
        <v>2645</v>
      </c>
      <c r="Z4" s="3232"/>
      <c r="AA4" s="3218" t="s">
        <v>2641</v>
      </c>
      <c r="AB4" s="3219" t="s">
        <v>2642</v>
      </c>
      <c r="AC4" s="3218" t="s">
        <v>2643</v>
      </c>
    </row>
    <row r="5" spans="1:29" ht="15">
      <c r="A5" s="403"/>
      <c r="B5" s="404"/>
      <c r="C5" s="3240" t="s">
        <v>2536</v>
      </c>
      <c r="D5" s="3241"/>
      <c r="E5" s="3247" t="s">
        <v>2537</v>
      </c>
      <c r="F5" s="3248"/>
      <c r="G5" s="3240" t="s">
        <v>2538</v>
      </c>
      <c r="H5" s="3241"/>
      <c r="I5" s="3240" t="s">
        <v>2539</v>
      </c>
      <c r="J5" s="3241"/>
      <c r="K5" s="609"/>
      <c r="L5" s="1129"/>
      <c r="M5" s="1130"/>
      <c r="N5" s="1130"/>
      <c r="O5" s="1130"/>
      <c r="P5" s="3227"/>
      <c r="Q5" s="3228"/>
      <c r="R5" s="3233"/>
      <c r="S5" s="3234"/>
      <c r="T5" s="3233"/>
      <c r="U5" s="3234"/>
      <c r="V5" s="3237"/>
      <c r="W5" s="3237"/>
      <c r="X5" s="1810"/>
      <c r="Y5" s="3233"/>
      <c r="Z5" s="3234"/>
      <c r="AA5" s="3219"/>
      <c r="AB5" s="3219"/>
      <c r="AC5" s="3219"/>
    </row>
    <row r="6" spans="1:29" ht="15.75" thickBot="1">
      <c r="A6" s="405"/>
      <c r="B6" s="406"/>
      <c r="C6" s="3238" t="s">
        <v>2540</v>
      </c>
      <c r="D6" s="3239"/>
      <c r="E6" s="3245" t="s">
        <v>2540</v>
      </c>
      <c r="F6" s="3246"/>
      <c r="G6" s="3238" t="s">
        <v>2540</v>
      </c>
      <c r="H6" s="3239"/>
      <c r="I6" s="3238" t="s">
        <v>2540</v>
      </c>
      <c r="J6" s="3239"/>
      <c r="K6" s="609" t="s">
        <v>2541</v>
      </c>
      <c r="L6" s="1129"/>
      <c r="M6" s="1130"/>
      <c r="N6" s="1130"/>
      <c r="O6" s="1130"/>
      <c r="P6" s="3229"/>
      <c r="Q6" s="3230"/>
      <c r="R6" s="3233"/>
      <c r="S6" s="3234"/>
      <c r="T6" s="3235"/>
      <c r="U6" s="3236"/>
      <c r="V6" s="3237"/>
      <c r="W6" s="3237"/>
      <c r="X6" s="1810"/>
      <c r="Y6" s="3235"/>
      <c r="Z6" s="3236"/>
      <c r="AA6" s="3220"/>
      <c r="AB6" s="3220"/>
      <c r="AC6" s="3220"/>
    </row>
    <row r="7" spans="1:29" s="116" customFormat="1" ht="15.75" thickBot="1">
      <c r="A7" s="407" t="s">
        <v>2542</v>
      </c>
      <c r="B7" s="408"/>
      <c r="C7" s="409">
        <f>'数据-取费表'!B2</f>
        <v>43276</v>
      </c>
      <c r="D7" s="410">
        <v>100</v>
      </c>
      <c r="E7" s="411"/>
      <c r="F7" s="412">
        <f>SUMIF(46:46,YEAR(E7)&amp;"-"&amp;MONTH(E7),47:47)</f>
        <v>0</v>
      </c>
      <c r="G7" s="2690"/>
      <c r="H7" s="410">
        <f>SUMIF(46:46,YEAR(G7)&amp;"-"&amp;MONTH(G7),47:47)</f>
        <v>0</v>
      </c>
      <c r="I7" s="411"/>
      <c r="J7" s="410">
        <f>SUMIF(46:46,YEAR(I7)&amp;"-"&amp;MONTH(I7),47:47)</f>
        <v>0</v>
      </c>
      <c r="K7" s="610"/>
      <c r="L7" s="1131"/>
      <c r="M7" s="1132"/>
      <c r="N7" s="1132"/>
      <c r="O7" s="1132"/>
      <c r="P7" s="3242" t="s">
        <v>2543</v>
      </c>
      <c r="Q7" s="3244"/>
      <c r="R7" s="766" t="s">
        <v>17</v>
      </c>
      <c r="S7" s="767">
        <f t="shared" ref="S7:S14" si="0">F7</f>
        <v>0</v>
      </c>
      <c r="T7" s="766" t="s">
        <v>17</v>
      </c>
      <c r="U7" s="767">
        <f t="shared" ref="U7:U14" si="1">H7</f>
        <v>0</v>
      </c>
      <c r="V7" s="766" t="s">
        <v>17</v>
      </c>
      <c r="W7" s="767">
        <f t="shared" ref="W7:W14" si="2">J7</f>
        <v>0</v>
      </c>
      <c r="X7" s="768"/>
      <c r="Y7" s="3242" t="s">
        <v>2543</v>
      </c>
      <c r="Z7" s="3243"/>
      <c r="AA7" s="769" t="e">
        <f>D7/F7</f>
        <v>#DIV/0!</v>
      </c>
      <c r="AB7" s="769" t="e">
        <f>D7/H7</f>
        <v>#DIV/0!</v>
      </c>
      <c r="AC7" s="769"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2" t="s">
        <v>2546</v>
      </c>
      <c r="Q8" s="3243"/>
      <c r="R8" s="766" t="s">
        <v>17</v>
      </c>
      <c r="S8" s="767">
        <f t="shared" si="0"/>
        <v>0</v>
      </c>
      <c r="T8" s="766" t="s">
        <v>17</v>
      </c>
      <c r="U8" s="767">
        <f t="shared" si="1"/>
        <v>0</v>
      </c>
      <c r="V8" s="766" t="s">
        <v>17</v>
      </c>
      <c r="W8" s="767">
        <f t="shared" si="2"/>
        <v>0</v>
      </c>
      <c r="X8" s="768"/>
      <c r="Y8" s="3242" t="s">
        <v>2546</v>
      </c>
      <c r="Z8" s="3243"/>
      <c r="AA8" s="769" t="e">
        <f t="shared" ref="AA8:AA34" si="3">D8/F8</f>
        <v>#DIV/0!</v>
      </c>
      <c r="AB8" s="769" t="e">
        <f t="shared" ref="AB8:AB34" si="4">D8/H8</f>
        <v>#DIV/0!</v>
      </c>
      <c r="AC8" s="769"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6" t="s">
        <v>2549</v>
      </c>
      <c r="Q9" s="1792" t="str">
        <f t="shared" ref="Q9:Q14" si="6">B9</f>
        <v>用途</v>
      </c>
      <c r="R9" s="766" t="s">
        <v>17</v>
      </c>
      <c r="S9" s="767">
        <f t="shared" si="0"/>
        <v>100</v>
      </c>
      <c r="T9" s="766" t="s">
        <v>17</v>
      </c>
      <c r="U9" s="767">
        <f t="shared" si="1"/>
        <v>100</v>
      </c>
      <c r="V9" s="766" t="s">
        <v>17</v>
      </c>
      <c r="W9" s="767">
        <f t="shared" si="2"/>
        <v>100</v>
      </c>
      <c r="X9" s="768"/>
      <c r="Y9" s="3031" t="s">
        <v>2550</v>
      </c>
      <c r="Z9" s="54" t="str">
        <f t="shared" ref="Z9:Z14" si="7">Q9</f>
        <v>用途</v>
      </c>
      <c r="AA9" s="769">
        <f t="shared" si="3"/>
        <v>1</v>
      </c>
      <c r="AB9" s="769">
        <f t="shared" si="4"/>
        <v>1</v>
      </c>
      <c r="AC9" s="769">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6"/>
      <c r="Q10" s="1792" t="str">
        <f t="shared" si="6"/>
        <v>土地使用年限（年）</v>
      </c>
      <c r="R10" s="766" t="s">
        <v>17</v>
      </c>
      <c r="S10" s="767">
        <f t="shared" si="0"/>
        <v>100</v>
      </c>
      <c r="T10" s="766" t="s">
        <v>17</v>
      </c>
      <c r="U10" s="767">
        <f t="shared" si="1"/>
        <v>100</v>
      </c>
      <c r="V10" s="766" t="s">
        <v>17</v>
      </c>
      <c r="W10" s="767">
        <f t="shared" si="2"/>
        <v>100</v>
      </c>
      <c r="X10" s="768"/>
      <c r="Y10" s="3031"/>
      <c r="Z10" s="54" t="str">
        <f t="shared" si="7"/>
        <v>土地使用年限（年）</v>
      </c>
      <c r="AA10" s="769">
        <f t="shared" si="3"/>
        <v>1</v>
      </c>
      <c r="AB10" s="769">
        <f t="shared" si="4"/>
        <v>1</v>
      </c>
      <c r="AC10" s="769">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6"/>
      <c r="Q11" s="1792">
        <f t="shared" si="6"/>
        <v>111</v>
      </c>
      <c r="R11" s="766" t="s">
        <v>17</v>
      </c>
      <c r="S11" s="767">
        <f t="shared" si="0"/>
        <v>100</v>
      </c>
      <c r="T11" s="766" t="s">
        <v>17</v>
      </c>
      <c r="U11" s="767">
        <f t="shared" si="1"/>
        <v>100</v>
      </c>
      <c r="V11" s="766" t="s">
        <v>17</v>
      </c>
      <c r="W11" s="767">
        <f t="shared" si="2"/>
        <v>100</v>
      </c>
      <c r="X11" s="768"/>
      <c r="Y11" s="3031"/>
      <c r="Z11" s="54">
        <f t="shared" si="7"/>
        <v>111</v>
      </c>
      <c r="AA11" s="769">
        <f t="shared" si="3"/>
        <v>1</v>
      </c>
      <c r="AB11" s="769">
        <f t="shared" si="4"/>
        <v>1</v>
      </c>
      <c r="AC11" s="769">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6"/>
      <c r="Q12" s="1792">
        <f t="shared" si="6"/>
        <v>111</v>
      </c>
      <c r="R12" s="766" t="s">
        <v>17</v>
      </c>
      <c r="S12" s="767">
        <f t="shared" si="0"/>
        <v>100</v>
      </c>
      <c r="T12" s="766" t="s">
        <v>17</v>
      </c>
      <c r="U12" s="767">
        <f t="shared" si="1"/>
        <v>100</v>
      </c>
      <c r="V12" s="766" t="s">
        <v>17</v>
      </c>
      <c r="W12" s="767">
        <f t="shared" si="2"/>
        <v>100</v>
      </c>
      <c r="X12" s="768"/>
      <c r="Y12" s="3031"/>
      <c r="Z12" s="54">
        <f t="shared" si="7"/>
        <v>111</v>
      </c>
      <c r="AA12" s="769">
        <f>D12/F12</f>
        <v>1</v>
      </c>
      <c r="AB12" s="769">
        <f>D12/H12</f>
        <v>1</v>
      </c>
      <c r="AC12" s="769">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9"/>
      <c r="M13" s="1130"/>
      <c r="N13" s="1130"/>
      <c r="O13" s="1138"/>
      <c r="P13" s="3206"/>
      <c r="Q13" s="1792">
        <f t="shared" si="6"/>
        <v>111</v>
      </c>
      <c r="R13" s="766" t="s">
        <v>17</v>
      </c>
      <c r="S13" s="767">
        <f t="shared" si="0"/>
        <v>100</v>
      </c>
      <c r="T13" s="766" t="s">
        <v>17</v>
      </c>
      <c r="U13" s="767">
        <f t="shared" si="1"/>
        <v>100</v>
      </c>
      <c r="V13" s="766" t="s">
        <v>17</v>
      </c>
      <c r="W13" s="767">
        <f t="shared" si="2"/>
        <v>100</v>
      </c>
      <c r="X13" s="768"/>
      <c r="Y13" s="3031"/>
      <c r="Z13" s="54">
        <f t="shared" si="7"/>
        <v>111</v>
      </c>
      <c r="AA13" s="769">
        <f t="shared" si="3"/>
        <v>1</v>
      </c>
      <c r="AB13" s="769">
        <f t="shared" si="4"/>
        <v>1</v>
      </c>
      <c r="AC13" s="769">
        <f t="shared" si="5"/>
        <v>1</v>
      </c>
    </row>
    <row r="14" spans="1:29" ht="128.25">
      <c r="A14" s="439" t="s">
        <v>2553</v>
      </c>
      <c r="B14" s="6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8" t="s">
        <v>2554</v>
      </c>
      <c r="Q14" s="1807" t="str">
        <f t="shared" si="6"/>
        <v>交通便捷度</v>
      </c>
      <c r="R14" s="770" t="s">
        <v>17</v>
      </c>
      <c r="S14" s="771">
        <f t="shared" si="0"/>
        <v>100</v>
      </c>
      <c r="T14" s="770" t="s">
        <v>17</v>
      </c>
      <c r="U14" s="771">
        <f t="shared" si="1"/>
        <v>100</v>
      </c>
      <c r="V14" s="770" t="s">
        <v>17</v>
      </c>
      <c r="W14" s="771">
        <f t="shared" si="2"/>
        <v>100</v>
      </c>
      <c r="X14" s="1810"/>
      <c r="Y14" s="3208" t="s">
        <v>2554</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09"/>
      <c r="Q15" s="1807"/>
      <c r="R15" s="770"/>
      <c r="S15" s="771"/>
      <c r="T15" s="770"/>
      <c r="U15" s="771"/>
      <c r="V15" s="770"/>
      <c r="W15" s="771"/>
      <c r="X15" s="1810"/>
      <c r="Y15" s="3209"/>
      <c r="Z15" s="1811"/>
      <c r="AA15" s="1808">
        <v>1</v>
      </c>
      <c r="AB15" s="1808">
        <v>1</v>
      </c>
      <c r="AC15" s="1808">
        <v>1</v>
      </c>
    </row>
    <row r="16" spans="1:29" ht="156.75">
      <c r="A16" s="427"/>
      <c r="B16" s="45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9"/>
      <c r="Q16" s="1807" t="str">
        <f>B16</f>
        <v>公共配套设施</v>
      </c>
      <c r="R16" s="770" t="s">
        <v>17</v>
      </c>
      <c r="S16" s="771">
        <f>F16</f>
        <v>100</v>
      </c>
      <c r="T16" s="770" t="s">
        <v>17</v>
      </c>
      <c r="U16" s="771">
        <f>H16</f>
        <v>100</v>
      </c>
      <c r="V16" s="770" t="s">
        <v>17</v>
      </c>
      <c r="W16" s="771">
        <f>J16</f>
        <v>100</v>
      </c>
      <c r="X16" s="1810"/>
      <c r="Y16" s="3209"/>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9"/>
      <c r="M17" s="1130"/>
      <c r="N17" s="1130"/>
      <c r="O17" s="1138"/>
      <c r="P17" s="3209"/>
      <c r="Q17" s="1807"/>
      <c r="R17" s="770"/>
      <c r="S17" s="771"/>
      <c r="T17" s="770"/>
      <c r="U17" s="771"/>
      <c r="V17" s="770"/>
      <c r="W17" s="771"/>
      <c r="X17" s="1810"/>
      <c r="Y17" s="3209"/>
      <c r="Z17" s="1811"/>
      <c r="AA17" s="1808">
        <v>1</v>
      </c>
      <c r="AB17" s="1808">
        <v>1</v>
      </c>
      <c r="AC17" s="1808">
        <v>1</v>
      </c>
    </row>
    <row r="18" spans="1:29" ht="42.75">
      <c r="A18" s="427"/>
      <c r="B18" s="1381" t="s">
        <v>2683</v>
      </c>
      <c r="C18" s="2601" t="str">
        <f>IF(B1="工业",估价对象房地状况!G6,估价对象房地状况!C8)</f>
        <v>估价对象所在区域基础设施水平达“六通”。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9"/>
      <c r="Q18" s="1807" t="str">
        <f>B18</f>
        <v>基础设施水平</v>
      </c>
      <c r="R18" s="770" t="s">
        <v>17</v>
      </c>
      <c r="S18" s="771">
        <f>F18</f>
        <v>100</v>
      </c>
      <c r="T18" s="770" t="s">
        <v>17</v>
      </c>
      <c r="U18" s="771">
        <f>H18</f>
        <v>100</v>
      </c>
      <c r="V18" s="770" t="s">
        <v>17</v>
      </c>
      <c r="W18" s="771">
        <f>J18</f>
        <v>100</v>
      </c>
      <c r="X18" s="1810"/>
      <c r="Y18" s="3209"/>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9"/>
      <c r="M19" s="1130"/>
      <c r="N19" s="1130"/>
      <c r="O19" s="1138"/>
      <c r="P19" s="3209"/>
      <c r="Q19" s="1807"/>
      <c r="R19" s="770"/>
      <c r="S19" s="771"/>
      <c r="T19" s="770"/>
      <c r="U19" s="771"/>
      <c r="V19" s="770"/>
      <c r="W19" s="771"/>
      <c r="X19" s="1810"/>
      <c r="Y19" s="3209"/>
      <c r="Z19" s="1811"/>
      <c r="AA19" s="1808">
        <v>1</v>
      </c>
      <c r="AB19" s="1808">
        <v>1</v>
      </c>
      <c r="AC19" s="1808">
        <v>1</v>
      </c>
    </row>
    <row r="20" spans="1:29" ht="128.25">
      <c r="A20" s="427"/>
      <c r="B20" s="45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9"/>
      <c r="Q20" s="1807" t="str">
        <f>B20</f>
        <v>自然及人文环境</v>
      </c>
      <c r="R20" s="770" t="s">
        <v>17</v>
      </c>
      <c r="S20" s="771">
        <f>F20</f>
        <v>100</v>
      </c>
      <c r="T20" s="770" t="s">
        <v>17</v>
      </c>
      <c r="U20" s="771">
        <f>H20</f>
        <v>100</v>
      </c>
      <c r="V20" s="770" t="s">
        <v>17</v>
      </c>
      <c r="W20" s="771">
        <f>J20</f>
        <v>100</v>
      </c>
      <c r="X20" s="1810"/>
      <c r="Y20" s="3209"/>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09"/>
      <c r="Q21" s="1807"/>
      <c r="R21" s="770"/>
      <c r="S21" s="771"/>
      <c r="T21" s="770"/>
      <c r="U21" s="771"/>
      <c r="V21" s="770"/>
      <c r="W21" s="771"/>
      <c r="X21" s="1810"/>
      <c r="Y21" s="3209"/>
      <c r="Z21" s="1811"/>
      <c r="AA21" s="1808">
        <v>1</v>
      </c>
      <c r="AB21" s="1808">
        <v>1</v>
      </c>
      <c r="AC21" s="1808">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9"/>
      <c r="Q22" s="1807" t="str">
        <f>B22</f>
        <v>楼层</v>
      </c>
      <c r="R22" s="770" t="s">
        <v>17</v>
      </c>
      <c r="S22" s="771">
        <f>F22</f>
        <v>100</v>
      </c>
      <c r="T22" s="770" t="s">
        <v>17</v>
      </c>
      <c r="U22" s="771">
        <f>H22</f>
        <v>100</v>
      </c>
      <c r="V22" s="770" t="s">
        <v>17</v>
      </c>
      <c r="W22" s="771">
        <f>J22</f>
        <v>100</v>
      </c>
      <c r="X22" s="1810"/>
      <c r="Y22" s="3209"/>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9"/>
      <c r="Q23" s="1807">
        <f>B23</f>
        <v>111</v>
      </c>
      <c r="R23" s="770" t="s">
        <v>17</v>
      </c>
      <c r="S23" s="771">
        <f>F23</f>
        <v>100</v>
      </c>
      <c r="T23" s="770" t="s">
        <v>17</v>
      </c>
      <c r="U23" s="771">
        <f>H23</f>
        <v>100</v>
      </c>
      <c r="V23" s="770" t="s">
        <v>17</v>
      </c>
      <c r="W23" s="771">
        <f>J23</f>
        <v>100</v>
      </c>
      <c r="X23" s="1810"/>
      <c r="Y23" s="3209"/>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9"/>
      <c r="Q24" s="1807">
        <f t="shared" ref="Q24:Q34" si="11">B24</f>
        <v>111</v>
      </c>
      <c r="R24" s="770" t="s">
        <v>17</v>
      </c>
      <c r="S24" s="771">
        <f>F24</f>
        <v>100</v>
      </c>
      <c r="T24" s="770" t="s">
        <v>17</v>
      </c>
      <c r="U24" s="771">
        <f>H24</f>
        <v>100</v>
      </c>
      <c r="V24" s="770" t="s">
        <v>17</v>
      </c>
      <c r="W24" s="771">
        <f>J24</f>
        <v>100</v>
      </c>
      <c r="X24" s="1810"/>
      <c r="Y24" s="3209"/>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1"/>
      <c r="M25" s="1132"/>
      <c r="N25" s="1132"/>
      <c r="O25" s="1133"/>
      <c r="P25" s="3209"/>
      <c r="Q25" s="1792">
        <f t="shared" si="11"/>
        <v>111</v>
      </c>
      <c r="R25" s="766" t="s">
        <v>17</v>
      </c>
      <c r="S25" s="767">
        <f>F25</f>
        <v>100</v>
      </c>
      <c r="T25" s="766" t="s">
        <v>17</v>
      </c>
      <c r="U25" s="767">
        <f>H25</f>
        <v>100</v>
      </c>
      <c r="V25" s="766" t="s">
        <v>17</v>
      </c>
      <c r="W25" s="767">
        <f>J25</f>
        <v>100</v>
      </c>
      <c r="X25" s="768"/>
      <c r="Y25" s="3209"/>
      <c r="Z25" s="54">
        <f>Q25</f>
        <v>111</v>
      </c>
      <c r="AA25" s="1808">
        <f>D25/F25</f>
        <v>1</v>
      </c>
      <c r="AB25" s="1808">
        <f>D25/H25</f>
        <v>1</v>
      </c>
      <c r="AC25" s="1808">
        <f>D25/J25</f>
        <v>1</v>
      </c>
    </row>
    <row r="26" spans="1:29" ht="15">
      <c r="A26" s="465" t="s">
        <v>2557</v>
      </c>
      <c r="B26" s="70" t="s">
        <v>2708</v>
      </c>
      <c r="C26" s="2673"/>
      <c r="D26" s="466">
        <v>100</v>
      </c>
      <c r="E26" s="2673"/>
      <c r="F26" s="666">
        <f>SUMIF(77:77,E26,78:78)-SUMIF(77:77,C26,78:78)+100</f>
        <v>100</v>
      </c>
      <c r="G26" s="2673"/>
      <c r="H26" s="466">
        <f>SUMIF(77:77,G26,78:78)-SUMIF(77:77,C26,78:78)+100</f>
        <v>100</v>
      </c>
      <c r="I26" s="2673"/>
      <c r="J26" s="466">
        <f>SUMIF(77:77,I26,78:78)-SUMIF(77:77,C26,78:78)+100</f>
        <v>100</v>
      </c>
      <c r="K26" s="611"/>
      <c r="L26" s="1139"/>
      <c r="M26" s="1130"/>
      <c r="N26" s="1130"/>
      <c r="O26" s="1138"/>
      <c r="P26" s="3266" t="s">
        <v>2559</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13" t="s">
        <v>2559</v>
      </c>
      <c r="Z26" s="1811" t="str">
        <f t="shared" ref="Z26:Z34" si="15">Q26</f>
        <v>公共部分装修</v>
      </c>
      <c r="AA26" s="1808">
        <f t="shared" si="3"/>
        <v>1</v>
      </c>
      <c r="AB26" s="1808">
        <f t="shared" si="4"/>
        <v>1</v>
      </c>
      <c r="AC26" s="1808">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3"/>
      <c r="Q27" s="772" t="str">
        <f t="shared" si="11"/>
        <v>成新率</v>
      </c>
      <c r="R27" s="773" t="s">
        <v>17</v>
      </c>
      <c r="S27" s="774" t="e">
        <f t="shared" si="12"/>
        <v>#N/A</v>
      </c>
      <c r="T27" s="773" t="s">
        <v>17</v>
      </c>
      <c r="U27" s="774" t="e">
        <f t="shared" si="13"/>
        <v>#N/A</v>
      </c>
      <c r="V27" s="773" t="s">
        <v>17</v>
      </c>
      <c r="W27" s="774" t="e">
        <f t="shared" si="14"/>
        <v>#N/A</v>
      </c>
      <c r="X27" s="775"/>
      <c r="Y27" s="3213"/>
      <c r="Z27" s="776" t="str">
        <f t="shared" si="15"/>
        <v>成新率</v>
      </c>
      <c r="AA27" s="1808" t="e">
        <f t="shared" si="3"/>
        <v>#N/A</v>
      </c>
      <c r="AB27" s="1808" t="e">
        <f t="shared" si="4"/>
        <v>#N/A</v>
      </c>
      <c r="AC27" s="1808"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3"/>
      <c r="Q28" s="1807" t="str">
        <f t="shared" si="11"/>
        <v>物业等级</v>
      </c>
      <c r="R28" s="770" t="s">
        <v>17</v>
      </c>
      <c r="S28" s="771">
        <f t="shared" si="12"/>
        <v>100</v>
      </c>
      <c r="T28" s="770" t="s">
        <v>17</v>
      </c>
      <c r="U28" s="771">
        <f t="shared" si="13"/>
        <v>100</v>
      </c>
      <c r="V28" s="770" t="s">
        <v>17</v>
      </c>
      <c r="W28" s="771">
        <f t="shared" si="14"/>
        <v>100</v>
      </c>
      <c r="X28" s="1810"/>
      <c r="Y28" s="3213"/>
      <c r="Z28" s="1811" t="str">
        <f t="shared" si="15"/>
        <v>物业等级</v>
      </c>
      <c r="AA28" s="1808">
        <f t="shared" si="3"/>
        <v>1</v>
      </c>
      <c r="AB28" s="1808">
        <f t="shared" si="4"/>
        <v>1</v>
      </c>
      <c r="AC28" s="1808">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3"/>
      <c r="Q29" s="1807" t="str">
        <f t="shared" si="11"/>
        <v>有无电梯</v>
      </c>
      <c r="R29" s="770" t="s">
        <v>17</v>
      </c>
      <c r="S29" s="771">
        <f t="shared" si="12"/>
        <v>100</v>
      </c>
      <c r="T29" s="770" t="s">
        <v>17</v>
      </c>
      <c r="U29" s="771">
        <f t="shared" si="13"/>
        <v>100</v>
      </c>
      <c r="V29" s="770" t="s">
        <v>17</v>
      </c>
      <c r="W29" s="771">
        <f t="shared" si="14"/>
        <v>100</v>
      </c>
      <c r="X29" s="1810"/>
      <c r="Y29" s="3213"/>
      <c r="Z29" s="1811" t="str">
        <f t="shared" si="15"/>
        <v>有无电梯</v>
      </c>
      <c r="AA29" s="1808">
        <f t="shared" si="3"/>
        <v>1</v>
      </c>
      <c r="AB29" s="1808">
        <f t="shared" si="4"/>
        <v>1</v>
      </c>
      <c r="AC29" s="1808">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3"/>
      <c r="Q30" s="1807" t="str">
        <f t="shared" si="11"/>
        <v>建筑面积</v>
      </c>
      <c r="R30" s="770" t="s">
        <v>17</v>
      </c>
      <c r="S30" s="771" t="e">
        <f t="shared" si="12"/>
        <v>#N/A</v>
      </c>
      <c r="T30" s="770" t="s">
        <v>17</v>
      </c>
      <c r="U30" s="771" t="e">
        <f t="shared" si="13"/>
        <v>#N/A</v>
      </c>
      <c r="V30" s="770" t="s">
        <v>17</v>
      </c>
      <c r="W30" s="771" t="e">
        <f t="shared" si="14"/>
        <v>#N/A</v>
      </c>
      <c r="X30" s="1810"/>
      <c r="Y30" s="3213"/>
      <c r="Z30" s="1811" t="str">
        <f t="shared" si="15"/>
        <v>建筑面积</v>
      </c>
      <c r="AA30" s="1808" t="e">
        <f t="shared" si="3"/>
        <v>#N/A</v>
      </c>
      <c r="AB30" s="1808" t="e">
        <f t="shared" si="4"/>
        <v>#N/A</v>
      </c>
      <c r="AC30" s="1808"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3"/>
      <c r="Q31" s="1792" t="str">
        <f t="shared" si="11"/>
        <v>是否封闭</v>
      </c>
      <c r="R31" s="766" t="s">
        <v>17</v>
      </c>
      <c r="S31" s="767">
        <f t="shared" si="12"/>
        <v>100</v>
      </c>
      <c r="T31" s="766" t="s">
        <v>17</v>
      </c>
      <c r="U31" s="767">
        <f t="shared" si="13"/>
        <v>100</v>
      </c>
      <c r="V31" s="766" t="s">
        <v>17</v>
      </c>
      <c r="W31" s="767">
        <f t="shared" si="14"/>
        <v>100</v>
      </c>
      <c r="X31" s="768"/>
      <c r="Y31" s="3213"/>
      <c r="Z31" s="54" t="str">
        <f t="shared" si="15"/>
        <v>是否封闭</v>
      </c>
      <c r="AA31" s="769">
        <f t="shared" si="3"/>
        <v>1</v>
      </c>
      <c r="AB31" s="769">
        <f t="shared" si="4"/>
        <v>1</v>
      </c>
      <c r="AC31" s="769">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3" t="s">
        <v>2559</v>
      </c>
      <c r="Q32" s="1807">
        <f t="shared" si="11"/>
        <v>111</v>
      </c>
      <c r="R32" s="770" t="s">
        <v>17</v>
      </c>
      <c r="S32" s="771">
        <f t="shared" si="12"/>
        <v>100</v>
      </c>
      <c r="T32" s="770" t="s">
        <v>17</v>
      </c>
      <c r="U32" s="771">
        <f t="shared" si="13"/>
        <v>100</v>
      </c>
      <c r="V32" s="770" t="s">
        <v>17</v>
      </c>
      <c r="W32" s="771">
        <f t="shared" si="14"/>
        <v>100</v>
      </c>
      <c r="X32" s="1810"/>
      <c r="Y32" s="3213" t="s">
        <v>2559</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3"/>
      <c r="Q33" s="1807">
        <f t="shared" si="11"/>
        <v>111</v>
      </c>
      <c r="R33" s="770" t="s">
        <v>17</v>
      </c>
      <c r="S33" s="771">
        <f t="shared" si="12"/>
        <v>100</v>
      </c>
      <c r="T33" s="770" t="s">
        <v>17</v>
      </c>
      <c r="U33" s="771">
        <f t="shared" si="13"/>
        <v>100</v>
      </c>
      <c r="V33" s="770" t="s">
        <v>17</v>
      </c>
      <c r="W33" s="771">
        <f t="shared" si="14"/>
        <v>100</v>
      </c>
      <c r="X33" s="1810"/>
      <c r="Y33" s="3213"/>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9"/>
      <c r="M34" s="1130"/>
      <c r="N34" s="1130"/>
      <c r="O34" s="1138"/>
      <c r="P34" s="3213"/>
      <c r="Q34" s="1807">
        <f t="shared" si="11"/>
        <v>111</v>
      </c>
      <c r="R34" s="770" t="s">
        <v>17</v>
      </c>
      <c r="S34" s="771">
        <f t="shared" si="12"/>
        <v>100</v>
      </c>
      <c r="T34" s="770" t="s">
        <v>17</v>
      </c>
      <c r="U34" s="771">
        <f t="shared" si="13"/>
        <v>100</v>
      </c>
      <c r="V34" s="770" t="s">
        <v>17</v>
      </c>
      <c r="W34" s="771">
        <f t="shared" si="14"/>
        <v>100</v>
      </c>
      <c r="X34" s="1810"/>
      <c r="Y34" s="3213"/>
      <c r="Z34" s="1811">
        <f t="shared" si="15"/>
        <v>111</v>
      </c>
      <c r="AA34" s="1808">
        <f t="shared" si="3"/>
        <v>1</v>
      </c>
      <c r="AB34" s="1808">
        <f t="shared" si="4"/>
        <v>1</v>
      </c>
      <c r="AC34" s="1808">
        <f t="shared" si="5"/>
        <v>1</v>
      </c>
    </row>
    <row r="35" spans="1:29" ht="15">
      <c r="A35" s="478" t="s">
        <v>2571</v>
      </c>
      <c r="B35" s="479"/>
      <c r="C35" s="1404" t="s">
        <v>1</v>
      </c>
      <c r="D35" s="1405"/>
      <c r="E35" s="1406"/>
      <c r="F35" s="1407"/>
      <c r="G35" s="1408"/>
      <c r="H35" s="1409"/>
      <c r="I35" s="1406"/>
      <c r="J35" s="1409"/>
      <c r="K35" s="779"/>
      <c r="L35" s="1142"/>
      <c r="M35" s="1143"/>
      <c r="N35" s="1130"/>
      <c r="O35" s="1143"/>
      <c r="P35" s="3206" t="str">
        <f>A35</f>
        <v>成交单价（元/平方米）</v>
      </c>
      <c r="Q35" s="3206"/>
      <c r="R35" s="3207">
        <f>E35</f>
        <v>0</v>
      </c>
      <c r="S35" s="3207"/>
      <c r="T35" s="3207">
        <f>G35</f>
        <v>0</v>
      </c>
      <c r="U35" s="3207"/>
      <c r="V35" s="3207">
        <f>I35</f>
        <v>0</v>
      </c>
      <c r="W35" s="3207"/>
      <c r="X35" s="755"/>
      <c r="Y35" s="777"/>
      <c r="Z35" s="755"/>
      <c r="AA35" s="755"/>
      <c r="AB35" s="755"/>
      <c r="AC35" s="755"/>
    </row>
    <row r="36" spans="1:29" ht="15.75" thickBot="1">
      <c r="A36" s="485" t="s">
        <v>2663</v>
      </c>
      <c r="B36" s="486"/>
      <c r="C36" s="1410" t="e">
        <f>R37</f>
        <v>#DIV/0!</v>
      </c>
      <c r="D36" s="1411"/>
      <c r="E36" s="1412" t="e">
        <f>R36</f>
        <v>#DIV/0!</v>
      </c>
      <c r="F36" s="1412"/>
      <c r="G36" s="1410" t="e">
        <f>T36</f>
        <v>#DIV/0!</v>
      </c>
      <c r="H36" s="1411"/>
      <c r="I36" s="1412" t="e">
        <f>V36</f>
        <v>#DIV/0!</v>
      </c>
      <c r="J36" s="1411"/>
      <c r="K36" s="780"/>
      <c r="L36" s="1142"/>
      <c r="M36" s="1143"/>
      <c r="N36" s="1130"/>
      <c r="O36" s="1143"/>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5"/>
      <c r="Y36" s="755"/>
      <c r="Z36" s="755"/>
      <c r="AA36" s="755"/>
      <c r="AB36" s="755"/>
      <c r="AC36" s="755"/>
    </row>
    <row r="37" spans="1:29" ht="15.75" thickBot="1">
      <c r="A37" s="491" t="s">
        <v>2664</v>
      </c>
      <c r="B37" s="492"/>
      <c r="C37" s="1414" t="e">
        <f>R37</f>
        <v>#DIV/0!</v>
      </c>
      <c r="D37" s="1414"/>
      <c r="E37" s="1414"/>
      <c r="F37" s="1414"/>
      <c r="G37" s="1414"/>
      <c r="H37" s="1414"/>
      <c r="I37" s="1414"/>
      <c r="J37" s="1414"/>
      <c r="K37" s="781"/>
      <c r="L37" s="1142"/>
      <c r="M37" s="1143"/>
      <c r="N37" s="1143"/>
      <c r="O37" s="1143"/>
      <c r="P37" s="3203" t="str">
        <f>A37</f>
        <v>估价对象XX用房的比较价值（楼面单价，元/平方米）</v>
      </c>
      <c r="Q37" s="3204"/>
      <c r="R37" s="3205" t="e">
        <f>IF(F1="售价",ROUND(AVERAGE(R36:V36),0),ROUND(AVERAGE(R36:V36),1))</f>
        <v>#DIV/0!</v>
      </c>
      <c r="S37" s="3205"/>
      <c r="T37" s="3205"/>
      <c r="U37" s="3205"/>
      <c r="V37" s="3205"/>
      <c r="W37" s="3205"/>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2668</v>
      </c>
      <c r="B45" s="755"/>
      <c r="C45" s="760"/>
      <c r="D45" s="760"/>
      <c r="E45" s="760"/>
      <c r="F45" s="761"/>
      <c r="G45" s="761"/>
      <c r="H45" s="760"/>
      <c r="I45" s="760"/>
      <c r="J45" s="760"/>
      <c r="K45" s="762"/>
      <c r="L45" s="763"/>
      <c r="M45" s="760"/>
      <c r="N45" s="760"/>
      <c r="O45" s="760"/>
      <c r="P45" s="502"/>
      <c r="Q45" s="503"/>
    </row>
    <row r="46" spans="1:29" s="507" customFormat="1" ht="15">
      <c r="A46" s="504" t="s">
        <v>2542</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2639</v>
      </c>
      <c r="B4" s="401"/>
      <c r="C4" s="3221" t="s">
        <v>2640</v>
      </c>
      <c r="D4" s="3222"/>
      <c r="E4" s="3223" t="s">
        <v>2641</v>
      </c>
      <c r="F4" s="3224"/>
      <c r="G4" s="3221" t="s">
        <v>2642</v>
      </c>
      <c r="H4" s="3222"/>
      <c r="I4" s="3221" t="s">
        <v>2643</v>
      </c>
      <c r="J4" s="3222"/>
      <c r="K4" s="609" t="s">
        <v>2644</v>
      </c>
      <c r="L4" s="1129"/>
      <c r="M4" s="1130"/>
      <c r="N4" s="1130"/>
      <c r="O4" s="1130"/>
      <c r="P4" s="3225" t="s">
        <v>2645</v>
      </c>
      <c r="Q4" s="3226"/>
      <c r="R4" s="3231" t="s">
        <v>2641</v>
      </c>
      <c r="S4" s="3232"/>
      <c r="T4" s="3231" t="s">
        <v>2642</v>
      </c>
      <c r="U4" s="3232"/>
      <c r="V4" s="3237" t="s">
        <v>2643</v>
      </c>
      <c r="W4" s="3237"/>
      <c r="X4" s="1810"/>
      <c r="Y4" s="3231" t="s">
        <v>2645</v>
      </c>
      <c r="Z4" s="3232"/>
      <c r="AA4" s="3218" t="s">
        <v>2641</v>
      </c>
      <c r="AB4" s="3219" t="s">
        <v>2642</v>
      </c>
      <c r="AC4" s="3218" t="s">
        <v>2643</v>
      </c>
    </row>
    <row r="5" spans="1:30" ht="15">
      <c r="A5" s="403"/>
      <c r="B5" s="404"/>
      <c r="C5" s="3240" t="s">
        <v>2536</v>
      </c>
      <c r="D5" s="3241"/>
      <c r="E5" s="3247" t="s">
        <v>2537</v>
      </c>
      <c r="F5" s="3248"/>
      <c r="G5" s="3240" t="s">
        <v>2538</v>
      </c>
      <c r="H5" s="3241"/>
      <c r="I5" s="3240" t="s">
        <v>2539</v>
      </c>
      <c r="J5" s="3241"/>
      <c r="K5" s="609"/>
      <c r="L5" s="1129"/>
      <c r="M5" s="1130"/>
      <c r="N5" s="1130"/>
      <c r="O5" s="1130"/>
      <c r="P5" s="3227"/>
      <c r="Q5" s="3228"/>
      <c r="R5" s="3233"/>
      <c r="S5" s="3234"/>
      <c r="T5" s="3233"/>
      <c r="U5" s="3234"/>
      <c r="V5" s="3237"/>
      <c r="W5" s="3237"/>
      <c r="X5" s="1810"/>
      <c r="Y5" s="3233"/>
      <c r="Z5" s="3234"/>
      <c r="AA5" s="3219"/>
      <c r="AB5" s="3219"/>
      <c r="AC5" s="3219"/>
    </row>
    <row r="6" spans="1:30" ht="15.75" thickBot="1">
      <c r="A6" s="405"/>
      <c r="B6" s="406"/>
      <c r="C6" s="3238" t="s">
        <v>2540</v>
      </c>
      <c r="D6" s="3239"/>
      <c r="E6" s="3245" t="s">
        <v>2540</v>
      </c>
      <c r="F6" s="3246"/>
      <c r="G6" s="3238" t="s">
        <v>2540</v>
      </c>
      <c r="H6" s="3239"/>
      <c r="I6" s="3238" t="s">
        <v>2540</v>
      </c>
      <c r="J6" s="3239"/>
      <c r="K6" s="609" t="s">
        <v>2541</v>
      </c>
      <c r="L6" s="1129"/>
      <c r="M6" s="1130"/>
      <c r="N6" s="1130"/>
      <c r="O6" s="1130"/>
      <c r="P6" s="3229"/>
      <c r="Q6" s="3230"/>
      <c r="R6" s="3233"/>
      <c r="S6" s="3234"/>
      <c r="T6" s="3235"/>
      <c r="U6" s="3236"/>
      <c r="V6" s="3237"/>
      <c r="W6" s="3237"/>
      <c r="X6" s="1810"/>
      <c r="Y6" s="3235"/>
      <c r="Z6" s="3236"/>
      <c r="AA6" s="3220"/>
      <c r="AB6" s="3220"/>
      <c r="AC6" s="3220"/>
    </row>
    <row r="7" spans="1:30" s="116" customFormat="1" ht="15.75" thickBot="1">
      <c r="A7" s="407" t="s">
        <v>2542</v>
      </c>
      <c r="B7" s="408"/>
      <c r="C7" s="409">
        <f>'数据-取费表'!B2</f>
        <v>43276</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1"/>
      <c r="M7" s="1132"/>
      <c r="N7" s="1132"/>
      <c r="O7" s="1132"/>
      <c r="P7" s="3242" t="s">
        <v>2543</v>
      </c>
      <c r="Q7" s="3244"/>
      <c r="R7" s="766" t="s">
        <v>17</v>
      </c>
      <c r="S7" s="767">
        <f t="shared" ref="S7:S15" si="0">F7</f>
        <v>0</v>
      </c>
      <c r="T7" s="766" t="s">
        <v>17</v>
      </c>
      <c r="U7" s="767">
        <f t="shared" ref="U7:U15" si="1">H7</f>
        <v>0</v>
      </c>
      <c r="V7" s="766" t="s">
        <v>17</v>
      </c>
      <c r="W7" s="767">
        <f t="shared" ref="W7:W15" si="2">J7</f>
        <v>0</v>
      </c>
      <c r="X7" s="768"/>
      <c r="Y7" s="3242" t="s">
        <v>2543</v>
      </c>
      <c r="Z7" s="3243"/>
      <c r="AA7" s="769" t="e">
        <f>D7/F7</f>
        <v>#DIV/0!</v>
      </c>
      <c r="AB7" s="769" t="e">
        <f>D7/H7</f>
        <v>#DIV/0!</v>
      </c>
      <c r="AC7" s="769"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2" t="s">
        <v>2546</v>
      </c>
      <c r="Q8" s="3243"/>
      <c r="R8" s="766" t="s">
        <v>17</v>
      </c>
      <c r="S8" s="767">
        <f t="shared" si="0"/>
        <v>0</v>
      </c>
      <c r="T8" s="766" t="s">
        <v>17</v>
      </c>
      <c r="U8" s="767">
        <f t="shared" si="1"/>
        <v>0</v>
      </c>
      <c r="V8" s="766" t="s">
        <v>17</v>
      </c>
      <c r="W8" s="767">
        <f t="shared" si="2"/>
        <v>0</v>
      </c>
      <c r="X8" s="768"/>
      <c r="Y8" s="3242" t="s">
        <v>2546</v>
      </c>
      <c r="Z8" s="3243"/>
      <c r="AA8" s="769" t="e">
        <f t="shared" ref="AA8:AA45" si="3">D8/F8</f>
        <v>#DIV/0!</v>
      </c>
      <c r="AB8" s="769" t="e">
        <f t="shared" ref="AB8:AB45" si="4">D8/H8</f>
        <v>#DIV/0!</v>
      </c>
      <c r="AC8" s="769" t="e">
        <f t="shared" ref="AC8:AC45" si="5">D8/J8</f>
        <v>#DIV/0!</v>
      </c>
    </row>
    <row r="9" spans="1:30" s="116" customFormat="1">
      <c r="A9" s="414" t="s">
        <v>2547</v>
      </c>
      <c r="B9" s="70" t="s">
        <v>2548</v>
      </c>
      <c r="C9" s="2693"/>
      <c r="D9" s="134">
        <v>100</v>
      </c>
      <c r="E9" s="2693"/>
      <c r="F9" s="134">
        <f>SUMIF(75:75,E9,76:76)-SUMIF(75:75,C9,76:76)+100</f>
        <v>100</v>
      </c>
      <c r="G9" s="2693"/>
      <c r="H9" s="134">
        <f>SUMIF(75:75,G9,76:76)-SUMIF(75:75,C9,76:76)+100</f>
        <v>100</v>
      </c>
      <c r="I9" s="2693"/>
      <c r="J9" s="134">
        <f>SUMIF(75:75,I9,76:76)-SUMIF(75:75,C9,76:76)+100</f>
        <v>100</v>
      </c>
      <c r="K9" s="610"/>
      <c r="L9" s="1131"/>
      <c r="M9" s="1132"/>
      <c r="N9" s="1132"/>
      <c r="O9" s="1133"/>
      <c r="P9" s="3206" t="s">
        <v>2549</v>
      </c>
      <c r="Q9" s="1792" t="str">
        <f t="shared" ref="Q9:Q15" si="6">B9</f>
        <v>用途</v>
      </c>
      <c r="R9" s="766" t="s">
        <v>17</v>
      </c>
      <c r="S9" s="767">
        <f t="shared" si="0"/>
        <v>100</v>
      </c>
      <c r="T9" s="766" t="s">
        <v>17</v>
      </c>
      <c r="U9" s="767">
        <f t="shared" si="1"/>
        <v>100</v>
      </c>
      <c r="V9" s="766" t="s">
        <v>17</v>
      </c>
      <c r="W9" s="767">
        <f t="shared" si="2"/>
        <v>100</v>
      </c>
      <c r="X9" s="768"/>
      <c r="Y9" s="3031" t="s">
        <v>2550</v>
      </c>
      <c r="Z9" s="54" t="str">
        <f t="shared" ref="Z9:Z15" si="7">Q9</f>
        <v>用途</v>
      </c>
      <c r="AA9" s="769">
        <f t="shared" si="3"/>
        <v>1</v>
      </c>
      <c r="AB9" s="769">
        <f t="shared" si="4"/>
        <v>1</v>
      </c>
      <c r="AC9" s="769">
        <f t="shared" si="5"/>
        <v>1</v>
      </c>
    </row>
    <row r="10" spans="1:30" s="426" customFormat="1" ht="27">
      <c r="A10" s="420"/>
      <c r="B10" s="421" t="s">
        <v>2551</v>
      </c>
      <c r="C10" s="431"/>
      <c r="D10" s="135">
        <v>100</v>
      </c>
      <c r="E10" s="464"/>
      <c r="F10" s="135">
        <f>ROUND(100/'数据-取费表'!G16,0)</f>
        <v>120</v>
      </c>
      <c r="G10" s="462"/>
      <c r="H10" s="135">
        <f>ROUND(100/'数据-取费表'!G16,0)</f>
        <v>120</v>
      </c>
      <c r="I10" s="462"/>
      <c r="J10" s="135">
        <f>ROUND(100/'数据-取费表'!G16,0)</f>
        <v>120</v>
      </c>
      <c r="K10" s="671"/>
      <c r="L10" s="1134"/>
      <c r="M10" s="1135"/>
      <c r="N10" s="1135"/>
      <c r="O10" s="1136"/>
      <c r="P10" s="3206"/>
      <c r="Q10" s="1792" t="str">
        <f t="shared" si="6"/>
        <v>土地使用年限（年）</v>
      </c>
      <c r="R10" s="766" t="s">
        <v>17</v>
      </c>
      <c r="S10" s="767">
        <f t="shared" si="0"/>
        <v>120</v>
      </c>
      <c r="T10" s="766" t="s">
        <v>17</v>
      </c>
      <c r="U10" s="767">
        <f t="shared" si="1"/>
        <v>120</v>
      </c>
      <c r="V10" s="766" t="s">
        <v>17</v>
      </c>
      <c r="W10" s="767">
        <f t="shared" si="2"/>
        <v>120</v>
      </c>
      <c r="X10" s="768"/>
      <c r="Y10" s="3031"/>
      <c r="Z10" s="54" t="str">
        <f t="shared" si="7"/>
        <v>土地使用年限（年）</v>
      </c>
      <c r="AA10" s="769">
        <f t="shared" si="3"/>
        <v>0.83333333333333337</v>
      </c>
      <c r="AB10" s="769">
        <f t="shared" si="4"/>
        <v>0.83333333333333337</v>
      </c>
      <c r="AC10" s="769">
        <f t="shared" si="5"/>
        <v>0.83333333333333337</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6"/>
      <c r="Q11" s="1792" t="str">
        <f t="shared" si="6"/>
        <v>容积率</v>
      </c>
      <c r="R11" s="766" t="s">
        <v>17</v>
      </c>
      <c r="S11" s="767" t="e">
        <f t="shared" si="0"/>
        <v>#N/A</v>
      </c>
      <c r="T11" s="766" t="s">
        <v>17</v>
      </c>
      <c r="U11" s="767" t="e">
        <f t="shared" si="1"/>
        <v>#N/A</v>
      </c>
      <c r="V11" s="766" t="s">
        <v>17</v>
      </c>
      <c r="W11" s="767" t="e">
        <f t="shared" si="2"/>
        <v>#N/A</v>
      </c>
      <c r="X11" s="768"/>
      <c r="Y11" s="3031"/>
      <c r="Z11" s="54" t="str">
        <f t="shared" si="7"/>
        <v>容积率</v>
      </c>
      <c r="AA11" s="769" t="e">
        <f t="shared" si="3"/>
        <v>#N/A</v>
      </c>
      <c r="AB11" s="769" t="e">
        <f t="shared" si="4"/>
        <v>#N/A</v>
      </c>
      <c r="AC11" s="769" t="e">
        <f t="shared" si="5"/>
        <v>#N/A</v>
      </c>
    </row>
    <row r="12" spans="1:30" s="116" customFormat="1" ht="15">
      <c r="A12" s="430"/>
      <c r="B12" s="2594"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6"/>
      <c r="Q12" s="1792" t="str">
        <f t="shared" si="6"/>
        <v>配建</v>
      </c>
      <c r="R12" s="766" t="s">
        <v>17</v>
      </c>
      <c r="S12" s="767">
        <f t="shared" si="0"/>
        <v>100</v>
      </c>
      <c r="T12" s="766" t="s">
        <v>17</v>
      </c>
      <c r="U12" s="767">
        <f t="shared" si="1"/>
        <v>100</v>
      </c>
      <c r="V12" s="766" t="s">
        <v>17</v>
      </c>
      <c r="W12" s="767">
        <f t="shared" si="2"/>
        <v>100</v>
      </c>
      <c r="X12" s="768"/>
      <c r="Y12" s="3031"/>
      <c r="Z12" s="54" t="str">
        <f t="shared" si="7"/>
        <v>配建</v>
      </c>
      <c r="AA12" s="769">
        <f>D12/F12</f>
        <v>1</v>
      </c>
      <c r="AB12" s="769">
        <f>D12/H12</f>
        <v>1</v>
      </c>
      <c r="AC12" s="769">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6"/>
      <c r="Q13" s="1792">
        <f t="shared" si="6"/>
        <v>111</v>
      </c>
      <c r="R13" s="766" t="s">
        <v>17</v>
      </c>
      <c r="S13" s="767">
        <f t="shared" si="0"/>
        <v>100</v>
      </c>
      <c r="T13" s="766" t="s">
        <v>17</v>
      </c>
      <c r="U13" s="767">
        <f t="shared" si="1"/>
        <v>100</v>
      </c>
      <c r="V13" s="766" t="s">
        <v>17</v>
      </c>
      <c r="W13" s="767">
        <f t="shared" si="2"/>
        <v>100</v>
      </c>
      <c r="X13" s="768"/>
      <c r="Y13" s="3031"/>
      <c r="Z13" s="54">
        <f t="shared" si="7"/>
        <v>111</v>
      </c>
      <c r="AA13" s="769">
        <f>D13/F13</f>
        <v>1</v>
      </c>
      <c r="AB13" s="769">
        <f>D13/H13</f>
        <v>1</v>
      </c>
      <c r="AC13" s="769">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6"/>
      <c r="Q14" s="1792">
        <f t="shared" si="6"/>
        <v>111</v>
      </c>
      <c r="R14" s="766" t="s">
        <v>17</v>
      </c>
      <c r="S14" s="767">
        <f t="shared" si="0"/>
        <v>100</v>
      </c>
      <c r="T14" s="766" t="s">
        <v>17</v>
      </c>
      <c r="U14" s="767">
        <f t="shared" si="1"/>
        <v>100</v>
      </c>
      <c r="V14" s="766" t="s">
        <v>17</v>
      </c>
      <c r="W14" s="767">
        <f t="shared" si="2"/>
        <v>100</v>
      </c>
      <c r="X14" s="768"/>
      <c r="Y14" s="3031"/>
      <c r="Z14" s="54">
        <f t="shared" si="7"/>
        <v>111</v>
      </c>
      <c r="AA14" s="769">
        <f>D14/F14</f>
        <v>1</v>
      </c>
      <c r="AB14" s="769">
        <f>D14/H14</f>
        <v>1</v>
      </c>
      <c r="AC14" s="769">
        <f>D14/J14</f>
        <v>1</v>
      </c>
    </row>
    <row r="15" spans="1:30" ht="15">
      <c r="A15" s="439" t="s">
        <v>2553</v>
      </c>
      <c r="B15" s="68" t="s">
        <v>2082</v>
      </c>
      <c r="C15" s="2597" t="str">
        <f>估价对象房地状况!C15</f>
        <v>——</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08" t="s">
        <v>2554</v>
      </c>
      <c r="Q15" s="1807" t="str">
        <f t="shared" si="6"/>
        <v>居住社区成熟度</v>
      </c>
      <c r="R15" s="770" t="s">
        <v>17</v>
      </c>
      <c r="S15" s="771">
        <f t="shared" si="0"/>
        <v>100</v>
      </c>
      <c r="T15" s="770" t="s">
        <v>17</v>
      </c>
      <c r="U15" s="771">
        <f t="shared" si="1"/>
        <v>100</v>
      </c>
      <c r="V15" s="770" t="s">
        <v>17</v>
      </c>
      <c r="W15" s="771">
        <f t="shared" si="2"/>
        <v>100</v>
      </c>
      <c r="X15" s="1810"/>
      <c r="Y15" s="3208" t="s">
        <v>2554</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9"/>
      <c r="M16" s="1130"/>
      <c r="N16" s="1130"/>
      <c r="O16" s="1138"/>
      <c r="P16" s="3209"/>
      <c r="Q16" s="1807"/>
      <c r="R16" s="770"/>
      <c r="S16" s="771"/>
      <c r="T16" s="770"/>
      <c r="U16" s="771"/>
      <c r="V16" s="770"/>
      <c r="W16" s="771"/>
      <c r="X16" s="1810"/>
      <c r="Y16" s="3209"/>
      <c r="Z16" s="1811"/>
      <c r="AA16" s="1808">
        <v>1</v>
      </c>
      <c r="AB16" s="1808">
        <v>1</v>
      </c>
      <c r="AC16" s="1808">
        <v>1</v>
      </c>
    </row>
    <row r="17" spans="1:29" ht="114">
      <c r="A17" s="427"/>
      <c r="B17" s="450" t="s">
        <v>2647</v>
      </c>
      <c r="C17" s="2658" t="str">
        <f>估价对象房地状况!C16</f>
        <v>周边商业项目有深华商业大厦、一品东门雅园商业、金城大厦商业等，商业项目聚集，出租率高，商业繁华度好。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09"/>
      <c r="Q17" s="1807" t="str">
        <f>B17</f>
        <v>商业繁华度</v>
      </c>
      <c r="R17" s="770" t="s">
        <v>17</v>
      </c>
      <c r="S17" s="771">
        <f>F17</f>
        <v>100</v>
      </c>
      <c r="T17" s="770" t="s">
        <v>17</v>
      </c>
      <c r="U17" s="771">
        <f>H17</f>
        <v>100</v>
      </c>
      <c r="V17" s="770" t="s">
        <v>17</v>
      </c>
      <c r="W17" s="771">
        <f>J17</f>
        <v>100</v>
      </c>
      <c r="X17" s="1810"/>
      <c r="Y17" s="3209"/>
      <c r="Z17" s="1811" t="str">
        <f>Q17</f>
        <v>商业繁华度</v>
      </c>
      <c r="AA17" s="1808">
        <f t="shared" si="3"/>
        <v>1</v>
      </c>
      <c r="AB17" s="1808">
        <f t="shared" si="4"/>
        <v>1</v>
      </c>
      <c r="AC17" s="1808">
        <f t="shared" si="5"/>
        <v>1</v>
      </c>
    </row>
    <row r="18" spans="1:29" ht="15">
      <c r="A18" s="427"/>
      <c r="B18" s="455"/>
      <c r="C18" s="2602"/>
      <c r="D18" s="449"/>
      <c r="E18" s="2604"/>
      <c r="F18" s="449"/>
      <c r="G18" s="2604"/>
      <c r="H18" s="447"/>
      <c r="I18" s="2603"/>
      <c r="J18" s="447"/>
      <c r="K18" s="671"/>
      <c r="L18" s="1139"/>
      <c r="M18" s="1130"/>
      <c r="N18" s="1130"/>
      <c r="O18" s="1138"/>
      <c r="P18" s="3209"/>
      <c r="Q18" s="1807"/>
      <c r="R18" s="770"/>
      <c r="S18" s="771"/>
      <c r="T18" s="770"/>
      <c r="U18" s="771"/>
      <c r="V18" s="770"/>
      <c r="W18" s="771"/>
      <c r="X18" s="1810"/>
      <c r="Y18" s="3209"/>
      <c r="Z18" s="1811"/>
      <c r="AA18" s="1808">
        <v>1</v>
      </c>
      <c r="AB18" s="1808">
        <v>1</v>
      </c>
      <c r="AC18" s="1808">
        <v>1</v>
      </c>
    </row>
    <row r="19" spans="1:29" ht="15">
      <c r="A19" s="427"/>
      <c r="B19" s="450" t="s">
        <v>2681</v>
      </c>
      <c r="C19" s="2658" t="str">
        <f>估价对象房地状况!C17</f>
        <v>——</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9"/>
      <c r="Q19" s="1807" t="str">
        <f>B19</f>
        <v>办公集聚程度</v>
      </c>
      <c r="R19" s="770" t="s">
        <v>17</v>
      </c>
      <c r="S19" s="771">
        <f>F19</f>
        <v>100</v>
      </c>
      <c r="T19" s="770" t="s">
        <v>17</v>
      </c>
      <c r="U19" s="771">
        <f>H19</f>
        <v>100</v>
      </c>
      <c r="V19" s="770" t="s">
        <v>17</v>
      </c>
      <c r="W19" s="771">
        <f>J19</f>
        <v>100</v>
      </c>
      <c r="X19" s="1810"/>
      <c r="Y19" s="3209"/>
      <c r="Z19" s="1811" t="str">
        <f>Q19</f>
        <v>办公集聚程度</v>
      </c>
      <c r="AA19" s="1808">
        <f t="shared" si="3"/>
        <v>1</v>
      </c>
      <c r="AB19" s="1808">
        <f t="shared" si="4"/>
        <v>1</v>
      </c>
      <c r="AC19" s="1808">
        <f t="shared" si="5"/>
        <v>1</v>
      </c>
    </row>
    <row r="20" spans="1:29" ht="15">
      <c r="A20" s="427"/>
      <c r="B20" s="455"/>
      <c r="C20" s="446"/>
      <c r="D20" s="447"/>
      <c r="E20" s="2599"/>
      <c r="F20" s="447"/>
      <c r="G20" s="2599"/>
      <c r="H20" s="447"/>
      <c r="I20" s="2598"/>
      <c r="J20" s="447"/>
      <c r="K20" s="671"/>
      <c r="L20" s="1139"/>
      <c r="M20" s="1130"/>
      <c r="N20" s="1130"/>
      <c r="O20" s="1138"/>
      <c r="P20" s="3209"/>
      <c r="Q20" s="1807"/>
      <c r="R20" s="770"/>
      <c r="S20" s="771"/>
      <c r="T20" s="770"/>
      <c r="U20" s="771"/>
      <c r="V20" s="770"/>
      <c r="W20" s="771"/>
      <c r="X20" s="1810"/>
      <c r="Y20" s="3209"/>
      <c r="Z20" s="1811"/>
      <c r="AA20" s="1808">
        <v>1</v>
      </c>
      <c r="AB20" s="1808">
        <v>1</v>
      </c>
      <c r="AC20" s="1808">
        <v>1</v>
      </c>
    </row>
    <row r="21" spans="1:29" ht="128.25">
      <c r="A21" s="427"/>
      <c r="B21" s="450" t="s">
        <v>2703</v>
      </c>
      <c r="C21" s="2601" t="str">
        <f>估价对象房地状况!C18</f>
        <v>周边路网密集，行车出入便捷。1公里范围内有352路、7路、K204路等公交线路及地铁罗宝线，公交便捷度好，综合确定交通便捷度好。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09"/>
      <c r="Q21" s="1807" t="str">
        <f>B21</f>
        <v>交通便捷度</v>
      </c>
      <c r="R21" s="770" t="s">
        <v>17</v>
      </c>
      <c r="S21" s="771">
        <f>F21</f>
        <v>100</v>
      </c>
      <c r="T21" s="770" t="s">
        <v>17</v>
      </c>
      <c r="U21" s="771">
        <f>H21</f>
        <v>100</v>
      </c>
      <c r="V21" s="770" t="s">
        <v>17</v>
      </c>
      <c r="W21" s="771">
        <f>J21</f>
        <v>100</v>
      </c>
      <c r="X21" s="1810"/>
      <c r="Y21" s="3209"/>
      <c r="Z21" s="1811" t="str">
        <f>Q21</f>
        <v>交通便捷度</v>
      </c>
      <c r="AA21" s="1808">
        <f t="shared" si="3"/>
        <v>1</v>
      </c>
      <c r="AB21" s="1808">
        <f t="shared" si="4"/>
        <v>1</v>
      </c>
      <c r="AC21" s="1808">
        <f t="shared" si="5"/>
        <v>1</v>
      </c>
    </row>
    <row r="22" spans="1:29" ht="15">
      <c r="A22" s="427"/>
      <c r="B22" s="1381"/>
      <c r="C22" s="446"/>
      <c r="D22" s="449"/>
      <c r="E22" s="2599"/>
      <c r="F22" s="447"/>
      <c r="G22" s="2599"/>
      <c r="H22" s="447"/>
      <c r="I22" s="2598"/>
      <c r="J22" s="447"/>
      <c r="K22" s="671"/>
      <c r="L22" s="1139"/>
      <c r="M22" s="1130"/>
      <c r="N22" s="1130"/>
      <c r="O22" s="1138"/>
      <c r="P22" s="3209"/>
      <c r="Q22" s="1807"/>
      <c r="R22" s="770"/>
      <c r="S22" s="771"/>
      <c r="T22" s="770"/>
      <c r="U22" s="771"/>
      <c r="V22" s="770"/>
      <c r="W22" s="771"/>
      <c r="X22" s="1810"/>
      <c r="Y22" s="3209"/>
      <c r="Z22" s="1811"/>
      <c r="AA22" s="1808">
        <v>1</v>
      </c>
      <c r="AB22" s="1808">
        <v>1</v>
      </c>
      <c r="AC22" s="1808">
        <v>1</v>
      </c>
    </row>
    <row r="23" spans="1:29" ht="15">
      <c r="A23" s="403"/>
      <c r="B23" s="450" t="s">
        <v>2742</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09"/>
      <c r="Q23" s="1807" t="str">
        <f t="shared" ref="Q23:Q37" si="8">B23</f>
        <v>区域土地利用方向</v>
      </c>
      <c r="R23" s="770" t="s">
        <v>17</v>
      </c>
      <c r="S23" s="771">
        <f>F23</f>
        <v>100</v>
      </c>
      <c r="T23" s="770" t="s">
        <v>17</v>
      </c>
      <c r="U23" s="771">
        <f>H23</f>
        <v>100</v>
      </c>
      <c r="V23" s="770" t="s">
        <v>17</v>
      </c>
      <c r="W23" s="771">
        <f>J23</f>
        <v>100</v>
      </c>
      <c r="X23" s="1810"/>
      <c r="Y23" s="3209"/>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08"/>
      <c r="L24" s="1139"/>
      <c r="M24" s="1130"/>
      <c r="N24" s="1130"/>
      <c r="O24" s="1138"/>
      <c r="P24" s="3209"/>
      <c r="Q24" s="1807"/>
      <c r="R24" s="770"/>
      <c r="S24" s="771"/>
      <c r="T24" s="770"/>
      <c r="U24" s="771"/>
      <c r="V24" s="770"/>
      <c r="W24" s="771"/>
      <c r="X24" s="1810"/>
      <c r="Y24" s="3209"/>
      <c r="Z24" s="1811"/>
      <c r="AA24" s="1808"/>
      <c r="AB24" s="1808"/>
      <c r="AC24" s="1808"/>
    </row>
    <row r="25" spans="1:29" ht="128.25">
      <c r="A25" s="403"/>
      <c r="B25" s="1381" t="s">
        <v>2743</v>
      </c>
      <c r="C25" s="2658" t="str">
        <f>估价对象房地状况!C20</f>
        <v>周边有嘉宾公园、深圳河水系，绿化条件较好，有深圳大剧院、至正艺术博物馆、深圳广播电视大学等场所，综合确定自然及人文环境较好。</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09"/>
      <c r="Q25" s="1807" t="str">
        <f t="shared" si="8"/>
        <v>自然及人文环境状况</v>
      </c>
      <c r="R25" s="770" t="s">
        <v>17</v>
      </c>
      <c r="S25" s="771">
        <f>F25</f>
        <v>100</v>
      </c>
      <c r="T25" s="770" t="s">
        <v>17</v>
      </c>
      <c r="U25" s="771">
        <f>H25</f>
        <v>100</v>
      </c>
      <c r="V25" s="770" t="s">
        <v>17</v>
      </c>
      <c r="W25" s="771">
        <f>J25</f>
        <v>100</v>
      </c>
      <c r="X25" s="1810"/>
      <c r="Y25" s="3209"/>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9"/>
      <c r="M26" s="1130"/>
      <c r="N26" s="1130"/>
      <c r="O26" s="1138"/>
      <c r="P26" s="3209"/>
      <c r="Q26" s="1807"/>
      <c r="R26" s="770"/>
      <c r="S26" s="771"/>
      <c r="T26" s="770"/>
      <c r="U26" s="771"/>
      <c r="V26" s="770"/>
      <c r="W26" s="771"/>
      <c r="X26" s="1810"/>
      <c r="Y26" s="3209"/>
      <c r="Z26" s="1811"/>
      <c r="AA26" s="1808">
        <v>1</v>
      </c>
      <c r="AB26" s="1808">
        <v>1</v>
      </c>
      <c r="AC26" s="1808">
        <v>1</v>
      </c>
    </row>
    <row r="27" spans="1:29" s="116" customFormat="1" ht="156.75">
      <c r="A27" s="648"/>
      <c r="B27" s="1381" t="s">
        <v>2648</v>
      </c>
      <c r="C27" s="2601" t="str">
        <f>估价对象房地状况!C21</f>
        <v>周边有中国邮政储蓄银行、中国银行、中信银行、罗湖医院、深圳广播电视大学、深圳市南湖小学、深圳市罗湖中学等公共服务配套设施，综合确定公用配套设施齐备情况好。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09"/>
      <c r="Q27" s="1792" t="str">
        <f t="shared" si="8"/>
        <v>公共配套设施</v>
      </c>
      <c r="R27" s="766" t="s">
        <v>17</v>
      </c>
      <c r="S27" s="767">
        <f>F27</f>
        <v>100</v>
      </c>
      <c r="T27" s="766" t="s">
        <v>17</v>
      </c>
      <c r="U27" s="767">
        <f>H27</f>
        <v>100</v>
      </c>
      <c r="V27" s="766" t="s">
        <v>17</v>
      </c>
      <c r="W27" s="767">
        <f>J27</f>
        <v>100</v>
      </c>
      <c r="X27" s="768"/>
      <c r="Y27" s="3209"/>
      <c r="Z27" s="54" t="str">
        <f>Q27</f>
        <v>公共配套设施</v>
      </c>
      <c r="AA27" s="1808">
        <f>D27/F27</f>
        <v>1</v>
      </c>
      <c r="AB27" s="1808">
        <f>D27/H27</f>
        <v>1</v>
      </c>
      <c r="AC27" s="1808">
        <f>D27/J27</f>
        <v>1</v>
      </c>
    </row>
    <row r="28" spans="1:29" s="116" customFormat="1" ht="15">
      <c r="A28" s="648"/>
      <c r="B28" s="455"/>
      <c r="C28" s="2694"/>
      <c r="D28" s="447"/>
      <c r="E28" s="2605"/>
      <c r="F28" s="447"/>
      <c r="G28" s="2605"/>
      <c r="H28" s="447"/>
      <c r="I28" s="446"/>
      <c r="J28" s="447"/>
      <c r="K28" s="671"/>
      <c r="L28" s="1131"/>
      <c r="M28" s="1132"/>
      <c r="N28" s="1132"/>
      <c r="O28" s="1133"/>
      <c r="P28" s="3209"/>
      <c r="Q28" s="1792"/>
      <c r="R28" s="766"/>
      <c r="S28" s="767"/>
      <c r="T28" s="766"/>
      <c r="U28" s="767"/>
      <c r="V28" s="766"/>
      <c r="W28" s="767"/>
      <c r="X28" s="768"/>
      <c r="Y28" s="3209"/>
      <c r="Z28" s="54"/>
      <c r="AA28" s="1808">
        <v>1</v>
      </c>
      <c r="AB28" s="1808">
        <v>1</v>
      </c>
      <c r="AC28" s="1808">
        <v>1</v>
      </c>
    </row>
    <row r="29" spans="1:29" s="116" customFormat="1" ht="42.75">
      <c r="A29" s="648"/>
      <c r="B29" s="1381" t="s">
        <v>2649</v>
      </c>
      <c r="C29" s="2601" t="str">
        <f>估价对象房地状况!C22</f>
        <v>估价对象所在区域基础设施水平达“六通”。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09"/>
      <c r="Q29" s="1792" t="str">
        <f t="shared" ref="Q29" si="9">B29</f>
        <v>基础设施水平</v>
      </c>
      <c r="R29" s="766" t="s">
        <v>17</v>
      </c>
      <c r="S29" s="767">
        <f>F29</f>
        <v>100</v>
      </c>
      <c r="T29" s="766" t="s">
        <v>17</v>
      </c>
      <c r="U29" s="767">
        <f>H29</f>
        <v>100</v>
      </c>
      <c r="V29" s="766" t="s">
        <v>17</v>
      </c>
      <c r="W29" s="767">
        <f>J29</f>
        <v>100</v>
      </c>
      <c r="X29" s="768"/>
      <c r="Y29" s="3209"/>
      <c r="Z29" s="54" t="str">
        <f>Q29</f>
        <v>基础设施水平</v>
      </c>
      <c r="AA29" s="1808">
        <f>D29/F29</f>
        <v>1</v>
      </c>
      <c r="AB29" s="1808">
        <f>D29/H29</f>
        <v>1</v>
      </c>
      <c r="AC29" s="1808">
        <f>D29/J29</f>
        <v>1</v>
      </c>
    </row>
    <row r="30" spans="1:29" s="116" customFormat="1" ht="15">
      <c r="A30" s="648"/>
      <c r="B30" s="455"/>
      <c r="C30" s="2694"/>
      <c r="D30" s="447"/>
      <c r="E30" s="2695"/>
      <c r="F30" s="447"/>
      <c r="G30" s="2695"/>
      <c r="H30" s="447"/>
      <c r="I30" s="2695"/>
      <c r="J30" s="447"/>
      <c r="K30" s="671"/>
      <c r="L30" s="1131"/>
      <c r="M30" s="1132"/>
      <c r="N30" s="1132"/>
      <c r="O30" s="1133"/>
      <c r="P30" s="3209"/>
      <c r="Q30" s="1792"/>
      <c r="R30" s="766"/>
      <c r="S30" s="767"/>
      <c r="T30" s="766"/>
      <c r="U30" s="767"/>
      <c r="V30" s="766"/>
      <c r="W30" s="767"/>
      <c r="X30" s="768"/>
      <c r="Y30" s="3209"/>
      <c r="Z30" s="54"/>
      <c r="AA30" s="1808">
        <v>1</v>
      </c>
      <c r="AB30" s="1808">
        <v>1</v>
      </c>
      <c r="AC30" s="1808">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09"/>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09"/>
      <c r="Z31" s="1811" t="str">
        <f t="shared" ref="Z31:Z45" si="13">Q31</f>
        <v>临街状况</v>
      </c>
      <c r="AA31" s="1808">
        <f t="shared" si="3"/>
        <v>1</v>
      </c>
      <c r="AB31" s="1808">
        <f t="shared" si="4"/>
        <v>1</v>
      </c>
      <c r="AC31" s="1808">
        <f t="shared" si="5"/>
        <v>1</v>
      </c>
    </row>
    <row r="32" spans="1:29" ht="27">
      <c r="A32" s="427"/>
      <c r="B32" s="1381"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09"/>
      <c r="Q32" s="1807" t="str">
        <f t="shared" si="8"/>
        <v>毗邻道路的类型与等级</v>
      </c>
      <c r="R32" s="770" t="s">
        <v>17</v>
      </c>
      <c r="S32" s="771">
        <f t="shared" si="10"/>
        <v>100</v>
      </c>
      <c r="T32" s="770" t="s">
        <v>17</v>
      </c>
      <c r="U32" s="771">
        <f t="shared" si="11"/>
        <v>100</v>
      </c>
      <c r="V32" s="770" t="s">
        <v>17</v>
      </c>
      <c r="W32" s="771">
        <f t="shared" si="12"/>
        <v>100</v>
      </c>
      <c r="X32" s="1810"/>
      <c r="Y32" s="3209"/>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9"/>
      <c r="M33" s="1130"/>
      <c r="N33" s="1130"/>
      <c r="O33" s="1138"/>
      <c r="P33" s="3209"/>
      <c r="Q33" s="1807"/>
      <c r="R33" s="770"/>
      <c r="S33" s="771"/>
      <c r="T33" s="770"/>
      <c r="U33" s="771"/>
      <c r="V33" s="770"/>
      <c r="W33" s="771"/>
      <c r="X33" s="1810"/>
      <c r="Y33" s="3209"/>
      <c r="Z33" s="1811"/>
      <c r="AA33" s="1808">
        <v>1</v>
      </c>
      <c r="AB33" s="1808">
        <v>1</v>
      </c>
      <c r="AC33" s="1808">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9"/>
      <c r="Q34" s="1807" t="str">
        <f t="shared" si="8"/>
        <v>土地级别</v>
      </c>
      <c r="R34" s="770" t="s">
        <v>17</v>
      </c>
      <c r="S34" s="771">
        <f t="shared" si="10"/>
        <v>100</v>
      </c>
      <c r="T34" s="770" t="s">
        <v>17</v>
      </c>
      <c r="U34" s="771">
        <f t="shared" si="11"/>
        <v>100</v>
      </c>
      <c r="V34" s="770" t="s">
        <v>17</v>
      </c>
      <c r="W34" s="771">
        <f t="shared" si="12"/>
        <v>100</v>
      </c>
      <c r="X34" s="1810"/>
      <c r="Y34" s="3209"/>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9"/>
      <c r="Q35" s="1807">
        <f t="shared" si="8"/>
        <v>111</v>
      </c>
      <c r="R35" s="770" t="s">
        <v>17</v>
      </c>
      <c r="S35" s="771">
        <f t="shared" si="10"/>
        <v>100</v>
      </c>
      <c r="T35" s="770" t="s">
        <v>17</v>
      </c>
      <c r="U35" s="771">
        <f t="shared" si="11"/>
        <v>100</v>
      </c>
      <c r="V35" s="770" t="s">
        <v>17</v>
      </c>
      <c r="W35" s="771">
        <f t="shared" si="12"/>
        <v>100</v>
      </c>
      <c r="X35" s="1810"/>
      <c r="Y35" s="3209"/>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6" t="s">
        <v>2559</v>
      </c>
      <c r="Q36" s="1807">
        <f t="shared" si="8"/>
        <v>111</v>
      </c>
      <c r="R36" s="770" t="s">
        <v>17</v>
      </c>
      <c r="S36" s="771">
        <f t="shared" si="10"/>
        <v>100</v>
      </c>
      <c r="T36" s="770" t="s">
        <v>17</v>
      </c>
      <c r="U36" s="771">
        <f t="shared" si="11"/>
        <v>100</v>
      </c>
      <c r="V36" s="770" t="s">
        <v>17</v>
      </c>
      <c r="W36" s="771">
        <f t="shared" si="12"/>
        <v>100</v>
      </c>
      <c r="X36" s="1810"/>
      <c r="Y36" s="3213" t="s">
        <v>2559</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3"/>
      <c r="Q37" s="1807">
        <f t="shared" si="8"/>
        <v>111</v>
      </c>
      <c r="R37" s="773" t="s">
        <v>17</v>
      </c>
      <c r="S37" s="774">
        <f t="shared" si="10"/>
        <v>100</v>
      </c>
      <c r="T37" s="773" t="s">
        <v>17</v>
      </c>
      <c r="U37" s="774">
        <f t="shared" si="11"/>
        <v>100</v>
      </c>
      <c r="V37" s="773" t="s">
        <v>17</v>
      </c>
      <c r="W37" s="774">
        <f t="shared" si="12"/>
        <v>100</v>
      </c>
      <c r="X37" s="775"/>
      <c r="Y37" s="3213"/>
      <c r="Z37" s="776">
        <f t="shared" si="13"/>
        <v>111</v>
      </c>
      <c r="AA37" s="1808">
        <f t="shared" si="3"/>
        <v>1</v>
      </c>
      <c r="AB37" s="1808">
        <f t="shared" si="4"/>
        <v>1</v>
      </c>
      <c r="AC37" s="1808">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3"/>
      <c r="Q38" s="1807" t="str">
        <f>B38</f>
        <v>宗地面积</v>
      </c>
      <c r="R38" s="770" t="s">
        <v>17</v>
      </c>
      <c r="S38" s="771" t="e">
        <f t="shared" si="10"/>
        <v>#N/A</v>
      </c>
      <c r="T38" s="770" t="s">
        <v>17</v>
      </c>
      <c r="U38" s="771" t="e">
        <f t="shared" si="11"/>
        <v>#N/A</v>
      </c>
      <c r="V38" s="770" t="s">
        <v>17</v>
      </c>
      <c r="W38" s="771" t="e">
        <f t="shared" si="12"/>
        <v>#N/A</v>
      </c>
      <c r="X38" s="1810"/>
      <c r="Y38" s="3213"/>
      <c r="Z38" s="1811" t="str">
        <f t="shared" si="13"/>
        <v>宗地面积</v>
      </c>
      <c r="AA38" s="1808" t="e">
        <f t="shared" si="3"/>
        <v>#N/A</v>
      </c>
      <c r="AB38" s="1808" t="e">
        <f t="shared" si="4"/>
        <v>#N/A</v>
      </c>
      <c r="AC38" s="1808" t="e">
        <f t="shared" si="5"/>
        <v>#N/A</v>
      </c>
    </row>
    <row r="39" spans="1:29" ht="15">
      <c r="A39" s="471"/>
      <c r="B39" s="421" t="s">
        <v>2746</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9"/>
      <c r="M39" s="1130"/>
      <c r="N39" s="1130"/>
      <c r="O39" s="1138"/>
      <c r="P39" s="3213"/>
      <c r="Q39" s="1807" t="str">
        <f t="shared" ref="Q39:Q45" si="14">B39</f>
        <v>宗地形状</v>
      </c>
      <c r="R39" s="770" t="s">
        <v>17</v>
      </c>
      <c r="S39" s="771">
        <f t="shared" si="10"/>
        <v>100</v>
      </c>
      <c r="T39" s="770" t="s">
        <v>17</v>
      </c>
      <c r="U39" s="771">
        <f t="shared" si="11"/>
        <v>100</v>
      </c>
      <c r="V39" s="770" t="s">
        <v>17</v>
      </c>
      <c r="W39" s="771">
        <f t="shared" si="12"/>
        <v>100</v>
      </c>
      <c r="X39" s="1810"/>
      <c r="Y39" s="3213"/>
      <c r="Z39" s="1811" t="str">
        <f t="shared" si="13"/>
        <v>宗地形状</v>
      </c>
      <c r="AA39" s="1808">
        <f t="shared" si="3"/>
        <v>1</v>
      </c>
      <c r="AB39" s="1808">
        <f t="shared" si="4"/>
        <v>1</v>
      </c>
      <c r="AC39" s="1808">
        <f t="shared" si="5"/>
        <v>1</v>
      </c>
    </row>
    <row r="40" spans="1:29" ht="15">
      <c r="A40" s="471"/>
      <c r="B40" s="421" t="s">
        <v>2747</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9"/>
      <c r="M40" s="1130"/>
      <c r="N40" s="1130"/>
      <c r="O40" s="1138"/>
      <c r="P40" s="3213"/>
      <c r="Q40" s="1807" t="str">
        <f t="shared" si="14"/>
        <v>临街宽度及深度</v>
      </c>
      <c r="R40" s="770" t="s">
        <v>17</v>
      </c>
      <c r="S40" s="771">
        <f t="shared" si="10"/>
        <v>100</v>
      </c>
      <c r="T40" s="770" t="s">
        <v>17</v>
      </c>
      <c r="U40" s="771">
        <f t="shared" si="11"/>
        <v>100</v>
      </c>
      <c r="V40" s="770" t="s">
        <v>17</v>
      </c>
      <c r="W40" s="771">
        <f t="shared" si="12"/>
        <v>100</v>
      </c>
      <c r="X40" s="1810"/>
      <c r="Y40" s="3213"/>
      <c r="Z40" s="1811" t="str">
        <f t="shared" si="13"/>
        <v>临街宽度及深度</v>
      </c>
      <c r="AA40" s="1808">
        <f t="shared" si="3"/>
        <v>1</v>
      </c>
      <c r="AB40" s="1808">
        <f t="shared" si="4"/>
        <v>1</v>
      </c>
      <c r="AC40" s="1808">
        <f t="shared" si="5"/>
        <v>1</v>
      </c>
    </row>
    <row r="41" spans="1:29" s="116" customFormat="1" ht="15">
      <c r="A41" s="472"/>
      <c r="B41" s="421" t="s">
        <v>2748</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1"/>
      <c r="M41" s="1132"/>
      <c r="N41" s="1132"/>
      <c r="O41" s="1133"/>
      <c r="P41" s="3213"/>
      <c r="Q41" s="1807" t="str">
        <f t="shared" si="14"/>
        <v>宗地开发程度</v>
      </c>
      <c r="R41" s="766" t="s">
        <v>17</v>
      </c>
      <c r="S41" s="767">
        <f t="shared" si="10"/>
        <v>100</v>
      </c>
      <c r="T41" s="766" t="s">
        <v>17</v>
      </c>
      <c r="U41" s="767">
        <f t="shared" si="11"/>
        <v>100</v>
      </c>
      <c r="V41" s="766" t="s">
        <v>17</v>
      </c>
      <c r="W41" s="767">
        <f t="shared" si="12"/>
        <v>100</v>
      </c>
      <c r="X41" s="768"/>
      <c r="Y41" s="3213"/>
      <c r="Z41" s="54" t="str">
        <f t="shared" si="13"/>
        <v>宗地开发程度</v>
      </c>
      <c r="AA41" s="769">
        <f t="shared" si="3"/>
        <v>1</v>
      </c>
      <c r="AB41" s="769">
        <f t="shared" si="4"/>
        <v>1</v>
      </c>
      <c r="AC41" s="769">
        <f t="shared" si="5"/>
        <v>1</v>
      </c>
    </row>
    <row r="42" spans="1:29" ht="15">
      <c r="A42" s="471"/>
      <c r="B42" s="421" t="s">
        <v>2749</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9"/>
      <c r="M42" s="1130"/>
      <c r="N42" s="1130"/>
      <c r="O42" s="1138"/>
      <c r="P42" s="3213" t="s">
        <v>2559</v>
      </c>
      <c r="Q42" s="1807" t="str">
        <f t="shared" si="14"/>
        <v>工程地质条件</v>
      </c>
      <c r="R42" s="770" t="s">
        <v>17</v>
      </c>
      <c r="S42" s="771">
        <f t="shared" si="10"/>
        <v>100</v>
      </c>
      <c r="T42" s="770" t="s">
        <v>17</v>
      </c>
      <c r="U42" s="771">
        <f t="shared" si="11"/>
        <v>100</v>
      </c>
      <c r="V42" s="770" t="s">
        <v>17</v>
      </c>
      <c r="W42" s="771">
        <f t="shared" si="12"/>
        <v>100</v>
      </c>
      <c r="X42" s="1810"/>
      <c r="Y42" s="3213" t="s">
        <v>2559</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3"/>
      <c r="Q43" s="1807">
        <f t="shared" si="14"/>
        <v>111</v>
      </c>
      <c r="R43" s="770" t="s">
        <v>17</v>
      </c>
      <c r="S43" s="771">
        <f t="shared" si="10"/>
        <v>100</v>
      </c>
      <c r="T43" s="770" t="s">
        <v>17</v>
      </c>
      <c r="U43" s="771">
        <f t="shared" si="11"/>
        <v>100</v>
      </c>
      <c r="V43" s="770" t="s">
        <v>17</v>
      </c>
      <c r="W43" s="771">
        <f t="shared" si="12"/>
        <v>100</v>
      </c>
      <c r="X43" s="1810"/>
      <c r="Y43" s="3213"/>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3"/>
      <c r="Q44" s="1807">
        <f t="shared" si="14"/>
        <v>111</v>
      </c>
      <c r="R44" s="770" t="s">
        <v>17</v>
      </c>
      <c r="S44" s="771">
        <f t="shared" si="10"/>
        <v>100</v>
      </c>
      <c r="T44" s="770" t="s">
        <v>17</v>
      </c>
      <c r="U44" s="771">
        <f t="shared" si="11"/>
        <v>100</v>
      </c>
      <c r="V44" s="770" t="s">
        <v>17</v>
      </c>
      <c r="W44" s="771">
        <f t="shared" si="12"/>
        <v>100</v>
      </c>
      <c r="X44" s="1810"/>
      <c r="Y44" s="3213"/>
      <c r="Z44" s="1811">
        <f t="shared" si="13"/>
        <v>111</v>
      </c>
      <c r="AA44" s="1808">
        <f t="shared" si="3"/>
        <v>1</v>
      </c>
      <c r="AB44" s="1808">
        <f t="shared" si="4"/>
        <v>1</v>
      </c>
      <c r="AC44" s="1808">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3"/>
      <c r="Q45" s="1807">
        <f t="shared" si="14"/>
        <v>111</v>
      </c>
      <c r="R45" s="773" t="s">
        <v>17</v>
      </c>
      <c r="S45" s="774">
        <f t="shared" si="10"/>
        <v>100</v>
      </c>
      <c r="T45" s="773" t="s">
        <v>17</v>
      </c>
      <c r="U45" s="774">
        <f t="shared" si="11"/>
        <v>100</v>
      </c>
      <c r="V45" s="773" t="s">
        <v>17</v>
      </c>
      <c r="W45" s="774">
        <f t="shared" si="12"/>
        <v>100</v>
      </c>
      <c r="X45" s="775"/>
      <c r="Y45" s="3213"/>
      <c r="Z45" s="776">
        <f t="shared" si="13"/>
        <v>111</v>
      </c>
      <c r="AA45" s="1808">
        <f t="shared" si="3"/>
        <v>1</v>
      </c>
      <c r="AB45" s="1808">
        <f t="shared" si="4"/>
        <v>1</v>
      </c>
      <c r="AC45" s="1808">
        <f t="shared" si="5"/>
        <v>1</v>
      </c>
    </row>
    <row r="46" spans="1:29" ht="15">
      <c r="A46" s="478" t="s">
        <v>2714</v>
      </c>
      <c r="B46" s="2698" t="s">
        <v>2750</v>
      </c>
      <c r="C46" s="681" t="s">
        <v>1</v>
      </c>
      <c r="D46" s="480"/>
      <c r="E46" s="481"/>
      <c r="F46" s="482"/>
      <c r="G46" s="483"/>
      <c r="H46" s="484"/>
      <c r="I46" s="481"/>
      <c r="J46" s="484"/>
      <c r="K46" s="779"/>
      <c r="L46" s="1142"/>
      <c r="M46" s="1143"/>
      <c r="N46" s="1130"/>
      <c r="O46" s="1143"/>
      <c r="P46" s="3206" t="str">
        <f>A46</f>
        <v>成交单价</v>
      </c>
      <c r="Q46" s="3206"/>
      <c r="R46" s="3237">
        <f>E46</f>
        <v>0</v>
      </c>
      <c r="S46" s="3237"/>
      <c r="T46" s="3237">
        <f>G46</f>
        <v>0</v>
      </c>
      <c r="U46" s="3237"/>
      <c r="V46" s="3237">
        <f>I46</f>
        <v>0</v>
      </c>
      <c r="W46" s="3237"/>
      <c r="X46" s="755"/>
      <c r="Y46" s="777"/>
      <c r="Z46" s="755"/>
      <c r="AA46" s="755"/>
      <c r="AB46" s="755"/>
      <c r="AC46" s="755"/>
    </row>
    <row r="47" spans="1:29" ht="15.75" thickBot="1">
      <c r="A47" s="485" t="s">
        <v>2663</v>
      </c>
      <c r="B47" s="682"/>
      <c r="C47" s="489" t="e">
        <f>R48</f>
        <v>#DIV/0!</v>
      </c>
      <c r="D47" s="488"/>
      <c r="E47" s="489" t="e">
        <f>R47</f>
        <v>#DIV/0!</v>
      </c>
      <c r="F47" s="490"/>
      <c r="G47" s="487" t="e">
        <f>T47</f>
        <v>#DIV/0!</v>
      </c>
      <c r="H47" s="488"/>
      <c r="I47" s="489" t="e">
        <f>V47</f>
        <v>#DIV/0!</v>
      </c>
      <c r="J47" s="488"/>
      <c r="K47" s="780"/>
      <c r="L47" s="1142"/>
      <c r="M47" s="1143"/>
      <c r="N47" s="1143"/>
      <c r="O47" s="1143"/>
      <c r="P47" s="3206" t="str">
        <f>A47</f>
        <v>比较价值（元/平方米）</v>
      </c>
      <c r="Q47" s="3206"/>
      <c r="R47" s="3267" t="e">
        <f>ROUND(PRODUCT(R46,AA7:AA45),0)</f>
        <v>#DIV/0!</v>
      </c>
      <c r="S47" s="3267"/>
      <c r="T47" s="3267" t="e">
        <f>ROUND(PRODUCT(T46,AB7:AB45),0)</f>
        <v>#DIV/0!</v>
      </c>
      <c r="U47" s="3267"/>
      <c r="V47" s="3267" t="e">
        <f>ROUND(PRODUCT(V46,AC7:AC45),0)</f>
        <v>#DIV/0!</v>
      </c>
      <c r="W47" s="3267"/>
      <c r="X47" s="755"/>
      <c r="Y47" s="755"/>
      <c r="Z47" s="755"/>
      <c r="AA47" s="755"/>
      <c r="AB47" s="755"/>
      <c r="AC47" s="755"/>
    </row>
    <row r="48" spans="1:29" ht="15.75" thickBot="1">
      <c r="A48" s="491" t="s">
        <v>2751</v>
      </c>
      <c r="B48" s="492"/>
      <c r="C48" s="493" t="e">
        <f>R48</f>
        <v>#DIV/0!</v>
      </c>
      <c r="D48" s="493"/>
      <c r="E48" s="493"/>
      <c r="F48" s="493"/>
      <c r="G48" s="493"/>
      <c r="H48" s="493"/>
      <c r="I48" s="493"/>
      <c r="J48" s="493"/>
      <c r="K48" s="781"/>
      <c r="L48" s="1142"/>
      <c r="M48" s="1143"/>
      <c r="N48" s="1143"/>
      <c r="O48" s="1143"/>
      <c r="P48" s="3203" t="str">
        <f>A48</f>
        <v>估价对象XX用房的比较价值（楼面单价，元/平方米）</v>
      </c>
      <c r="Q48" s="3204"/>
      <c r="R48" s="3268" t="e">
        <f>ROUND(AVERAGE(R47:V47),0)</f>
        <v>#DIV/0!</v>
      </c>
      <c r="S48" s="3268"/>
      <c r="T48" s="3268"/>
      <c r="U48" s="3268"/>
      <c r="V48" s="3268"/>
      <c r="W48" s="3268"/>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3" t="s">
        <v>2752</v>
      </c>
      <c r="B55" s="684" t="s">
        <v>2753</v>
      </c>
      <c r="C55" s="2699" t="s">
        <v>2754</v>
      </c>
      <c r="D55" s="2700" t="s">
        <v>2755</v>
      </c>
      <c r="E55" s="685" t="s">
        <v>2756</v>
      </c>
      <c r="F55" s="1106" t="s">
        <v>2757</v>
      </c>
      <c r="G55" s="3221" t="s">
        <v>2758</v>
      </c>
      <c r="H55" s="3269"/>
      <c r="I55" s="143" t="s">
        <v>2759</v>
      </c>
      <c r="J55" s="2701" t="str">
        <f>项目基本情况!F35</f>
        <v>广东省深圳市</v>
      </c>
      <c r="K55" s="2702" t="s">
        <v>2760</v>
      </c>
      <c r="L55" s="1105"/>
      <c r="M55" s="1143"/>
      <c r="N55" s="1143"/>
      <c r="O55" s="1143"/>
    </row>
    <row r="56" spans="1:15" s="691" customFormat="1">
      <c r="A56" s="687" t="s">
        <v>2761</v>
      </c>
      <c r="B56" s="688" t="e">
        <f>C48</f>
        <v>#DIV/0!</v>
      </c>
      <c r="C56" s="689">
        <v>1</v>
      </c>
      <c r="D56" s="1162">
        <v>1</v>
      </c>
      <c r="E56" s="689">
        <f>'数据-汇总表'!E8+'数据-汇总表'!E9</f>
        <v>4002.1</v>
      </c>
      <c r="F56" s="1102" t="e">
        <f t="shared" ref="F56:F65" si="15">ROUND(B56*E56/10000,0)</f>
        <v>#DIV/0!</v>
      </c>
      <c r="G56" s="3217"/>
      <c r="H56" s="3206"/>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70"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70"/>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70"/>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70"/>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3"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3"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4"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1029</v>
      </c>
      <c r="E66" s="695">
        <f>IF(B46="楼面地价",SUM(E56:E65),'数据-汇总表'!D3)</f>
        <v>4002.1</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2668</v>
      </c>
      <c r="B69" s="755"/>
      <c r="C69" s="760"/>
      <c r="D69" s="760"/>
      <c r="E69" s="760"/>
      <c r="F69" s="761"/>
      <c r="G69" s="761"/>
      <c r="H69" s="760"/>
      <c r="I69" s="760"/>
      <c r="J69" s="1158"/>
      <c r="K69" s="1159"/>
      <c r="L69" s="1160"/>
      <c r="M69" s="1158"/>
      <c r="N69" s="1158"/>
      <c r="O69" s="1158"/>
      <c r="P69" s="502"/>
      <c r="Q69" s="503"/>
    </row>
    <row r="70" spans="1:17" s="507" customFormat="1" ht="15">
      <c r="A70" s="2705" t="s">
        <v>2776</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2777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4"/>
      <c r="N71" s="594"/>
      <c r="O71" s="1565"/>
      <c r="P71" s="503"/>
    </row>
    <row r="72" spans="1:17" s="116" customFormat="1" ht="15.75" thickBot="1">
      <c r="A72" s="514" t="s">
        <v>2579</v>
      </c>
      <c r="B72" s="515"/>
      <c r="C72" s="516"/>
      <c r="D72" s="517"/>
      <c r="E72" s="517"/>
      <c r="F72" s="517"/>
      <c r="G72" s="517"/>
      <c r="H72" s="517"/>
      <c r="I72" s="517"/>
      <c r="J72" s="517"/>
      <c r="K72" s="517"/>
      <c r="L72" s="517"/>
      <c r="M72" s="518"/>
      <c r="N72" s="517"/>
      <c r="O72" s="1161"/>
      <c r="P72" s="503"/>
      <c r="Q72" s="503"/>
    </row>
    <row r="73" spans="1:17" s="116" customFormat="1" ht="15">
      <c r="A73" s="520" t="s">
        <v>2544</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2551</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2321</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1" t="s">
        <v>2640</v>
      </c>
      <c r="D4" s="3222"/>
      <c r="E4" s="3223" t="s">
        <v>2641</v>
      </c>
      <c r="F4" s="3224"/>
      <c r="G4" s="3221" t="s">
        <v>2642</v>
      </c>
      <c r="H4" s="3222"/>
      <c r="I4" s="3221" t="s">
        <v>2643</v>
      </c>
      <c r="J4" s="3222"/>
      <c r="K4" s="609" t="s">
        <v>2644</v>
      </c>
      <c r="L4" s="1129"/>
      <c r="M4" s="1130"/>
      <c r="N4" s="1130"/>
      <c r="O4" s="1130"/>
      <c r="P4" s="3225" t="s">
        <v>2645</v>
      </c>
      <c r="Q4" s="3226"/>
      <c r="R4" s="3231" t="s">
        <v>2641</v>
      </c>
      <c r="S4" s="3232"/>
      <c r="T4" s="3231" t="s">
        <v>2642</v>
      </c>
      <c r="U4" s="3232"/>
      <c r="V4" s="3237" t="s">
        <v>2643</v>
      </c>
      <c r="W4" s="3237"/>
      <c r="X4" s="1810"/>
      <c r="Y4" s="3231" t="s">
        <v>2645</v>
      </c>
      <c r="Z4" s="3232"/>
      <c r="AA4" s="3218" t="s">
        <v>2641</v>
      </c>
      <c r="AB4" s="3219" t="s">
        <v>2642</v>
      </c>
      <c r="AC4" s="3218" t="s">
        <v>2643</v>
      </c>
    </row>
    <row r="5" spans="1:29" ht="15">
      <c r="A5" s="403"/>
      <c r="B5" s="404"/>
      <c r="C5" s="3240" t="s">
        <v>2536</v>
      </c>
      <c r="D5" s="3241"/>
      <c r="E5" s="3247" t="s">
        <v>2537</v>
      </c>
      <c r="F5" s="3248"/>
      <c r="G5" s="3240" t="s">
        <v>2538</v>
      </c>
      <c r="H5" s="3241"/>
      <c r="I5" s="3240" t="s">
        <v>2539</v>
      </c>
      <c r="J5" s="3241"/>
      <c r="K5" s="609"/>
      <c r="L5" s="1129"/>
      <c r="M5" s="1130"/>
      <c r="N5" s="1130"/>
      <c r="O5" s="1130"/>
      <c r="P5" s="3227"/>
      <c r="Q5" s="3228"/>
      <c r="R5" s="3233"/>
      <c r="S5" s="3234"/>
      <c r="T5" s="3233"/>
      <c r="U5" s="3234"/>
      <c r="V5" s="3237"/>
      <c r="W5" s="3237"/>
      <c r="X5" s="1810"/>
      <c r="Y5" s="3233"/>
      <c r="Z5" s="3234"/>
      <c r="AA5" s="3219"/>
      <c r="AB5" s="3219"/>
      <c r="AC5" s="3219"/>
    </row>
    <row r="6" spans="1:29" ht="15.75" thickBot="1">
      <c r="A6" s="405"/>
      <c r="B6" s="406"/>
      <c r="C6" s="3271" t="s">
        <v>2791</v>
      </c>
      <c r="D6" s="3272"/>
      <c r="E6" s="3273" t="s">
        <v>2791</v>
      </c>
      <c r="F6" s="3274"/>
      <c r="G6" s="3271" t="s">
        <v>2791</v>
      </c>
      <c r="H6" s="3272"/>
      <c r="I6" s="3271" t="s">
        <v>2791</v>
      </c>
      <c r="J6" s="3272"/>
      <c r="K6" s="609" t="s">
        <v>2541</v>
      </c>
      <c r="L6" s="1129"/>
      <c r="M6" s="1130"/>
      <c r="N6" s="1130"/>
      <c r="O6" s="1130"/>
      <c r="P6" s="3229"/>
      <c r="Q6" s="3230"/>
      <c r="R6" s="3233"/>
      <c r="S6" s="3234"/>
      <c r="T6" s="3235"/>
      <c r="U6" s="3236"/>
      <c r="V6" s="3237"/>
      <c r="W6" s="3237"/>
      <c r="X6" s="1810"/>
      <c r="Y6" s="3235"/>
      <c r="Z6" s="3236"/>
      <c r="AA6" s="3220"/>
      <c r="AB6" s="3220"/>
      <c r="AC6" s="3220"/>
    </row>
    <row r="7" spans="1:29" s="116" customFormat="1" ht="15.75" thickBot="1">
      <c r="A7" s="407" t="s">
        <v>2542</v>
      </c>
      <c r="B7" s="408"/>
      <c r="C7" s="409">
        <f>'数据-取费表'!B2</f>
        <v>43276</v>
      </c>
      <c r="D7" s="410">
        <v>100</v>
      </c>
      <c r="E7" s="411"/>
      <c r="F7" s="412">
        <f>SUMIF(65:65,YEAR(E7)&amp;"-"&amp;INT((MONTH(E7)+2)/3),66:66)</f>
        <v>0</v>
      </c>
      <c r="G7" s="2690"/>
      <c r="H7" s="410">
        <f>SUMIF(65:65,YEAR(G7)&amp;"-"&amp;INT((MONTH(G7)+2)/3),66:66)</f>
        <v>0</v>
      </c>
      <c r="I7" s="2690"/>
      <c r="J7" s="410">
        <f>SUMIF(65:65,YEAR(I7)&amp;"-"&amp;INT((MONTH(I7)+2)/3),66:66)</f>
        <v>0</v>
      </c>
      <c r="K7" s="610"/>
      <c r="L7" s="1131"/>
      <c r="M7" s="1132"/>
      <c r="N7" s="1132"/>
      <c r="O7" s="1132"/>
      <c r="P7" s="3242" t="s">
        <v>2543</v>
      </c>
      <c r="Q7" s="3244"/>
      <c r="R7" s="766" t="s">
        <v>17</v>
      </c>
      <c r="S7" s="767">
        <f t="shared" ref="S7:S15" si="0">F7</f>
        <v>0</v>
      </c>
      <c r="T7" s="766" t="s">
        <v>17</v>
      </c>
      <c r="U7" s="767">
        <f t="shared" ref="U7:U15" si="1">H7</f>
        <v>0</v>
      </c>
      <c r="V7" s="766" t="s">
        <v>17</v>
      </c>
      <c r="W7" s="767">
        <f t="shared" ref="W7:W15" si="2">J7</f>
        <v>0</v>
      </c>
      <c r="X7" s="768"/>
      <c r="Y7" s="3242" t="s">
        <v>2543</v>
      </c>
      <c r="Z7" s="3243"/>
      <c r="AA7" s="769" t="e">
        <f>D7/F7</f>
        <v>#DIV/0!</v>
      </c>
      <c r="AB7" s="769" t="e">
        <f>D7/H7</f>
        <v>#DIV/0!</v>
      </c>
      <c r="AC7" s="769"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2" t="s">
        <v>2546</v>
      </c>
      <c r="Q8" s="3243"/>
      <c r="R8" s="766" t="s">
        <v>17</v>
      </c>
      <c r="S8" s="767">
        <f t="shared" si="0"/>
        <v>0</v>
      </c>
      <c r="T8" s="766" t="s">
        <v>17</v>
      </c>
      <c r="U8" s="767">
        <f t="shared" si="1"/>
        <v>0</v>
      </c>
      <c r="V8" s="766" t="s">
        <v>17</v>
      </c>
      <c r="W8" s="767">
        <f t="shared" si="2"/>
        <v>0</v>
      </c>
      <c r="X8" s="768"/>
      <c r="Y8" s="3242" t="s">
        <v>2546</v>
      </c>
      <c r="Z8" s="3243"/>
      <c r="AA8" s="769" t="e">
        <f t="shared" ref="AA8:AA40" si="3">D8/F8</f>
        <v>#DIV/0!</v>
      </c>
      <c r="AB8" s="769" t="e">
        <f t="shared" ref="AB8:AB40" si="4">D8/H8</f>
        <v>#DIV/0!</v>
      </c>
      <c r="AC8" s="769" t="e">
        <f t="shared" ref="AC8:AC40" si="5">D8/J8</f>
        <v>#DIV/0!</v>
      </c>
    </row>
    <row r="9" spans="1:29" s="116" customFormat="1">
      <c r="A9" s="414" t="s">
        <v>2547</v>
      </c>
      <c r="B9" s="70" t="s">
        <v>2548</v>
      </c>
      <c r="C9" s="2693"/>
      <c r="D9" s="134">
        <v>100</v>
      </c>
      <c r="E9" s="2693"/>
      <c r="F9" s="134">
        <f>SUMIF(70:70,E9,71:71)-SUMIF(70:70,C9,71:71)+100</f>
        <v>100</v>
      </c>
      <c r="G9" s="2693"/>
      <c r="H9" s="134">
        <f>SUMIF(70:70,G9,71:71)-SUMIF(70:70,C9,71:71)+100</f>
        <v>100</v>
      </c>
      <c r="I9" s="2693"/>
      <c r="J9" s="134">
        <f>SUMIF(70:70,I9,71:71)-SUMIF(70:70,C9,71:71)+100</f>
        <v>100</v>
      </c>
      <c r="K9" s="610"/>
      <c r="L9" s="1131"/>
      <c r="M9" s="1132"/>
      <c r="N9" s="1132"/>
      <c r="O9" s="1133"/>
      <c r="P9" s="3206" t="s">
        <v>2549</v>
      </c>
      <c r="Q9" s="1792" t="str">
        <f t="shared" ref="Q9:Q15" si="6">B9</f>
        <v>用途</v>
      </c>
      <c r="R9" s="766" t="s">
        <v>17</v>
      </c>
      <c r="S9" s="767">
        <f t="shared" si="0"/>
        <v>100</v>
      </c>
      <c r="T9" s="766" t="s">
        <v>17</v>
      </c>
      <c r="U9" s="767">
        <f t="shared" si="1"/>
        <v>100</v>
      </c>
      <c r="V9" s="766" t="s">
        <v>17</v>
      </c>
      <c r="W9" s="767">
        <f t="shared" si="2"/>
        <v>100</v>
      </c>
      <c r="X9" s="768"/>
      <c r="Y9" s="3031" t="s">
        <v>2550</v>
      </c>
      <c r="Z9" s="54" t="str">
        <f t="shared" ref="Z9:Z15" si="7">Q9</f>
        <v>用途</v>
      </c>
      <c r="AA9" s="769">
        <f t="shared" si="3"/>
        <v>1</v>
      </c>
      <c r="AB9" s="769">
        <f t="shared" si="4"/>
        <v>1</v>
      </c>
      <c r="AC9" s="769">
        <f t="shared" si="5"/>
        <v>1</v>
      </c>
    </row>
    <row r="10" spans="1:29" s="426" customFormat="1" ht="27">
      <c r="A10" s="420"/>
      <c r="B10" s="421" t="s">
        <v>2551</v>
      </c>
      <c r="C10" s="431"/>
      <c r="D10" s="135">
        <v>100</v>
      </c>
      <c r="E10" s="431"/>
      <c r="F10" s="135">
        <f>ROUND(100/'数据-取费表'!G16,0)</f>
        <v>120</v>
      </c>
      <c r="G10" s="431"/>
      <c r="H10" s="135">
        <f>ROUND(100/'数据-取费表'!G16,0)</f>
        <v>120</v>
      </c>
      <c r="I10" s="431"/>
      <c r="J10" s="135">
        <f>ROUND(100/'数据-取费表'!G16,0)</f>
        <v>120</v>
      </c>
      <c r="K10" s="671"/>
      <c r="L10" s="1134"/>
      <c r="M10" s="1135"/>
      <c r="N10" s="1135"/>
      <c r="O10" s="1136"/>
      <c r="P10" s="3206"/>
      <c r="Q10" s="1792" t="str">
        <f t="shared" si="6"/>
        <v>土地使用年限（年）</v>
      </c>
      <c r="R10" s="766" t="s">
        <v>17</v>
      </c>
      <c r="S10" s="767">
        <f t="shared" si="0"/>
        <v>120</v>
      </c>
      <c r="T10" s="766" t="s">
        <v>17</v>
      </c>
      <c r="U10" s="767">
        <f t="shared" si="1"/>
        <v>120</v>
      </c>
      <c r="V10" s="766" t="s">
        <v>17</v>
      </c>
      <c r="W10" s="767">
        <f t="shared" si="2"/>
        <v>120</v>
      </c>
      <c r="X10" s="768"/>
      <c r="Y10" s="3031"/>
      <c r="Z10" s="54" t="str">
        <f t="shared" si="7"/>
        <v>土地使用年限（年）</v>
      </c>
      <c r="AA10" s="769">
        <f t="shared" si="3"/>
        <v>0.83333333333333337</v>
      </c>
      <c r="AB10" s="769">
        <f t="shared" si="4"/>
        <v>0.83333333333333337</v>
      </c>
      <c r="AC10" s="769">
        <f t="shared" si="5"/>
        <v>0.83333333333333337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6"/>
      <c r="Q11" s="1792" t="str">
        <f t="shared" si="6"/>
        <v>容积率</v>
      </c>
      <c r="R11" s="766" t="s">
        <v>17</v>
      </c>
      <c r="S11" s="767" t="e">
        <f t="shared" si="0"/>
        <v>#N/A</v>
      </c>
      <c r="T11" s="766" t="s">
        <v>17</v>
      </c>
      <c r="U11" s="767" t="e">
        <f t="shared" si="1"/>
        <v>#N/A</v>
      </c>
      <c r="V11" s="766" t="s">
        <v>17</v>
      </c>
      <c r="W11" s="767" t="e">
        <f t="shared" si="2"/>
        <v>#N/A</v>
      </c>
      <c r="X11" s="768"/>
      <c r="Y11" s="3031"/>
      <c r="Z11" s="54" t="str">
        <f t="shared" si="7"/>
        <v>容积率</v>
      </c>
      <c r="AA11" s="769" t="e">
        <f t="shared" si="3"/>
        <v>#N/A</v>
      </c>
      <c r="AB11" s="769" t="e">
        <f t="shared" si="4"/>
        <v>#N/A</v>
      </c>
      <c r="AC11" s="769"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6"/>
      <c r="Q12" s="1792">
        <f t="shared" si="6"/>
        <v>111</v>
      </c>
      <c r="R12" s="766" t="s">
        <v>17</v>
      </c>
      <c r="S12" s="767">
        <f t="shared" si="0"/>
        <v>100</v>
      </c>
      <c r="T12" s="766" t="s">
        <v>17</v>
      </c>
      <c r="U12" s="767">
        <f t="shared" si="1"/>
        <v>100</v>
      </c>
      <c r="V12" s="766" t="s">
        <v>17</v>
      </c>
      <c r="W12" s="767">
        <f t="shared" si="2"/>
        <v>100</v>
      </c>
      <c r="X12" s="768"/>
      <c r="Y12" s="3031"/>
      <c r="Z12" s="54">
        <f t="shared" si="7"/>
        <v>111</v>
      </c>
      <c r="AA12" s="769">
        <f>D12/F12</f>
        <v>1</v>
      </c>
      <c r="AB12" s="769">
        <f>D12/H12</f>
        <v>1</v>
      </c>
      <c r="AC12" s="769">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6"/>
      <c r="Q13" s="1792">
        <f t="shared" si="6"/>
        <v>111</v>
      </c>
      <c r="R13" s="766" t="s">
        <v>17</v>
      </c>
      <c r="S13" s="767">
        <f t="shared" si="0"/>
        <v>100</v>
      </c>
      <c r="T13" s="766" t="s">
        <v>17</v>
      </c>
      <c r="U13" s="767">
        <f t="shared" si="1"/>
        <v>100</v>
      </c>
      <c r="V13" s="766" t="s">
        <v>17</v>
      </c>
      <c r="W13" s="767">
        <f t="shared" si="2"/>
        <v>100</v>
      </c>
      <c r="X13" s="768"/>
      <c r="Y13" s="3031"/>
      <c r="Z13" s="54">
        <f t="shared" si="7"/>
        <v>111</v>
      </c>
      <c r="AA13" s="769">
        <f t="shared" si="3"/>
        <v>1</v>
      </c>
      <c r="AB13" s="769">
        <f t="shared" si="4"/>
        <v>1</v>
      </c>
      <c r="AC13" s="769">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6"/>
      <c r="Q14" s="1792">
        <f t="shared" si="6"/>
        <v>111</v>
      </c>
      <c r="R14" s="766" t="s">
        <v>17</v>
      </c>
      <c r="S14" s="767">
        <f t="shared" si="0"/>
        <v>100</v>
      </c>
      <c r="T14" s="766" t="s">
        <v>17</v>
      </c>
      <c r="U14" s="767">
        <f t="shared" si="1"/>
        <v>100</v>
      </c>
      <c r="V14" s="766" t="s">
        <v>17</v>
      </c>
      <c r="W14" s="767">
        <f t="shared" si="2"/>
        <v>100</v>
      </c>
      <c r="X14" s="768"/>
      <c r="Y14" s="3031"/>
      <c r="Z14" s="54">
        <f t="shared" si="7"/>
        <v>111</v>
      </c>
      <c r="AA14" s="769">
        <f t="shared" si="3"/>
        <v>1</v>
      </c>
      <c r="AB14" s="769">
        <f t="shared" si="4"/>
        <v>1</v>
      </c>
      <c r="AC14" s="769">
        <f t="shared" si="5"/>
        <v>1</v>
      </c>
    </row>
    <row r="15" spans="1:29" ht="57">
      <c r="A15" s="439" t="s">
        <v>2553</v>
      </c>
      <c r="B15" s="628" t="s">
        <v>2792</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8" t="s">
        <v>2554</v>
      </c>
      <c r="Q15" s="1807" t="str">
        <f t="shared" si="6"/>
        <v>产业集聚程度</v>
      </c>
      <c r="R15" s="770" t="s">
        <v>17</v>
      </c>
      <c r="S15" s="771">
        <f t="shared" si="0"/>
        <v>100</v>
      </c>
      <c r="T15" s="770" t="s">
        <v>17</v>
      </c>
      <c r="U15" s="771">
        <f t="shared" si="1"/>
        <v>100</v>
      </c>
      <c r="V15" s="770" t="s">
        <v>17</v>
      </c>
      <c r="W15" s="771">
        <f t="shared" si="2"/>
        <v>100</v>
      </c>
      <c r="X15" s="1810"/>
      <c r="Y15" s="3208" t="s">
        <v>2554</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9"/>
      <c r="M16" s="1130"/>
      <c r="N16" s="1130"/>
      <c r="O16" s="1138"/>
      <c r="P16" s="3209"/>
      <c r="Q16" s="1807"/>
      <c r="R16" s="770"/>
      <c r="S16" s="771"/>
      <c r="T16" s="770"/>
      <c r="U16" s="771"/>
      <c r="V16" s="770"/>
      <c r="W16" s="771"/>
      <c r="X16" s="1810"/>
      <c r="Y16" s="3209"/>
      <c r="Z16" s="1811"/>
      <c r="AA16" s="1808">
        <v>1</v>
      </c>
      <c r="AB16" s="1808">
        <v>1</v>
      </c>
      <c r="AC16" s="1808">
        <v>1</v>
      </c>
    </row>
    <row r="17" spans="1:29" ht="85.5">
      <c r="A17" s="427"/>
      <c r="B17" s="630" t="s">
        <v>2703</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9"/>
      <c r="Q17" s="1807" t="str">
        <f>B17</f>
        <v>交通便捷度</v>
      </c>
      <c r="R17" s="770" t="s">
        <v>17</v>
      </c>
      <c r="S17" s="771">
        <f>F17</f>
        <v>100</v>
      </c>
      <c r="T17" s="770" t="s">
        <v>17</v>
      </c>
      <c r="U17" s="771">
        <f>H17</f>
        <v>100</v>
      </c>
      <c r="V17" s="770" t="s">
        <v>17</v>
      </c>
      <c r="W17" s="771">
        <f>J17</f>
        <v>100</v>
      </c>
      <c r="X17" s="1810"/>
      <c r="Y17" s="3209"/>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9"/>
      <c r="M18" s="1130"/>
      <c r="N18" s="1130"/>
      <c r="O18" s="1138"/>
      <c r="P18" s="3209"/>
      <c r="Q18" s="1807"/>
      <c r="R18" s="770"/>
      <c r="S18" s="771"/>
      <c r="T18" s="770"/>
      <c r="U18" s="771"/>
      <c r="V18" s="770"/>
      <c r="W18" s="771"/>
      <c r="X18" s="1810"/>
      <c r="Y18" s="3209"/>
      <c r="Z18" s="1811"/>
      <c r="AA18" s="1808">
        <v>1</v>
      </c>
      <c r="AB18" s="1808">
        <v>1</v>
      </c>
      <c r="AC18" s="1808">
        <v>1</v>
      </c>
    </row>
    <row r="19" spans="1:29" ht="15">
      <c r="A19" s="427"/>
      <c r="B19" s="630" t="s">
        <v>2742</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9"/>
      <c r="Q19" s="1807" t="str">
        <f t="shared" ref="Q19:Q33" si="8">B19</f>
        <v>区域土地利用方向</v>
      </c>
      <c r="R19" s="770" t="s">
        <v>17</v>
      </c>
      <c r="S19" s="771">
        <f>F19</f>
        <v>100</v>
      </c>
      <c r="T19" s="770" t="s">
        <v>17</v>
      </c>
      <c r="U19" s="771">
        <f>H19</f>
        <v>100</v>
      </c>
      <c r="V19" s="770" t="s">
        <v>17</v>
      </c>
      <c r="W19" s="771">
        <f>J19</f>
        <v>100</v>
      </c>
      <c r="X19" s="1810"/>
      <c r="Y19" s="3209"/>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8"/>
      <c r="L20" s="1139"/>
      <c r="M20" s="1130"/>
      <c r="N20" s="1130"/>
      <c r="O20" s="1138"/>
      <c r="P20" s="3209"/>
      <c r="Q20" s="1807"/>
      <c r="R20" s="770"/>
      <c r="S20" s="771"/>
      <c r="T20" s="770"/>
      <c r="U20" s="771"/>
      <c r="V20" s="770"/>
      <c r="W20" s="771"/>
      <c r="X20" s="1810"/>
      <c r="Y20" s="3209"/>
      <c r="Z20" s="1811"/>
      <c r="AA20" s="1808"/>
      <c r="AB20" s="1808"/>
      <c r="AC20" s="1808"/>
    </row>
    <row r="21" spans="1:29" ht="71.25">
      <c r="A21" s="403"/>
      <c r="B21" s="630" t="s">
        <v>2793</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9"/>
      <c r="Q21" s="1807" t="str">
        <f t="shared" si="8"/>
        <v>环境状况</v>
      </c>
      <c r="R21" s="770" t="s">
        <v>17</v>
      </c>
      <c r="S21" s="771">
        <f>F21</f>
        <v>100</v>
      </c>
      <c r="T21" s="770" t="s">
        <v>17</v>
      </c>
      <c r="U21" s="771">
        <f>H21</f>
        <v>100</v>
      </c>
      <c r="V21" s="770" t="s">
        <v>17</v>
      </c>
      <c r="W21" s="771">
        <f>J21</f>
        <v>100</v>
      </c>
      <c r="X21" s="1810"/>
      <c r="Y21" s="3209"/>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9"/>
      <c r="M22" s="1130"/>
      <c r="N22" s="1130"/>
      <c r="O22" s="1138"/>
      <c r="P22" s="3209"/>
      <c r="Q22" s="1807"/>
      <c r="R22" s="770"/>
      <c r="S22" s="771"/>
      <c r="T22" s="770"/>
      <c r="U22" s="771"/>
      <c r="V22" s="770"/>
      <c r="W22" s="771"/>
      <c r="X22" s="1810"/>
      <c r="Y22" s="3209"/>
      <c r="Z22" s="1811"/>
      <c r="AA22" s="1808">
        <v>1</v>
      </c>
      <c r="AB22" s="1808">
        <v>1</v>
      </c>
      <c r="AC22" s="1808">
        <v>1</v>
      </c>
    </row>
    <row r="23" spans="1:29" s="116" customFormat="1" ht="42.75">
      <c r="A23" s="648"/>
      <c r="B23" s="632" t="s">
        <v>2648</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9"/>
      <c r="Q23" s="1792" t="str">
        <f t="shared" si="8"/>
        <v>公共配套设施</v>
      </c>
      <c r="R23" s="766" t="s">
        <v>17</v>
      </c>
      <c r="S23" s="767">
        <f>F23</f>
        <v>100</v>
      </c>
      <c r="T23" s="766" t="s">
        <v>17</v>
      </c>
      <c r="U23" s="767">
        <f>H23</f>
        <v>100</v>
      </c>
      <c r="V23" s="766" t="s">
        <v>17</v>
      </c>
      <c r="W23" s="767">
        <f>J23</f>
        <v>100</v>
      </c>
      <c r="X23" s="768"/>
      <c r="Y23" s="3209"/>
      <c r="Z23" s="54"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1"/>
      <c r="M24" s="1132"/>
      <c r="N24" s="1132"/>
      <c r="O24" s="1133"/>
      <c r="P24" s="3209"/>
      <c r="Q24" s="1792"/>
      <c r="R24" s="766"/>
      <c r="S24" s="767"/>
      <c r="T24" s="766"/>
      <c r="U24" s="767"/>
      <c r="V24" s="766"/>
      <c r="W24" s="767"/>
      <c r="X24" s="768"/>
      <c r="Y24" s="3209"/>
      <c r="Z24" s="54"/>
      <c r="AA24" s="769">
        <v>1</v>
      </c>
      <c r="AB24" s="769">
        <v>1</v>
      </c>
      <c r="AC24" s="769">
        <v>1</v>
      </c>
    </row>
    <row r="25" spans="1:29" s="116" customFormat="1" ht="28.5">
      <c r="A25" s="648"/>
      <c r="B25" s="632" t="s">
        <v>2649</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9"/>
      <c r="Q25" s="1792" t="str">
        <f t="shared" ref="Q25" si="9">B25</f>
        <v>基础设施水平</v>
      </c>
      <c r="R25" s="766" t="s">
        <v>17</v>
      </c>
      <c r="S25" s="767">
        <f>F25</f>
        <v>100</v>
      </c>
      <c r="T25" s="766" t="s">
        <v>17</v>
      </c>
      <c r="U25" s="767">
        <f>H25</f>
        <v>100</v>
      </c>
      <c r="V25" s="766" t="s">
        <v>17</v>
      </c>
      <c r="W25" s="767">
        <f>J25</f>
        <v>100</v>
      </c>
      <c r="X25" s="768"/>
      <c r="Y25" s="3209"/>
      <c r="Z25" s="54"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1"/>
      <c r="M26" s="1132"/>
      <c r="N26" s="1132"/>
      <c r="O26" s="1133"/>
      <c r="P26" s="3209"/>
      <c r="Q26" s="1792"/>
      <c r="R26" s="766"/>
      <c r="S26" s="767"/>
      <c r="T26" s="766"/>
      <c r="U26" s="767"/>
      <c r="V26" s="766"/>
      <c r="W26" s="767"/>
      <c r="X26" s="768"/>
      <c r="Y26" s="3209"/>
      <c r="Z26" s="54"/>
      <c r="AA26" s="769">
        <v>1</v>
      </c>
      <c r="AB26" s="769">
        <v>1</v>
      </c>
      <c r="AC26" s="769">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9"/>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09"/>
      <c r="Z27" s="1811" t="str">
        <f t="shared" ref="Z27:Z40" si="13">Q27</f>
        <v>临街状况</v>
      </c>
      <c r="AA27" s="1808">
        <f t="shared" si="3"/>
        <v>1</v>
      </c>
      <c r="AB27" s="1808">
        <f t="shared" si="4"/>
        <v>1</v>
      </c>
      <c r="AC27" s="1808">
        <f t="shared" si="5"/>
        <v>1</v>
      </c>
    </row>
    <row r="28" spans="1:29" ht="27">
      <c r="A28" s="427"/>
      <c r="B28" s="632" t="s">
        <v>2685</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9"/>
      <c r="Q28" s="1807" t="str">
        <f t="shared" si="8"/>
        <v>毗邻道路的类型与等级</v>
      </c>
      <c r="R28" s="770" t="s">
        <v>17</v>
      </c>
      <c r="S28" s="771">
        <f t="shared" si="10"/>
        <v>100</v>
      </c>
      <c r="T28" s="770" t="s">
        <v>17</v>
      </c>
      <c r="U28" s="771">
        <f t="shared" si="11"/>
        <v>100</v>
      </c>
      <c r="V28" s="770" t="s">
        <v>17</v>
      </c>
      <c r="W28" s="771">
        <f t="shared" si="12"/>
        <v>100</v>
      </c>
      <c r="X28" s="1810"/>
      <c r="Y28" s="3209"/>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9"/>
      <c r="M29" s="1130"/>
      <c r="N29" s="1130"/>
      <c r="O29" s="1138"/>
      <c r="P29" s="3209"/>
      <c r="Q29" s="1807"/>
      <c r="R29" s="770"/>
      <c r="S29" s="771"/>
      <c r="T29" s="770"/>
      <c r="U29" s="771"/>
      <c r="V29" s="770"/>
      <c r="W29" s="771"/>
      <c r="X29" s="1810"/>
      <c r="Y29" s="3209"/>
      <c r="Z29" s="1811"/>
      <c r="AA29" s="1808">
        <v>1</v>
      </c>
      <c r="AB29" s="1808">
        <v>1</v>
      </c>
      <c r="AC29" s="1808">
        <v>1</v>
      </c>
    </row>
    <row r="30" spans="1:29" ht="15">
      <c r="A30" s="427"/>
      <c r="B30" s="653" t="s">
        <v>2744</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9"/>
      <c r="Q30" s="1807" t="str">
        <f t="shared" si="8"/>
        <v>土地级别</v>
      </c>
      <c r="R30" s="770" t="s">
        <v>17</v>
      </c>
      <c r="S30" s="771">
        <f t="shared" si="10"/>
        <v>100</v>
      </c>
      <c r="T30" s="770" t="s">
        <v>17</v>
      </c>
      <c r="U30" s="771">
        <f t="shared" si="11"/>
        <v>100</v>
      </c>
      <c r="V30" s="770" t="s">
        <v>17</v>
      </c>
      <c r="W30" s="771">
        <f t="shared" si="12"/>
        <v>100</v>
      </c>
      <c r="X30" s="1810"/>
      <c r="Y30" s="3209"/>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9"/>
      <c r="Q31" s="1807">
        <f t="shared" si="8"/>
        <v>111</v>
      </c>
      <c r="R31" s="770" t="s">
        <v>17</v>
      </c>
      <c r="S31" s="771">
        <f t="shared" si="10"/>
        <v>100</v>
      </c>
      <c r="T31" s="770" t="s">
        <v>17</v>
      </c>
      <c r="U31" s="771">
        <f t="shared" si="11"/>
        <v>100</v>
      </c>
      <c r="V31" s="770" t="s">
        <v>17</v>
      </c>
      <c r="W31" s="771">
        <f t="shared" si="12"/>
        <v>100</v>
      </c>
      <c r="X31" s="1810"/>
      <c r="Y31" s="3209"/>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6" t="s">
        <v>2559</v>
      </c>
      <c r="Q32" s="1807">
        <f t="shared" si="8"/>
        <v>111</v>
      </c>
      <c r="R32" s="770" t="s">
        <v>17</v>
      </c>
      <c r="S32" s="771">
        <f t="shared" si="10"/>
        <v>100</v>
      </c>
      <c r="T32" s="770" t="s">
        <v>17</v>
      </c>
      <c r="U32" s="771">
        <f t="shared" si="11"/>
        <v>100</v>
      </c>
      <c r="V32" s="770" t="s">
        <v>17</v>
      </c>
      <c r="W32" s="771">
        <f t="shared" si="12"/>
        <v>100</v>
      </c>
      <c r="X32" s="1810"/>
      <c r="Y32" s="3213" t="s">
        <v>2559</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3"/>
      <c r="Q33" s="1807">
        <f t="shared" si="8"/>
        <v>111</v>
      </c>
      <c r="R33" s="773" t="s">
        <v>17</v>
      </c>
      <c r="S33" s="774">
        <f t="shared" si="10"/>
        <v>100</v>
      </c>
      <c r="T33" s="773" t="s">
        <v>17</v>
      </c>
      <c r="U33" s="774">
        <f t="shared" si="11"/>
        <v>100</v>
      </c>
      <c r="V33" s="773" t="s">
        <v>17</v>
      </c>
      <c r="W33" s="774">
        <f t="shared" si="12"/>
        <v>100</v>
      </c>
      <c r="X33" s="775"/>
      <c r="Y33" s="3213"/>
      <c r="Z33" s="776">
        <f t="shared" si="13"/>
        <v>111</v>
      </c>
      <c r="AA33" s="1808">
        <f t="shared" si="3"/>
        <v>1</v>
      </c>
      <c r="AB33" s="1808">
        <f t="shared" si="4"/>
        <v>1</v>
      </c>
      <c r="AC33" s="1808">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3"/>
      <c r="Q34" s="1807" t="str">
        <f>B34</f>
        <v>宗地面积</v>
      </c>
      <c r="R34" s="770" t="s">
        <v>17</v>
      </c>
      <c r="S34" s="771" t="e">
        <f t="shared" si="10"/>
        <v>#N/A</v>
      </c>
      <c r="T34" s="770" t="s">
        <v>17</v>
      </c>
      <c r="U34" s="771" t="e">
        <f t="shared" si="11"/>
        <v>#N/A</v>
      </c>
      <c r="V34" s="770" t="s">
        <v>17</v>
      </c>
      <c r="W34" s="771" t="e">
        <f t="shared" si="12"/>
        <v>#N/A</v>
      </c>
      <c r="X34" s="1810"/>
      <c r="Y34" s="3213"/>
      <c r="Z34" s="1811" t="str">
        <f t="shared" si="13"/>
        <v>宗地面积</v>
      </c>
      <c r="AA34" s="1808" t="e">
        <f t="shared" si="3"/>
        <v>#N/A</v>
      </c>
      <c r="AB34" s="1808" t="e">
        <f t="shared" si="4"/>
        <v>#N/A</v>
      </c>
      <c r="AC34" s="1808" t="e">
        <f t="shared" si="5"/>
        <v>#N/A</v>
      </c>
    </row>
    <row r="35" spans="1:29" ht="15">
      <c r="A35" s="471"/>
      <c r="B35" s="421" t="s">
        <v>2746</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9"/>
      <c r="M35" s="1130"/>
      <c r="N35" s="1130"/>
      <c r="O35" s="1138"/>
      <c r="P35" s="3213"/>
      <c r="Q35" s="1807" t="str">
        <f t="shared" ref="Q35:Q40" si="14">B35</f>
        <v>宗地形状</v>
      </c>
      <c r="R35" s="770" t="s">
        <v>17</v>
      </c>
      <c r="S35" s="771">
        <f t="shared" si="10"/>
        <v>100</v>
      </c>
      <c r="T35" s="770" t="s">
        <v>17</v>
      </c>
      <c r="U35" s="771">
        <f t="shared" si="11"/>
        <v>100</v>
      </c>
      <c r="V35" s="770" t="s">
        <v>17</v>
      </c>
      <c r="W35" s="771">
        <f t="shared" si="12"/>
        <v>100</v>
      </c>
      <c r="X35" s="1810"/>
      <c r="Y35" s="3213"/>
      <c r="Z35" s="1811" t="str">
        <f t="shared" si="13"/>
        <v>宗地形状</v>
      </c>
      <c r="AA35" s="1808">
        <f t="shared" si="3"/>
        <v>1</v>
      </c>
      <c r="AB35" s="1808">
        <f t="shared" si="4"/>
        <v>1</v>
      </c>
      <c r="AC35" s="1808">
        <f t="shared" si="5"/>
        <v>1</v>
      </c>
    </row>
    <row r="36" spans="1:29" s="116" customFormat="1" ht="15">
      <c r="A36" s="472"/>
      <c r="B36" s="421" t="s">
        <v>2748</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1"/>
      <c r="M36" s="1132"/>
      <c r="N36" s="1132"/>
      <c r="O36" s="1133"/>
      <c r="P36" s="3213"/>
      <c r="Q36" s="1807" t="str">
        <f t="shared" si="14"/>
        <v>宗地开发程度</v>
      </c>
      <c r="R36" s="766" t="s">
        <v>17</v>
      </c>
      <c r="S36" s="767">
        <f t="shared" si="10"/>
        <v>100</v>
      </c>
      <c r="T36" s="766" t="s">
        <v>17</v>
      </c>
      <c r="U36" s="767">
        <f t="shared" si="11"/>
        <v>100</v>
      </c>
      <c r="V36" s="766" t="s">
        <v>17</v>
      </c>
      <c r="W36" s="767">
        <f t="shared" si="12"/>
        <v>100</v>
      </c>
      <c r="X36" s="768"/>
      <c r="Y36" s="3213"/>
      <c r="Z36" s="54" t="str">
        <f t="shared" si="13"/>
        <v>宗地开发程度</v>
      </c>
      <c r="AA36" s="769">
        <f t="shared" si="3"/>
        <v>1</v>
      </c>
      <c r="AB36" s="769">
        <f t="shared" si="4"/>
        <v>1</v>
      </c>
      <c r="AC36" s="769">
        <f t="shared" si="5"/>
        <v>1</v>
      </c>
    </row>
    <row r="37" spans="1:29" ht="15">
      <c r="A37" s="471"/>
      <c r="B37" s="421" t="s">
        <v>2749</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9"/>
      <c r="M37" s="1130"/>
      <c r="N37" s="1130"/>
      <c r="O37" s="1138"/>
      <c r="P37" s="3213" t="s">
        <v>2559</v>
      </c>
      <c r="Q37" s="1807" t="str">
        <f t="shared" si="14"/>
        <v>工程地质条件</v>
      </c>
      <c r="R37" s="770" t="s">
        <v>17</v>
      </c>
      <c r="S37" s="771">
        <f t="shared" si="10"/>
        <v>100</v>
      </c>
      <c r="T37" s="770" t="s">
        <v>17</v>
      </c>
      <c r="U37" s="771">
        <f t="shared" si="11"/>
        <v>100</v>
      </c>
      <c r="V37" s="770" t="s">
        <v>17</v>
      </c>
      <c r="W37" s="771">
        <f t="shared" si="12"/>
        <v>100</v>
      </c>
      <c r="X37" s="1810"/>
      <c r="Y37" s="3213" t="s">
        <v>2559</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3"/>
      <c r="Q38" s="1807">
        <f t="shared" si="14"/>
        <v>111</v>
      </c>
      <c r="R38" s="770" t="s">
        <v>17</v>
      </c>
      <c r="S38" s="771">
        <f t="shared" si="10"/>
        <v>100</v>
      </c>
      <c r="T38" s="770" t="s">
        <v>17</v>
      </c>
      <c r="U38" s="771">
        <f t="shared" si="11"/>
        <v>100</v>
      </c>
      <c r="V38" s="770" t="s">
        <v>17</v>
      </c>
      <c r="W38" s="771">
        <f t="shared" si="12"/>
        <v>100</v>
      </c>
      <c r="X38" s="1810"/>
      <c r="Y38" s="3213"/>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3"/>
      <c r="Q39" s="1807">
        <f t="shared" si="14"/>
        <v>111</v>
      </c>
      <c r="R39" s="770" t="s">
        <v>17</v>
      </c>
      <c r="S39" s="771">
        <f t="shared" si="10"/>
        <v>100</v>
      </c>
      <c r="T39" s="770" t="s">
        <v>17</v>
      </c>
      <c r="U39" s="771">
        <f t="shared" si="11"/>
        <v>100</v>
      </c>
      <c r="V39" s="770" t="s">
        <v>17</v>
      </c>
      <c r="W39" s="771">
        <f t="shared" si="12"/>
        <v>100</v>
      </c>
      <c r="X39" s="1810"/>
      <c r="Y39" s="3213"/>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3"/>
      <c r="Q40" s="1807">
        <f t="shared" si="14"/>
        <v>111</v>
      </c>
      <c r="R40" s="773" t="s">
        <v>17</v>
      </c>
      <c r="S40" s="774">
        <f t="shared" si="10"/>
        <v>100</v>
      </c>
      <c r="T40" s="773" t="s">
        <v>17</v>
      </c>
      <c r="U40" s="774">
        <f t="shared" si="11"/>
        <v>100</v>
      </c>
      <c r="V40" s="773" t="s">
        <v>17</v>
      </c>
      <c r="W40" s="774">
        <f t="shared" si="12"/>
        <v>100</v>
      </c>
      <c r="X40" s="775"/>
      <c r="Y40" s="3213"/>
      <c r="Z40" s="776">
        <f t="shared" si="13"/>
        <v>111</v>
      </c>
      <c r="AA40" s="1808">
        <f t="shared" si="3"/>
        <v>1</v>
      </c>
      <c r="AB40" s="1808">
        <f t="shared" si="4"/>
        <v>1</v>
      </c>
      <c r="AC40" s="1808">
        <f t="shared" si="5"/>
        <v>1</v>
      </c>
    </row>
    <row r="41" spans="1:29" ht="15">
      <c r="A41" s="478" t="s">
        <v>2714</v>
      </c>
      <c r="B41" s="2698" t="s">
        <v>2794</v>
      </c>
      <c r="C41" s="681" t="s">
        <v>1</v>
      </c>
      <c r="D41" s="480"/>
      <c r="E41" s="481"/>
      <c r="F41" s="482"/>
      <c r="G41" s="483"/>
      <c r="H41" s="484"/>
      <c r="I41" s="481"/>
      <c r="J41" s="484"/>
      <c r="K41" s="779"/>
      <c r="L41" s="1142"/>
      <c r="M41" s="1130"/>
      <c r="N41" s="1130"/>
      <c r="O41" s="1143"/>
      <c r="P41" s="3206" t="str">
        <f>A41</f>
        <v>成交单价</v>
      </c>
      <c r="Q41" s="3206"/>
      <c r="R41" s="3237">
        <f>E41</f>
        <v>0</v>
      </c>
      <c r="S41" s="3237"/>
      <c r="T41" s="3237">
        <f>G41</f>
        <v>0</v>
      </c>
      <c r="U41" s="3237"/>
      <c r="V41" s="3237">
        <f>I41</f>
        <v>0</v>
      </c>
      <c r="W41" s="3237"/>
      <c r="X41" s="755"/>
      <c r="Y41" s="777"/>
      <c r="Z41" s="755"/>
      <c r="AA41" s="755"/>
      <c r="AB41" s="755"/>
      <c r="AC41" s="755"/>
    </row>
    <row r="42" spans="1:29" ht="15.75" thickBot="1">
      <c r="A42" s="485" t="s">
        <v>2663</v>
      </c>
      <c r="B42" s="682"/>
      <c r="C42" s="489" t="e">
        <f>R43</f>
        <v>#DIV/0!</v>
      </c>
      <c r="D42" s="488"/>
      <c r="E42" s="489" t="e">
        <f>R42</f>
        <v>#DIV/0!</v>
      </c>
      <c r="F42" s="490"/>
      <c r="G42" s="487" t="e">
        <f>T42</f>
        <v>#DIV/0!</v>
      </c>
      <c r="H42" s="488"/>
      <c r="I42" s="489" t="e">
        <f>V42</f>
        <v>#DIV/0!</v>
      </c>
      <c r="J42" s="488"/>
      <c r="K42" s="780"/>
      <c r="L42" s="1142"/>
      <c r="M42" s="1130"/>
      <c r="N42" s="1130"/>
      <c r="O42" s="1143"/>
      <c r="P42" s="3206" t="str">
        <f>A42</f>
        <v>比较价值（元/平方米）</v>
      </c>
      <c r="Q42" s="3206"/>
      <c r="R42" s="3267" t="e">
        <f>ROUND(PRODUCT(R41,AA7:AA40),0)</f>
        <v>#DIV/0!</v>
      </c>
      <c r="S42" s="3267"/>
      <c r="T42" s="3267" t="e">
        <f>ROUND(PRODUCT(T41,AB7:AB40),0)</f>
        <v>#DIV/0!</v>
      </c>
      <c r="U42" s="3267"/>
      <c r="V42" s="3267" t="e">
        <f>ROUND(PRODUCT(V41,AC7:AC40),0)</f>
        <v>#DIV/0!</v>
      </c>
      <c r="W42" s="3267"/>
      <c r="X42" s="755"/>
      <c r="Y42" s="755"/>
      <c r="Z42" s="755"/>
      <c r="AA42" s="755"/>
      <c r="AB42" s="755"/>
      <c r="AC42" s="755"/>
    </row>
    <row r="43" spans="1:29" ht="15.75" thickBot="1">
      <c r="A43" s="491" t="s">
        <v>2664</v>
      </c>
      <c r="B43" s="492"/>
      <c r="C43" s="493" t="e">
        <f>R43</f>
        <v>#DIV/0!</v>
      </c>
      <c r="D43" s="493"/>
      <c r="E43" s="493"/>
      <c r="F43" s="493"/>
      <c r="G43" s="493"/>
      <c r="H43" s="493"/>
      <c r="I43" s="493"/>
      <c r="J43" s="493"/>
      <c r="K43" s="781"/>
      <c r="L43" s="1142"/>
      <c r="M43" s="1130"/>
      <c r="N43" s="1130"/>
      <c r="O43" s="1143"/>
      <c r="P43" s="3203" t="str">
        <f>A43</f>
        <v>估价对象XX用房的比较价值（楼面单价，元/平方米）</v>
      </c>
      <c r="Q43" s="3204"/>
      <c r="R43" s="3268" t="e">
        <f>ROUND(AVERAGE(R42:V42),0)</f>
        <v>#DIV/0!</v>
      </c>
      <c r="S43" s="3268"/>
      <c r="T43" s="3268"/>
      <c r="U43" s="3268"/>
      <c r="V43" s="3268"/>
      <c r="W43" s="3268"/>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3" t="s">
        <v>2752</v>
      </c>
      <c r="B50" s="684" t="s">
        <v>2753</v>
      </c>
      <c r="C50" s="2699" t="s">
        <v>2754</v>
      </c>
      <c r="D50" s="2700" t="s">
        <v>2755</v>
      </c>
      <c r="E50" s="685" t="s">
        <v>2756</v>
      </c>
      <c r="F50" s="686" t="s">
        <v>2757</v>
      </c>
      <c r="G50" s="3221" t="s">
        <v>2758</v>
      </c>
      <c r="H50" s="3269"/>
      <c r="I50" s="1811" t="s">
        <v>2795</v>
      </c>
      <c r="J50" s="1811" t="str">
        <f>项目基本情况!F35</f>
        <v>广东省深圳市</v>
      </c>
      <c r="K50" s="2702" t="s">
        <v>2760</v>
      </c>
      <c r="L50" s="1105"/>
      <c r="M50" s="1143"/>
      <c r="N50" s="1143"/>
      <c r="O50" s="1143"/>
    </row>
    <row r="51" spans="1:17" s="691" customFormat="1">
      <c r="A51" s="687" t="s">
        <v>2761</v>
      </c>
      <c r="B51" s="688" t="e">
        <f>C43</f>
        <v>#DIV/0!</v>
      </c>
      <c r="C51" s="689">
        <v>1</v>
      </c>
      <c r="D51" s="1162">
        <v>1</v>
      </c>
      <c r="E51" s="689">
        <f>'数据-汇总表'!E8+'数据-汇总表'!E9</f>
        <v>4002.1</v>
      </c>
      <c r="F51" s="690" t="e">
        <f t="shared" ref="F51:F60" si="15">ROUND(B51*E51/10000,0)</f>
        <v>#DIV/0!</v>
      </c>
      <c r="G51" s="3217"/>
      <c r="H51" s="3206"/>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70"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70"/>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70"/>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70"/>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3"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3"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4"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1029</v>
      </c>
      <c r="E61" s="695">
        <f>IF(B41="楼面地价",SUM(E51:E60),'数据-汇总表'!D3)</f>
        <v>1000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2668</v>
      </c>
      <c r="B64" s="755"/>
      <c r="C64" s="760"/>
      <c r="D64" s="760"/>
      <c r="E64" s="760"/>
      <c r="F64" s="761"/>
      <c r="G64" s="761"/>
      <c r="H64" s="760"/>
      <c r="I64" s="760"/>
      <c r="J64" s="760"/>
      <c r="K64" s="762"/>
      <c r="L64" s="763"/>
      <c r="M64" s="760"/>
      <c r="N64" s="760"/>
      <c r="O64" s="1158"/>
      <c r="P64" s="502"/>
      <c r="Q64" s="503"/>
    </row>
    <row r="65" spans="1:17" s="507" customFormat="1" ht="15">
      <c r="A65" s="2705" t="s">
        <v>2776</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2796</v>
      </c>
      <c r="B66" s="331" t="str">
        <f>"北京市平均增长率"&amp;TEXT(基准地价修正!P24,"0.00%")</f>
        <v>北京市平均增长率1.35%</v>
      </c>
      <c r="C66" s="602">
        <v>100</v>
      </c>
      <c r="D66" s="594"/>
      <c r="E66" s="594"/>
      <c r="F66" s="594"/>
      <c r="G66" s="594"/>
      <c r="H66" s="594"/>
      <c r="I66" s="594"/>
      <c r="J66" s="594"/>
      <c r="K66" s="594"/>
      <c r="L66" s="594"/>
      <c r="M66" s="1564"/>
      <c r="N66" s="1564"/>
      <c r="O66" s="1566"/>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2551</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2798</v>
      </c>
      <c r="B1" s="240"/>
      <c r="C1" s="244" t="s">
        <v>2799</v>
      </c>
      <c r="D1" s="387">
        <f>SUM(D29:D30,D33:D39)</f>
        <v>0</v>
      </c>
      <c r="E1" s="2711"/>
      <c r="F1" s="2711"/>
      <c r="G1" s="2711"/>
      <c r="H1" s="2711"/>
      <c r="I1" s="2711"/>
      <c r="J1" s="2711"/>
      <c r="K1" s="1367"/>
      <c r="L1" s="2712" t="s">
        <v>2800</v>
      </c>
      <c r="M1" s="1079">
        <f>SUMPRODUCT((区片价!B5:B9=I2)*(区片价!C3:F3=E2)*(区片价!C5:F9))</f>
        <v>0</v>
      </c>
      <c r="N1" s="1082">
        <f>SUMPRODUCT((因素修正幅度!B5:B9=I2)*(因素修正幅度!C3:F3=E2)*(因素修正幅度!C5:F9))</f>
        <v>0</v>
      </c>
      <c r="O1" s="2713"/>
      <c r="P1" s="2713"/>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4" t="s">
        <v>2806</v>
      </c>
      <c r="B2" s="247"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67"/>
      <c r="L2" s="2720" t="s">
        <v>2811</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2812</v>
      </c>
      <c r="B3" s="247" t="e">
        <f>ROUND(B2*10000/D1,0)</f>
        <v>#DIV/0!</v>
      </c>
      <c r="C3" s="2715" t="s">
        <v>2813</v>
      </c>
      <c r="D3" s="2716" t="s">
        <v>2814</v>
      </c>
      <c r="E3" s="2721"/>
      <c r="F3" s="2722" t="s">
        <v>2815</v>
      </c>
      <c r="G3" s="912">
        <f>IF(F3="宗地容积率",'数据-汇总表'!I4,IF(F3="估价对象容积率",'数据-汇总表'!I6,'数据-汇总表'!I7))</f>
        <v>4</v>
      </c>
      <c r="H3" s="197" t="s">
        <v>2816</v>
      </c>
      <c r="I3" s="943"/>
      <c r="J3" s="2719" t="s">
        <v>2817</v>
      </c>
      <c r="K3" s="1367"/>
      <c r="L3" s="2720" t="s">
        <v>2818</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78"/>
      <c r="B4" s="3279"/>
      <c r="C4" s="3279"/>
      <c r="D4" s="3280"/>
      <c r="E4" s="3280"/>
      <c r="F4" s="3280"/>
      <c r="G4" s="3280"/>
      <c r="H4" s="3280"/>
      <c r="I4" s="3280"/>
      <c r="J4" s="3281"/>
      <c r="K4" s="1367"/>
      <c r="L4" s="2720" t="s">
        <v>2819</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2820</v>
      </c>
      <c r="C5" s="913" t="e">
        <f>ROUND(IF(E2="商业",IF(F16="增加",C6*C7+C16,C6*C7-C16),IF(E2="住宅",IF(F16="增加",C6*C12+C16,C6*C12-C16),IF(F16="增加",C6+C16,C6-C16))),0)</f>
        <v>#DIV/0!</v>
      </c>
      <c r="D5" s="1784">
        <f>ROUND(IF(E2="商业",IF(F16="增加",C6+C16,C6-C16)),0)</f>
        <v>0</v>
      </c>
      <c r="E5" s="2725"/>
      <c r="F5" s="2725"/>
      <c r="G5" s="2726"/>
      <c r="H5" s="2726"/>
      <c r="I5" s="2726"/>
      <c r="J5" s="2727"/>
      <c r="K5" s="2728"/>
      <c r="L5" s="2720" t="s">
        <v>2821</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2822</v>
      </c>
      <c r="B6" s="2734" t="s">
        <v>2823</v>
      </c>
      <c r="C6" s="914">
        <f>SUMIF(L1:L12,G2,M1:M12)</f>
        <v>0</v>
      </c>
      <c r="D6" s="2735" t="s">
        <v>2824</v>
      </c>
      <c r="E6" s="2736"/>
      <c r="F6" s="2736"/>
      <c r="G6" s="2737"/>
      <c r="H6" s="2737"/>
      <c r="I6" s="2737"/>
      <c r="J6" s="2738"/>
      <c r="K6" s="1839"/>
      <c r="L6" s="2720" t="s">
        <v>2825</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82" t="str">
        <f>IF(E2="商业",IF(C8="不临58条商业街","",2),"")</f>
        <v/>
      </c>
      <c r="B7" s="2739" t="s">
        <v>2826</v>
      </c>
      <c r="C7" s="915" t="e">
        <f>IF(C8="不临58条商业街",1,ROUND(1+(1.6*E8+1.2*E9+0.8*E10+0.4*E11)*C9,4))</f>
        <v>#DIV/0!</v>
      </c>
      <c r="D7" s="2740" t="s">
        <v>2827</v>
      </c>
      <c r="E7" s="944"/>
      <c r="F7" s="2741"/>
      <c r="G7" s="2742"/>
      <c r="H7" s="2742"/>
      <c r="I7" s="2742"/>
      <c r="J7" s="2743"/>
      <c r="K7" s="1839"/>
      <c r="L7" s="2720" t="s">
        <v>2828</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2829</v>
      </c>
      <c r="X7" s="1601">
        <f>G2</f>
        <v>0</v>
      </c>
      <c r="Y7" s="1601" t="s">
        <v>2830</v>
      </c>
      <c r="Z7" s="1602">
        <f>G3</f>
        <v>4</v>
      </c>
      <c r="AA7" s="1603"/>
      <c r="AB7" s="1603"/>
      <c r="AC7" s="1604"/>
      <c r="AD7" s="1605"/>
      <c r="AE7" s="1605"/>
      <c r="AF7" s="1605"/>
      <c r="AG7" s="1605"/>
      <c r="AH7" s="1605"/>
      <c r="AI7" s="1605"/>
      <c r="AJ7" s="1606"/>
    </row>
    <row r="8" spans="1:36" ht="15">
      <c r="A8" s="3283"/>
      <c r="B8" s="197" t="s">
        <v>2831</v>
      </c>
      <c r="C8" s="2744"/>
      <c r="D8" s="916" t="s">
        <v>139</v>
      </c>
      <c r="E8" s="917" t="e">
        <f>ROUND(C11/E7,4)</f>
        <v>#DIV/0!</v>
      </c>
      <c r="F8" s="2745" t="s">
        <v>2832</v>
      </c>
      <c r="G8" s="2746"/>
      <c r="H8" s="2746"/>
      <c r="I8" s="2746"/>
      <c r="J8" s="2747"/>
      <c r="K8" s="1367"/>
      <c r="L8" s="2720" t="s">
        <v>2833</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75" t="s">
        <v>2834</v>
      </c>
      <c r="X8" s="3276"/>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c r="A9" s="3283"/>
      <c r="B9" s="197" t="s">
        <v>2847</v>
      </c>
      <c r="C9" s="918">
        <f>SUMIF(修正!C59:C119,C8,修正!E59:E119)</f>
        <v>0</v>
      </c>
      <c r="D9" s="199" t="s">
        <v>140</v>
      </c>
      <c r="E9" s="199" t="e">
        <f>ROUND(C11/E7,4)</f>
        <v>#DIV/0!</v>
      </c>
      <c r="F9" s="2745" t="s">
        <v>2848</v>
      </c>
      <c r="G9" s="2746"/>
      <c r="H9" s="2746"/>
      <c r="I9" s="2746"/>
      <c r="J9" s="2747"/>
      <c r="K9" s="1367"/>
      <c r="L9" s="2720" t="s">
        <v>2849</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77"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3"/>
      <c r="B10" s="197" t="s">
        <v>2852</v>
      </c>
      <c r="C10" s="199">
        <f>SUMIF(修正!C59:C119,C8,修正!F59:F119)</f>
        <v>0</v>
      </c>
      <c r="D10" s="199" t="s">
        <v>141</v>
      </c>
      <c r="E10" s="199" t="e">
        <f>ROUND(C11/E7,4)</f>
        <v>#DIV/0!</v>
      </c>
      <c r="F10" s="2745" t="s">
        <v>2853</v>
      </c>
      <c r="G10" s="2746"/>
      <c r="H10" s="2746"/>
      <c r="I10" s="2746"/>
      <c r="J10" s="2747"/>
      <c r="K10" s="1367"/>
      <c r="L10" s="2720" t="s">
        <v>2854</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3"/>
      <c r="B11" s="2748" t="s">
        <v>2855</v>
      </c>
      <c r="C11" s="919">
        <f>C10/4</f>
        <v>0</v>
      </c>
      <c r="D11" s="919" t="s">
        <v>142</v>
      </c>
      <c r="E11" s="919" t="e">
        <f>ROUND(C11/E7,4)</f>
        <v>#DIV/0!</v>
      </c>
      <c r="F11" s="2749" t="s">
        <v>2856</v>
      </c>
      <c r="G11" s="2750"/>
      <c r="H11" s="2750"/>
      <c r="I11" s="2750"/>
      <c r="J11" s="2751"/>
      <c r="K11" s="1367"/>
      <c r="L11" s="2720" t="s">
        <v>2857</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77" t="s">
        <v>2858</v>
      </c>
      <c r="X11" s="1611" t="s">
        <v>2859</v>
      </c>
      <c r="Y11" s="1612">
        <f>$G$3</f>
        <v>4</v>
      </c>
      <c r="Z11" s="1612">
        <f t="shared" ref="Z11:AJ11" si="3">$G$3</f>
        <v>4</v>
      </c>
      <c r="AA11" s="1612">
        <f t="shared" si="3"/>
        <v>4</v>
      </c>
      <c r="AB11" s="1612">
        <f t="shared" si="3"/>
        <v>4</v>
      </c>
      <c r="AC11" s="1612">
        <f t="shared" si="3"/>
        <v>4</v>
      </c>
      <c r="AD11" s="1612">
        <f t="shared" si="3"/>
        <v>4</v>
      </c>
      <c r="AE11" s="1612">
        <f t="shared" si="3"/>
        <v>4</v>
      </c>
      <c r="AF11" s="1612">
        <f t="shared" si="3"/>
        <v>4</v>
      </c>
      <c r="AG11" s="1612">
        <f t="shared" si="3"/>
        <v>4</v>
      </c>
      <c r="AH11" s="1612">
        <f t="shared" si="3"/>
        <v>4</v>
      </c>
      <c r="AI11" s="1612">
        <f t="shared" si="3"/>
        <v>4</v>
      </c>
      <c r="AJ11" s="1612">
        <f t="shared" si="3"/>
        <v>4</v>
      </c>
    </row>
    <row r="12" spans="1:36" ht="25.5" thickBot="1">
      <c r="A12" s="3282" t="s">
        <v>2860</v>
      </c>
      <c r="B12" s="2752" t="s">
        <v>2861</v>
      </c>
      <c r="C12" s="915">
        <f>ROUND(C15*D15*E15*F15*G15*H15*I15*J15,4)</f>
        <v>1</v>
      </c>
      <c r="D12" s="2753" t="s">
        <v>2862</v>
      </c>
      <c r="E12" s="2754"/>
      <c r="F12" s="2754"/>
      <c r="G12" s="2755"/>
      <c r="H12" s="2755"/>
      <c r="I12" s="2755"/>
      <c r="J12" s="2756"/>
      <c r="K12" s="1367"/>
      <c r="L12" s="2757" t="s">
        <v>2863</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77"/>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84"/>
      <c r="B13" s="2758" t="s">
        <v>2865</v>
      </c>
      <c r="C13" s="2759" t="s">
        <v>2866</v>
      </c>
      <c r="D13" s="1805" t="s">
        <v>2867</v>
      </c>
      <c r="E13" s="1805" t="s">
        <v>2868</v>
      </c>
      <c r="F13" s="29" t="s">
        <v>2869</v>
      </c>
      <c r="G13" s="2760" t="s">
        <v>2870</v>
      </c>
      <c r="H13" s="2760" t="s">
        <v>2870</v>
      </c>
      <c r="I13" s="2760" t="s">
        <v>2870</v>
      </c>
      <c r="J13" s="2761" t="s">
        <v>2870</v>
      </c>
      <c r="K13" s="1367"/>
      <c r="L13" s="1367"/>
      <c r="M13" s="1367"/>
      <c r="N13" s="1367"/>
      <c r="O13" s="1367"/>
      <c r="P13" s="1367"/>
      <c r="Q13" s="1367"/>
      <c r="R13" s="1599">
        <v>12</v>
      </c>
      <c r="S13" s="1600"/>
      <c r="T13" s="1599" t="e">
        <f t="shared" si="0"/>
        <v>#DIV/0!</v>
      </c>
      <c r="U13" s="1600"/>
      <c r="V13" s="1599" t="e">
        <f t="shared" si="1"/>
        <v>#DIV/0!</v>
      </c>
      <c r="W13" s="3277"/>
      <c r="X13" s="1613"/>
      <c r="Y13" s="1610">
        <f>(-0.163*(Y12^2)-0.59*Y12+7617)*(10^(-4))/Y11</f>
        <v>0.19042500000000001</v>
      </c>
      <c r="Z13" s="1610">
        <f t="shared" ref="Z13:AJ13" si="5">(-0.163*(Z12^2)-0.59*Z12+7617)*(10^(-4))/Z11</f>
        <v>0.19042500000000001</v>
      </c>
      <c r="AA13" s="1610">
        <f t="shared" si="5"/>
        <v>0.19042500000000001</v>
      </c>
      <c r="AB13" s="1610">
        <f t="shared" si="5"/>
        <v>0.19042500000000001</v>
      </c>
      <c r="AC13" s="1610">
        <f t="shared" si="5"/>
        <v>0.19042500000000001</v>
      </c>
      <c r="AD13" s="1610">
        <f t="shared" si="5"/>
        <v>0.19042500000000001</v>
      </c>
      <c r="AE13" s="1610">
        <f t="shared" si="5"/>
        <v>0.19042500000000001</v>
      </c>
      <c r="AF13" s="1610">
        <f t="shared" si="5"/>
        <v>0.19042500000000001</v>
      </c>
      <c r="AG13" s="1610">
        <f t="shared" si="5"/>
        <v>0.19042500000000001</v>
      </c>
      <c r="AH13" s="1610">
        <f t="shared" si="5"/>
        <v>0.19042500000000001</v>
      </c>
      <c r="AI13" s="1610">
        <f t="shared" si="5"/>
        <v>0.19042500000000001</v>
      </c>
      <c r="AJ13" s="1610">
        <f t="shared" si="5"/>
        <v>0.19042500000000001</v>
      </c>
    </row>
    <row r="14" spans="1:36" ht="15">
      <c r="A14" s="3284"/>
      <c r="B14" s="2762"/>
      <c r="C14" s="2763"/>
      <c r="D14" s="2764"/>
      <c r="E14" s="2764"/>
      <c r="F14" s="2765"/>
      <c r="G14" s="2766" t="s">
        <v>2871</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85"/>
      <c r="B15" s="2770" t="s">
        <v>2872</v>
      </c>
      <c r="C15" s="228">
        <f>IF(C14="有",1.1,1)</f>
        <v>1</v>
      </c>
      <c r="D15" s="228">
        <f>IF(D14="有",1.1,1)</f>
        <v>1</v>
      </c>
      <c r="E15" s="228">
        <f>IF(E14="有",1.1,1)</f>
        <v>1</v>
      </c>
      <c r="F15" s="228">
        <f>IF(F14="500米范围内",1.2,IF(F14="500-1000米",1.1,1))</f>
        <v>1</v>
      </c>
      <c r="G15" s="945">
        <v>1</v>
      </c>
      <c r="H15" s="945">
        <v>1</v>
      </c>
      <c r="I15" s="945">
        <v>1</v>
      </c>
      <c r="J15" s="946">
        <v>1</v>
      </c>
      <c r="K15" s="1367"/>
      <c r="L15" s="2771" t="s">
        <v>2808</v>
      </c>
      <c r="M15" s="916" t="s">
        <v>2873</v>
      </c>
      <c r="N15" s="916" t="s">
        <v>2874</v>
      </c>
      <c r="O15" s="916" t="s">
        <v>2875</v>
      </c>
      <c r="P15" s="2772" t="s">
        <v>2876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2" t="s">
        <v>2877</v>
      </c>
      <c r="B16" s="2739" t="s">
        <v>2878</v>
      </c>
      <c r="C16" s="1798" t="e">
        <f>ROUND(SUM(G17:J17)/C17,0)</f>
        <v>#DIV/0!</v>
      </c>
      <c r="D16" s="2773" t="s">
        <v>2879</v>
      </c>
      <c r="E16" s="2774"/>
      <c r="F16" s="2775"/>
      <c r="G16" s="2776"/>
      <c r="H16" s="2776"/>
      <c r="I16" s="2776"/>
      <c r="J16" s="2777"/>
      <c r="K16" s="1367"/>
      <c r="L16" s="2778" t="s">
        <v>2880</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3"/>
      <c r="B17" s="2779" t="s">
        <v>2881</v>
      </c>
      <c r="C17" s="920">
        <f>SUMPRODUCT((修正!A2:A5=E2)*(修正!B1:M1=G2)*(修正!B2:M5))</f>
        <v>0</v>
      </c>
      <c r="D17" s="2780" t="s">
        <v>2882</v>
      </c>
      <c r="E17" s="919" t="str">
        <f>IF(OR(G2="八级",G2="九级",G2="十级",G2="十一级",G2="十二级"),"五通一平","七通一平")</f>
        <v>七通一平</v>
      </c>
      <c r="F17" s="920" t="s">
        <v>2883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1" t="s">
        <v>2884</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2885</v>
      </c>
      <c r="C18" s="922">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2886</v>
      </c>
      <c r="C19" s="923" t="e">
        <f>ROUND(IF(H19="按公示增长率计算",SUMPRODUCT((地价!A3:A22=YEAR(G19)&amp;"-"&amp;ROUNDUP(MONTH(G19)/3,0))*(地价!X2:AB2=E2)*(地价!X3:AB22)),IF(H19="地价指数",M20/M19,(1+I19)^O19)),4)</f>
        <v>#DIV/0!</v>
      </c>
      <c r="D19" s="2791" t="s">
        <v>2887</v>
      </c>
      <c r="E19" s="924">
        <v>41640</v>
      </c>
      <c r="F19" s="2791" t="s">
        <v>2888</v>
      </c>
      <c r="G19" s="925">
        <f>'数据-取费表'!B2</f>
        <v>43276</v>
      </c>
      <c r="H19" s="2792" t="s">
        <v>2889</v>
      </c>
      <c r="I19" s="926" t="str">
        <f>IF(H19="季度增幅（自定义）",SUMIF(N21:N24,E2,O21:O24),"")</f>
        <v/>
      </c>
      <c r="J19" s="2789"/>
      <c r="K19" s="1374"/>
      <c r="L19" s="2793" t="s">
        <v>2890</v>
      </c>
      <c r="M19" s="1731">
        <f>ROUND(SUMIF(地价!B2:F2,E2,地价!B22:F22),0)</f>
        <v>0</v>
      </c>
      <c r="N19" s="2794" t="s">
        <v>2891</v>
      </c>
      <c r="O19" s="927">
        <f>ROUNDDOWN(DATEDIF(E19,G19,"M")/3,0)</f>
        <v>17</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2892</v>
      </c>
      <c r="C20" s="928" t="e">
        <f>ROUND(POWER(1+G20,J20-I20)*(POWER(1+G20,I20)-1)/(POWER(1+G20,J20)-1),4)</f>
        <v>#DIV/0!</v>
      </c>
      <c r="D20" s="2800" t="s">
        <v>2893</v>
      </c>
      <c r="E20" s="1765">
        <f ca="1">存贷款利率!D4/100</f>
        <v>4.3499999999999997E-2</v>
      </c>
      <c r="F20" s="2800" t="s">
        <v>2884</v>
      </c>
      <c r="G20" s="933">
        <f>SUMIF(M15:P15,E2,M17:P17)</f>
        <v>0</v>
      </c>
      <c r="H20" s="2800" t="s">
        <v>2894</v>
      </c>
      <c r="I20" s="934" t="e">
        <f>SUMIF('数据-取费表'!C6:C15,E2,'数据-取费表'!F6:F15)/COUNTIF('数据-取费表'!C6:C15,E2)</f>
        <v>#DIV/0!</v>
      </c>
      <c r="J20" s="935">
        <f>IF(E2="住宅",70,IF(E2="商业",40,50))</f>
        <v>50</v>
      </c>
      <c r="K20" s="1374"/>
      <c r="L20" s="2801" t="s">
        <v>2895</v>
      </c>
      <c r="M20" s="1732">
        <f>ROUND(SUMPRODUCT((地价!A4:A22=YEAR(G19)&amp;"-"&amp;ROUNDUP(MONTH(G19)/3,0))*(地价!B2:F2=E2)*(地价!B4:F22)),0)</f>
        <v>0</v>
      </c>
      <c r="N20" s="2802" t="s">
        <v>2896</v>
      </c>
      <c r="O20" s="2803" t="s">
        <v>2897</v>
      </c>
      <c r="P20" s="2804" t="s">
        <v>2898</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2899</v>
      </c>
      <c r="C21" s="936">
        <f>IF(B21="容积率修正",IF(G3&lt;=10,D22,J22),C23)</f>
        <v>0</v>
      </c>
      <c r="D21" s="2807"/>
      <c r="E21" s="2807"/>
      <c r="F21" s="2807"/>
      <c r="G21" s="2807"/>
      <c r="H21" s="2807"/>
      <c r="I21" s="2807"/>
      <c r="J21" s="2808"/>
      <c r="K21" s="1374"/>
      <c r="N21" s="2809" t="s">
        <v>2900</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10" t="s">
        <v>2902</v>
      </c>
      <c r="C22" s="1807" t="s">
        <v>2903</v>
      </c>
      <c r="D22" s="1807" t="b">
        <f>IF(E22=G22,F22,IF(G3&lt;=10,ROUND(F22+(H22-F22)*(G3-E22)/(G22-E22),4),"——"))</f>
        <v>0</v>
      </c>
      <c r="E22" s="912">
        <f>ROUNDDOWN(G3,1)</f>
        <v>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09" t="s">
        <v>2904</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8" t="s">
        <v>2905</v>
      </c>
      <c r="B23" s="2811" t="s">
        <v>2906</v>
      </c>
      <c r="C23" s="1012">
        <f>ROUND(IF(G3&gt;1,IF(I3&lt;7,SUMPRODUCT((B93:B98=I3)*(C92:N92=G2)*(C93:N98)),SUMIF(C92:N92,G2,C100:N100)),IF(I3&lt;7,SUMPRODUCT((B102:B107=I3)*(C92:N92=G2)*(C102:N107)),SUMIF(C92:N92,G2,C109:N109))),4)</f>
        <v>0</v>
      </c>
      <c r="D23" s="2767"/>
      <c r="E23" s="2767"/>
      <c r="F23" s="2812"/>
      <c r="G23" s="2813"/>
      <c r="H23" s="2814"/>
      <c r="I23" s="2815"/>
      <c r="J23" s="2816"/>
      <c r="K23" s="1367"/>
      <c r="N23" s="2809" t="s">
        <v>2907</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2908</v>
      </c>
      <c r="C24" s="923">
        <f>SUMIF(A45:A88,E2,B45:B88)</f>
        <v>0</v>
      </c>
      <c r="D24" s="2787"/>
      <c r="E24" s="2817"/>
      <c r="F24" s="2817"/>
      <c r="G24" s="2817"/>
      <c r="H24" s="2817"/>
      <c r="I24" s="2817"/>
      <c r="J24" s="2818"/>
      <c r="K24" s="1374"/>
      <c r="N24" s="2819" t="s">
        <v>2909</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2910</v>
      </c>
      <c r="C25" s="929"/>
      <c r="D25" s="2742"/>
      <c r="E25" s="2742"/>
      <c r="F25" s="2821"/>
      <c r="G25" s="2742"/>
      <c r="H25" s="2742"/>
      <c r="I25" s="2742"/>
      <c r="J25" s="2743"/>
      <c r="K25" s="1367"/>
      <c r="N25" s="2822" t="s">
        <v>2911</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3"/>
      <c r="B26" s="2810" t="s">
        <v>2912</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2913</v>
      </c>
      <c r="C27" s="930"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2914</v>
      </c>
      <c r="C28" s="2834" t="s">
        <v>2915</v>
      </c>
      <c r="D28" s="2834" t="s">
        <v>2916</v>
      </c>
      <c r="E28" s="2835" t="s">
        <v>2917</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2918</v>
      </c>
      <c r="C29" s="205" t="e">
        <f>ROUND(C5*C18*C19*C20*C21*C24,0)</f>
        <v>#DIV/0!</v>
      </c>
      <c r="D29" s="2839"/>
      <c r="E29" s="941" t="e">
        <f>ROUND(C29*D29/10000,0)</f>
        <v>#DIV/0!</v>
      </c>
      <c r="F29" s="2840" t="s">
        <v>2919</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2920</v>
      </c>
      <c r="C30" s="228" t="e">
        <f>ROUND(IF(E2="工业",C29*M39,C29*M38),0)</f>
        <v>#DIV/0!</v>
      </c>
      <c r="D30" s="2845"/>
      <c r="E30" s="941" t="e">
        <f>ROUND(C30*D30/10000,0)</f>
        <v>#DIV/0!</v>
      </c>
      <c r="F30" s="2846" t="s">
        <v>2921</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2922</v>
      </c>
      <c r="C31" s="2851" t="s">
        <v>2923</v>
      </c>
      <c r="D31" s="2755"/>
      <c r="E31" s="2851"/>
      <c r="F31" s="2851"/>
      <c r="G31" s="2753" t="s">
        <v>2924</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2915</v>
      </c>
      <c r="D32" s="497" t="s">
        <v>2916</v>
      </c>
      <c r="E32" s="497" t="s">
        <v>2917</v>
      </c>
      <c r="F32" s="387" t="s">
        <v>2925</v>
      </c>
      <c r="G32" s="2854" t="s">
        <v>2915</v>
      </c>
      <c r="H32" s="2854" t="s">
        <v>2916</v>
      </c>
      <c r="I32" s="2854"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292" t="s">
        <v>2926</v>
      </c>
      <c r="B33" s="2855" t="s">
        <v>2927</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3"/>
      <c r="B34" s="2759" t="s">
        <v>2928</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3"/>
      <c r="B35" s="2759" t="s">
        <v>2929</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294"/>
      <c r="B36" s="2759" t="s">
        <v>2930</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2931</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7"/>
      <c r="L37" s="2858" t="s">
        <v>2932</v>
      </c>
      <c r="M37" s="2859"/>
      <c r="N37" s="1367"/>
      <c r="O37" s="1367"/>
      <c r="P37" s="1367"/>
      <c r="Q37" s="1367"/>
      <c r="R37" s="1367"/>
      <c r="S37" s="1367"/>
      <c r="T37" s="1367"/>
      <c r="U37" s="1367"/>
      <c r="V37" s="1367"/>
      <c r="W37" s="1367"/>
      <c r="X37" s="1367"/>
      <c r="Y37" s="1367"/>
      <c r="Z37" s="1368"/>
    </row>
    <row r="38" spans="1:37">
      <c r="A38" s="2857"/>
      <c r="B38" s="2759" t="s">
        <v>2933</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7"/>
      <c r="L38" s="1884" t="s">
        <v>2934</v>
      </c>
      <c r="M38" s="2860">
        <v>0.25</v>
      </c>
      <c r="N38" s="1367"/>
      <c r="O38" s="1367"/>
      <c r="P38" s="1367"/>
      <c r="Q38" s="1367"/>
      <c r="R38" s="1367"/>
      <c r="S38" s="1367"/>
      <c r="T38" s="1367"/>
      <c r="U38" s="1367"/>
      <c r="V38" s="1367"/>
      <c r="W38" s="1367"/>
      <c r="X38" s="1367"/>
      <c r="Y38" s="1367"/>
      <c r="Z38" s="1368"/>
    </row>
    <row r="39" spans="1:37" ht="13.5" thickBot="1">
      <c r="A39" s="2843"/>
      <c r="B39" s="2861" t="s">
        <v>2935</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7"/>
      <c r="L39" s="2863" t="s">
        <v>2876</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2936</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2937</v>
      </c>
      <c r="B46" s="2869">
        <f>1+E48</f>
        <v>1</v>
      </c>
      <c r="C46" s="2870"/>
      <c r="D46" s="810"/>
      <c r="E46" s="811"/>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2938</v>
      </c>
      <c r="B47" s="1806" t="s">
        <v>2939</v>
      </c>
      <c r="C47" s="1806" t="s">
        <v>2940</v>
      </c>
      <c r="D47" s="1806" t="s">
        <v>2941</v>
      </c>
      <c r="E47" s="815" t="s">
        <v>2942</v>
      </c>
      <c r="F47" s="2873" t="s">
        <v>2943</v>
      </c>
      <c r="G47" s="1806" t="s">
        <v>754</v>
      </c>
      <c r="H47" s="2874" t="s">
        <v>2944</v>
      </c>
      <c r="I47" s="1806" t="s">
        <v>2945</v>
      </c>
      <c r="J47" s="602" t="s">
        <v>2591</v>
      </c>
      <c r="K47" s="602" t="s">
        <v>2592</v>
      </c>
      <c r="L47" s="602" t="s">
        <v>2593</v>
      </c>
      <c r="M47" s="602" t="s">
        <v>2594</v>
      </c>
      <c r="N47" s="602" t="s">
        <v>2595</v>
      </c>
      <c r="AA47" s="1368"/>
      <c r="AB47" s="1368"/>
      <c r="AC47" s="1368"/>
      <c r="AD47" s="1368"/>
      <c r="AE47" s="1368"/>
      <c r="AF47" s="1368"/>
      <c r="AG47" s="1368"/>
      <c r="AH47" s="1368"/>
      <c r="AI47" s="1368"/>
      <c r="AJ47" s="1368"/>
      <c r="AK47" s="1368"/>
    </row>
    <row r="48" spans="1:37" s="1367" customFormat="1" ht="63.75">
      <c r="A48" s="2872" t="s">
        <v>2946</v>
      </c>
      <c r="B48" s="2875" t="str">
        <f>估价对象房地状况!C4</f>
        <v>周边商业项目有深华商业大厦、一品东门雅园商业、金城大厦商业等，商业项目聚集，出租率高，商业繁华度好。</v>
      </c>
      <c r="C48" s="2764"/>
      <c r="D48" s="1283">
        <f t="shared" ref="D48:D56" si="10">SUMIF($J$47:$N$47,C48,J48:N48)</f>
        <v>0</v>
      </c>
      <c r="E48" s="817">
        <f>ROUND(SUM(D48:D56),4)</f>
        <v>0</v>
      </c>
      <c r="F48" s="2495"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2" t="s">
        <v>2947</v>
      </c>
      <c r="B49" s="2876" t="str">
        <f>估价对象房地状况!C18</f>
        <v>周边路网密集，行车出入便捷。1公里范围内有352路、7路、K204路等公交线路及地铁罗宝线，公交便捷度好，综合确定交通便捷度好。</v>
      </c>
      <c r="C49" s="2764"/>
      <c r="D49" s="1283">
        <f t="shared" si="10"/>
        <v>0</v>
      </c>
      <c r="E49" s="818"/>
      <c r="F49" s="2495"/>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2948</v>
      </c>
      <c r="B50" s="2876">
        <f>估价对象房地状况!C19</f>
        <v>0</v>
      </c>
      <c r="C50" s="2764"/>
      <c r="D50" s="1283">
        <f t="shared" si="10"/>
        <v>0</v>
      </c>
      <c r="E50" s="818"/>
      <c r="F50" s="2495"/>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2949</v>
      </c>
      <c r="B51" s="2877" t="s">
        <v>2950</v>
      </c>
      <c r="C51" s="2764"/>
      <c r="D51" s="1283">
        <f t="shared" si="10"/>
        <v>0</v>
      </c>
      <c r="E51" s="818"/>
      <c r="F51" s="2495"/>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2951</v>
      </c>
      <c r="B52" s="2876">
        <f>估价对象房地状况!C24</f>
        <v>0</v>
      </c>
      <c r="C52" s="2764"/>
      <c r="D52" s="1283">
        <f t="shared" si="10"/>
        <v>0</v>
      </c>
      <c r="E52" s="818"/>
      <c r="F52" s="2495"/>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2952</v>
      </c>
      <c r="B53" s="2878" t="s">
        <v>2953</v>
      </c>
      <c r="C53" s="2764"/>
      <c r="D53" s="1283">
        <f t="shared" si="10"/>
        <v>0</v>
      </c>
      <c r="E53" s="818"/>
      <c r="F53" s="2495"/>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89.25">
      <c r="A54" s="2879" t="s">
        <v>2954</v>
      </c>
      <c r="B54" s="1722" t="str">
        <f>估价对象房地状况!C21</f>
        <v>周边有中国邮政储蓄银行、中国银行、中信银行、罗湖医院、深圳广播电视大学、深圳市南湖小学、深圳市罗湖中学等公共服务配套设施，综合确定公用配套设施齐备情况好。</v>
      </c>
      <c r="C54" s="2764"/>
      <c r="D54" s="1283">
        <f t="shared" si="10"/>
        <v>0</v>
      </c>
      <c r="E54" s="818"/>
      <c r="F54" s="2495"/>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2955</v>
      </c>
      <c r="B55" s="2876" t="str">
        <f>估价对象房地状况!C22</f>
        <v>估价对象所在区域基础设施水平达“六通”。</v>
      </c>
      <c r="C55" s="2764"/>
      <c r="D55" s="1283">
        <f t="shared" si="10"/>
        <v>0</v>
      </c>
      <c r="E55" s="818"/>
      <c r="F55" s="2495"/>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77.25" thickBot="1">
      <c r="A56" s="2880" t="s">
        <v>2956</v>
      </c>
      <c r="B56" s="2881" t="str">
        <f>估价对象房地状况!C20</f>
        <v>周边有嘉宾公园、深圳河水系，绿化条件较好，有深圳大剧院、至正艺术博物馆、深圳广播电视大学等场所，综合确定自然及人文环境较好。</v>
      </c>
      <c r="C56" s="2764"/>
      <c r="D56" s="1283">
        <f t="shared" si="10"/>
        <v>0</v>
      </c>
      <c r="E56" s="821"/>
      <c r="F56" s="2495"/>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2957</v>
      </c>
      <c r="B57" s="2869">
        <f>1+E59</f>
        <v>1</v>
      </c>
      <c r="C57" s="810"/>
      <c r="D57" s="810"/>
      <c r="E57" s="811"/>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2938</v>
      </c>
      <c r="B58" s="1806"/>
      <c r="C58" s="1806" t="s">
        <v>2940</v>
      </c>
      <c r="D58" s="1806" t="s">
        <v>2941</v>
      </c>
      <c r="E58" s="815" t="s">
        <v>2942</v>
      </c>
      <c r="F58" s="2873" t="s">
        <v>2958</v>
      </c>
      <c r="G58" s="1806" t="s">
        <v>754</v>
      </c>
      <c r="H58" s="2874" t="s">
        <v>2944</v>
      </c>
      <c r="I58" s="1806" t="s">
        <v>2945</v>
      </c>
      <c r="J58" s="602" t="s">
        <v>2591</v>
      </c>
      <c r="K58" s="602" t="s">
        <v>2592</v>
      </c>
      <c r="L58" s="602" t="s">
        <v>2593</v>
      </c>
      <c r="M58" s="602" t="s">
        <v>2594</v>
      </c>
      <c r="N58" s="602" t="s">
        <v>2595</v>
      </c>
      <c r="AA58" s="1368"/>
      <c r="AB58" s="1368"/>
      <c r="AC58" s="1368"/>
      <c r="AD58" s="1368"/>
      <c r="AE58" s="1368"/>
      <c r="AF58" s="1368"/>
      <c r="AG58" s="1368"/>
      <c r="AH58" s="1368"/>
      <c r="AI58" s="1368"/>
      <c r="AJ58" s="1368"/>
      <c r="AK58" s="1368"/>
    </row>
    <row r="59" spans="1:37" s="1367" customFormat="1" ht="24">
      <c r="A59" s="2872" t="s">
        <v>2959</v>
      </c>
      <c r="B59" s="2875" t="str">
        <f>估价对象房地状况!C17</f>
        <v>——</v>
      </c>
      <c r="C59" s="2764"/>
      <c r="D59" s="1283">
        <f t="shared" ref="D59:D67" si="15">SUMIF($J$58:$N$58,C59,J59:N59)</f>
        <v>0</v>
      </c>
      <c r="E59" s="817">
        <f>ROUND(SUM(D59:D67),4)</f>
        <v>0</v>
      </c>
      <c r="F59" s="2495"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2" t="s">
        <v>2947</v>
      </c>
      <c r="B60" s="2876" t="str">
        <f>估价对象房地状况!C18</f>
        <v>周边路网密集，行车出入便捷。1公里范围内有352路、7路、K204路等公交线路及地铁罗宝线，公交便捷度好，综合确定交通便捷度好。</v>
      </c>
      <c r="C60" s="2764"/>
      <c r="D60" s="1283">
        <f t="shared" si="15"/>
        <v>0</v>
      </c>
      <c r="E60" s="818"/>
      <c r="F60" s="2495"/>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2948</v>
      </c>
      <c r="B61" s="2876">
        <f>估价对象房地状况!C19</f>
        <v>0</v>
      </c>
      <c r="C61" s="2764"/>
      <c r="D61" s="1283">
        <f t="shared" si="15"/>
        <v>0</v>
      </c>
      <c r="E61" s="818"/>
      <c r="F61" s="2495"/>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2949</v>
      </c>
      <c r="B62" s="2877" t="s">
        <v>2950</v>
      </c>
      <c r="C62" s="2764"/>
      <c r="D62" s="1283">
        <f t="shared" si="15"/>
        <v>0</v>
      </c>
      <c r="E62" s="818"/>
      <c r="F62" s="2495"/>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2951</v>
      </c>
      <c r="B63" s="2876">
        <f>估价对象房地状况!C24</f>
        <v>0</v>
      </c>
      <c r="C63" s="2764"/>
      <c r="D63" s="1283">
        <f t="shared" si="15"/>
        <v>0</v>
      </c>
      <c r="E63" s="818"/>
      <c r="F63" s="2495"/>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2952</v>
      </c>
      <c r="B64" s="2878" t="s">
        <v>2953</v>
      </c>
      <c r="C64" s="2764"/>
      <c r="D64" s="1283">
        <f t="shared" si="15"/>
        <v>0</v>
      </c>
      <c r="E64" s="818"/>
      <c r="F64" s="2495"/>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89.25">
      <c r="A65" s="2872" t="s">
        <v>2954</v>
      </c>
      <c r="B65" s="1722" t="str">
        <f>估价对象房地状况!C21</f>
        <v>周边有中国邮政储蓄银行、中国银行、中信银行、罗湖医院、深圳广播电视大学、深圳市南湖小学、深圳市罗湖中学等公共服务配套设施，综合确定公用配套设施齐备情况好。</v>
      </c>
      <c r="C65" s="2764"/>
      <c r="D65" s="1283">
        <f t="shared" si="15"/>
        <v>0</v>
      </c>
      <c r="E65" s="818"/>
      <c r="F65" s="2495"/>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2955</v>
      </c>
      <c r="B66" s="1722" t="str">
        <f>估价对象房地状况!C22</f>
        <v>估价对象所在区域基础设施水平达“六通”。</v>
      </c>
      <c r="C66" s="2764"/>
      <c r="D66" s="1283">
        <f t="shared" si="15"/>
        <v>0</v>
      </c>
      <c r="E66" s="818"/>
      <c r="F66" s="2495"/>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77.25" thickBot="1">
      <c r="A67" s="2880" t="s">
        <v>2956</v>
      </c>
      <c r="B67" s="2882" t="str">
        <f>估价对象房地状况!C20</f>
        <v>周边有嘉宾公园、深圳河水系，绿化条件较好，有深圳大剧院、至正艺术博物馆、深圳广播电视大学等场所，综合确定自然及人文环境较好。</v>
      </c>
      <c r="C67" s="2764"/>
      <c r="D67" s="1283">
        <f t="shared" si="15"/>
        <v>0</v>
      </c>
      <c r="E67" s="821"/>
      <c r="F67" s="2495"/>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2960</v>
      </c>
      <c r="B68" s="2869">
        <f>1+E70</f>
        <v>1</v>
      </c>
      <c r="C68" s="810"/>
      <c r="D68" s="810"/>
      <c r="E68" s="811"/>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2938</v>
      </c>
      <c r="B69" s="1806"/>
      <c r="C69" s="1806" t="s">
        <v>2940</v>
      </c>
      <c r="D69" s="1806" t="s">
        <v>2941</v>
      </c>
      <c r="E69" s="815" t="s">
        <v>2942</v>
      </c>
      <c r="F69" s="2873" t="s">
        <v>2958</v>
      </c>
      <c r="G69" s="1806" t="s">
        <v>754</v>
      </c>
      <c r="H69" s="2874" t="s">
        <v>2944</v>
      </c>
      <c r="I69" s="1806" t="s">
        <v>2945</v>
      </c>
      <c r="J69" s="602" t="s">
        <v>2591</v>
      </c>
      <c r="K69" s="602" t="s">
        <v>2592</v>
      </c>
      <c r="L69" s="602" t="s">
        <v>2593</v>
      </c>
      <c r="M69" s="602" t="s">
        <v>2594</v>
      </c>
      <c r="N69" s="602" t="s">
        <v>2595</v>
      </c>
      <c r="AA69" s="1368"/>
      <c r="AB69" s="1368"/>
      <c r="AC69" s="1368"/>
      <c r="AD69" s="1368"/>
      <c r="AE69" s="1368"/>
      <c r="AF69" s="1368"/>
      <c r="AG69" s="1368"/>
      <c r="AH69" s="1368"/>
      <c r="AI69" s="1368"/>
      <c r="AJ69" s="1368"/>
      <c r="AK69" s="1368"/>
    </row>
    <row r="70" spans="1:37" s="1367" customFormat="1" ht="24">
      <c r="A70" s="2872" t="s">
        <v>2961</v>
      </c>
      <c r="B70" s="2875" t="str">
        <f>估价对象房地状况!C15</f>
        <v>——</v>
      </c>
      <c r="C70" s="2764"/>
      <c r="D70" s="1283">
        <f t="shared" ref="D70:D78" si="20">SUMIF($J$69:$N$69,C70,J70:N70)</f>
        <v>0</v>
      </c>
      <c r="E70" s="817">
        <f>ROUND(SUM(D70:D78),4)</f>
        <v>0</v>
      </c>
      <c r="F70" s="2495"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72" t="s">
        <v>2947</v>
      </c>
      <c r="B71" s="2876" t="str">
        <f>估价对象房地状况!C18</f>
        <v>周边路网密集，行车出入便捷。1公里范围内有352路、7路、K204路等公交线路及地铁罗宝线，公交便捷度好，综合确定交通便捷度好。</v>
      </c>
      <c r="C71" s="2764"/>
      <c r="D71" s="1283">
        <f t="shared" si="20"/>
        <v>0</v>
      </c>
      <c r="E71" s="822"/>
      <c r="F71" s="2495"/>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2948</v>
      </c>
      <c r="B72" s="2876">
        <f>估价对象房地状况!C19</f>
        <v>0</v>
      </c>
      <c r="C72" s="2764"/>
      <c r="D72" s="1283">
        <f t="shared" si="20"/>
        <v>0</v>
      </c>
      <c r="E72" s="822"/>
      <c r="F72" s="2495"/>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2962</v>
      </c>
      <c r="B73" s="2876">
        <f>估价对象房地状况!C24</f>
        <v>0</v>
      </c>
      <c r="C73" s="2764"/>
      <c r="D73" s="1283">
        <f t="shared" si="20"/>
        <v>0</v>
      </c>
      <c r="E73" s="822"/>
      <c r="F73" s="2495"/>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89.25">
      <c r="A74" s="2872" t="s">
        <v>2954</v>
      </c>
      <c r="B74" s="1722" t="str">
        <f>估价对象房地状况!C21</f>
        <v>周边有中国邮政储蓄银行、中国银行、中信银行、罗湖医院、深圳广播电视大学、深圳市南湖小学、深圳市罗湖中学等公共服务配套设施，综合确定公用配套设施齐备情况好。</v>
      </c>
      <c r="C74" s="2764"/>
      <c r="D74" s="1283">
        <f t="shared" si="20"/>
        <v>0</v>
      </c>
      <c r="E74" s="822"/>
      <c r="F74" s="2495"/>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2955</v>
      </c>
      <c r="B75" s="1722" t="str">
        <f>估价对象房地状况!C22</f>
        <v>估价对象所在区域基础设施水平达“六通”。</v>
      </c>
      <c r="C75" s="2764"/>
      <c r="D75" s="1283">
        <f t="shared" si="20"/>
        <v>0</v>
      </c>
      <c r="E75" s="822"/>
      <c r="F75" s="2495"/>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2952</v>
      </c>
      <c r="B76" s="2878" t="s">
        <v>2953</v>
      </c>
      <c r="C76" s="2764"/>
      <c r="D76" s="1283">
        <f t="shared" si="20"/>
        <v>0</v>
      </c>
      <c r="E76" s="822"/>
      <c r="F76" s="2495"/>
      <c r="G76" s="1281"/>
      <c r="H76" s="1285" t="str">
        <f t="shared" si="21"/>
        <v>——</v>
      </c>
      <c r="I76" s="816">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76.5">
      <c r="A77" s="2872" t="s">
        <v>2956</v>
      </c>
      <c r="B77" s="2875" t="str">
        <f>估价对象房地状况!C20</f>
        <v>周边有嘉宾公园、深圳河水系，绿化条件较好，有深圳大剧院、至正艺术博物馆、深圳广播电视大学等场所，综合确定自然及人文环境较好。</v>
      </c>
      <c r="C77" s="2764"/>
      <c r="D77" s="1283">
        <f t="shared" si="20"/>
        <v>0</v>
      </c>
      <c r="E77" s="822"/>
      <c r="F77" s="2495"/>
      <c r="G77" s="1281"/>
      <c r="H77" s="1285" t="str">
        <f t="shared" si="21"/>
        <v>——</v>
      </c>
      <c r="I77" s="816">
        <v>0.15</v>
      </c>
      <c r="J77" s="1282">
        <f t="shared" si="22"/>
        <v>0</v>
      </c>
      <c r="K77" s="1282">
        <f t="shared" si="23"/>
        <v>0</v>
      </c>
      <c r="L77" s="1282">
        <v>0</v>
      </c>
      <c r="M77" s="1282">
        <f t="shared" si="24"/>
        <v>0</v>
      </c>
      <c r="N77" s="1282">
        <f t="shared" si="24"/>
        <v>0</v>
      </c>
      <c r="Z77" s="2714"/>
      <c r="AA77" s="2790"/>
      <c r="AG77" s="1369"/>
      <c r="AK77" s="2790"/>
    </row>
    <row r="78" spans="1:37" ht="24.75" thickBot="1">
      <c r="A78" s="2880" t="s">
        <v>2963</v>
      </c>
      <c r="B78" s="2884"/>
      <c r="C78" s="2764"/>
      <c r="D78" s="1283">
        <f t="shared" si="20"/>
        <v>0</v>
      </c>
      <c r="E78" s="823"/>
      <c r="F78" s="2495"/>
      <c r="G78" s="1281"/>
      <c r="H78" s="1285" t="str">
        <f t="shared" si="21"/>
        <v>——</v>
      </c>
      <c r="I78" s="820">
        <v>0.04</v>
      </c>
      <c r="J78" s="1282">
        <f t="shared" si="22"/>
        <v>0</v>
      </c>
      <c r="K78" s="1282">
        <f t="shared" si="23"/>
        <v>0</v>
      </c>
      <c r="L78" s="1282">
        <v>0</v>
      </c>
      <c r="M78" s="1282">
        <f t="shared" si="24"/>
        <v>0</v>
      </c>
      <c r="N78" s="1282">
        <f t="shared" si="24"/>
        <v>0</v>
      </c>
      <c r="Z78" s="2714"/>
      <c r="AA78" s="2790"/>
      <c r="AG78" s="1369"/>
      <c r="AK78" s="2790"/>
    </row>
    <row r="79" spans="1:37" ht="15">
      <c r="A79" s="2868" t="s">
        <v>2964</v>
      </c>
      <c r="B79" s="2869">
        <f>1+E81</f>
        <v>1</v>
      </c>
      <c r="C79" s="810"/>
      <c r="D79" s="810"/>
      <c r="E79" s="811"/>
      <c r="F79" s="2871"/>
      <c r="G79" s="6"/>
      <c r="H79" s="6"/>
      <c r="I79" s="6"/>
      <c r="J79" s="7"/>
      <c r="K79" s="7"/>
      <c r="L79" s="7"/>
      <c r="M79" s="7"/>
      <c r="N79" s="7"/>
      <c r="Z79" s="2714"/>
      <c r="AA79" s="2790"/>
      <c r="AG79" s="1369"/>
      <c r="AK79" s="2790"/>
    </row>
    <row r="80" spans="1:37" ht="24.75">
      <c r="A80" s="2872" t="s">
        <v>2938</v>
      </c>
      <c r="B80" s="1806"/>
      <c r="C80" s="1806" t="s">
        <v>2940</v>
      </c>
      <c r="D80" s="1806" t="s">
        <v>2941</v>
      </c>
      <c r="E80" s="815" t="s">
        <v>2942</v>
      </c>
      <c r="F80" s="2873" t="s">
        <v>2958</v>
      </c>
      <c r="G80" s="1806" t="s">
        <v>754</v>
      </c>
      <c r="H80" s="2874" t="s">
        <v>2944</v>
      </c>
      <c r="I80" s="1806" t="s">
        <v>2945</v>
      </c>
      <c r="J80" s="602" t="s">
        <v>2591</v>
      </c>
      <c r="K80" s="602" t="s">
        <v>2592</v>
      </c>
      <c r="L80" s="602" t="s">
        <v>2593</v>
      </c>
      <c r="M80" s="602" t="s">
        <v>2594</v>
      </c>
      <c r="N80" s="602" t="s">
        <v>2595</v>
      </c>
      <c r="Z80" s="2714"/>
      <c r="AA80" s="2790"/>
      <c r="AG80" s="1369"/>
      <c r="AK80" s="2790"/>
    </row>
    <row r="81" spans="1:37" ht="38.25">
      <c r="A81" s="2872" t="s">
        <v>2965</v>
      </c>
      <c r="B81" s="2876" t="str">
        <f>估价对象房地状况!G15</f>
        <v>估价对象位于XX开发区，园区建设成熟度XX，产业集聚程度XX</v>
      </c>
      <c r="C81" s="2764"/>
      <c r="D81" s="1283">
        <f t="shared" ref="D81:D88" si="25">SUMIF($J$80:$N$80,C81,J81:N81)</f>
        <v>0</v>
      </c>
      <c r="E81" s="817">
        <f>ROUND(SUM(D81:D88),4)</f>
        <v>0</v>
      </c>
      <c r="F81" s="2495"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2947</v>
      </c>
      <c r="B82" s="2876" t="str">
        <f>估价对象房地状况!G16</f>
        <v>估价对象周边道路状况、公共交通通达情况、停车便捷程度，综合评价交通便捷度较好</v>
      </c>
      <c r="C82" s="2764"/>
      <c r="D82" s="1283">
        <f t="shared" si="25"/>
        <v>0</v>
      </c>
      <c r="E82" s="822"/>
      <c r="F82" s="2495"/>
      <c r="G82" s="1281"/>
      <c r="H82" s="1285" t="str">
        <f t="shared" si="26"/>
        <v>——</v>
      </c>
      <c r="I82" s="816">
        <v>0.33</v>
      </c>
      <c r="J82" s="1282">
        <f t="shared" si="27"/>
        <v>0</v>
      </c>
      <c r="K82" s="1282">
        <f t="shared" si="28"/>
        <v>0</v>
      </c>
      <c r="L82" s="1282">
        <v>0</v>
      </c>
      <c r="M82" s="1282">
        <f t="shared" si="29"/>
        <v>0</v>
      </c>
      <c r="N82" s="1282">
        <f t="shared" si="29"/>
        <v>0</v>
      </c>
      <c r="Z82" s="2714"/>
      <c r="AA82" s="2790"/>
      <c r="AG82" s="1369"/>
      <c r="AK82" s="2790"/>
    </row>
    <row r="83" spans="1:37" ht="24">
      <c r="A83" s="2872" t="s">
        <v>2948</v>
      </c>
      <c r="B83" s="2876">
        <f>估价对象房地状况!G17</f>
        <v>0</v>
      </c>
      <c r="C83" s="2764"/>
      <c r="D83" s="1283">
        <f t="shared" si="25"/>
        <v>0</v>
      </c>
      <c r="E83" s="822"/>
      <c r="F83" s="2495"/>
      <c r="G83" s="1281"/>
      <c r="H83" s="1285" t="str">
        <f t="shared" si="26"/>
        <v>——</v>
      </c>
      <c r="I83" s="816">
        <v>0.05</v>
      </c>
      <c r="J83" s="1282">
        <f t="shared" si="27"/>
        <v>0</v>
      </c>
      <c r="K83" s="1282">
        <f t="shared" si="28"/>
        <v>0</v>
      </c>
      <c r="L83" s="1282">
        <v>0</v>
      </c>
      <c r="M83" s="1282">
        <f t="shared" si="29"/>
        <v>0</v>
      </c>
      <c r="N83" s="1282">
        <f t="shared" si="29"/>
        <v>0</v>
      </c>
      <c r="Z83" s="2714"/>
      <c r="AA83" s="2790"/>
      <c r="AG83" s="1369"/>
      <c r="AK83" s="2790"/>
    </row>
    <row r="84" spans="1:37" ht="14.25">
      <c r="A84" s="2872" t="s">
        <v>2962</v>
      </c>
      <c r="B84" s="2876">
        <f>估价对象房地状况!G22</f>
        <v>0</v>
      </c>
      <c r="C84" s="2764"/>
      <c r="D84" s="1283">
        <f t="shared" si="25"/>
        <v>0</v>
      </c>
      <c r="E84" s="822"/>
      <c r="F84" s="2495"/>
      <c r="G84" s="1281"/>
      <c r="H84" s="1285" t="str">
        <f t="shared" si="26"/>
        <v>——</v>
      </c>
      <c r="I84" s="816">
        <v>0.04</v>
      </c>
      <c r="J84" s="1282">
        <f t="shared" si="27"/>
        <v>0</v>
      </c>
      <c r="K84" s="1282">
        <f t="shared" si="28"/>
        <v>0</v>
      </c>
      <c r="L84" s="1282">
        <v>0</v>
      </c>
      <c r="M84" s="1282">
        <f t="shared" si="29"/>
        <v>0</v>
      </c>
      <c r="N84" s="1282">
        <f t="shared" si="29"/>
        <v>0</v>
      </c>
      <c r="Z84" s="2714"/>
      <c r="AA84" s="2790"/>
      <c r="AG84" s="1369"/>
      <c r="AK84" s="2790"/>
    </row>
    <row r="85" spans="1:37" ht="25.5">
      <c r="A85" s="2872" t="s">
        <v>2954</v>
      </c>
      <c r="B85" s="1722" t="str">
        <f>估价对象房地状况!G19</f>
        <v>估价对象所在区域公共配套设施齐备情况</v>
      </c>
      <c r="C85" s="2764"/>
      <c r="D85" s="1283">
        <f t="shared" si="25"/>
        <v>0</v>
      </c>
      <c r="E85" s="822"/>
      <c r="F85" s="2495"/>
      <c r="G85" s="1281"/>
      <c r="H85" s="1285" t="str">
        <f t="shared" si="26"/>
        <v>——</v>
      </c>
      <c r="I85" s="816">
        <v>0.06</v>
      </c>
      <c r="J85" s="1282">
        <f t="shared" si="27"/>
        <v>0</v>
      </c>
      <c r="K85" s="1282">
        <f t="shared" si="28"/>
        <v>0</v>
      </c>
      <c r="L85" s="1282">
        <v>0</v>
      </c>
      <c r="M85" s="1282">
        <f t="shared" si="29"/>
        <v>0</v>
      </c>
      <c r="N85" s="1282">
        <f t="shared" si="29"/>
        <v>0</v>
      </c>
      <c r="Z85" s="2714"/>
      <c r="AA85" s="2790"/>
      <c r="AG85" s="1369"/>
      <c r="AK85" s="2790"/>
    </row>
    <row r="86" spans="1:37" ht="25.5">
      <c r="A86" s="2872" t="s">
        <v>2955</v>
      </c>
      <c r="B86" s="1722" t="str">
        <f>估价对象房地状况!G20</f>
        <v>估价对象所在区域基础设施水平</v>
      </c>
      <c r="C86" s="2764"/>
      <c r="D86" s="1283">
        <f t="shared" si="25"/>
        <v>0</v>
      </c>
      <c r="E86" s="822"/>
      <c r="F86" s="2495"/>
      <c r="G86" s="1281"/>
      <c r="H86" s="1285" t="str">
        <f t="shared" si="26"/>
        <v>——</v>
      </c>
      <c r="I86" s="816">
        <v>0.15</v>
      </c>
      <c r="J86" s="1282">
        <f t="shared" si="27"/>
        <v>0</v>
      </c>
      <c r="K86" s="1282">
        <f t="shared" si="28"/>
        <v>0</v>
      </c>
      <c r="L86" s="1282">
        <v>0</v>
      </c>
      <c r="M86" s="1282">
        <f t="shared" si="29"/>
        <v>0</v>
      </c>
      <c r="N86" s="1282">
        <f t="shared" si="29"/>
        <v>0</v>
      </c>
      <c r="Z86" s="2714"/>
      <c r="AA86" s="2790"/>
      <c r="AG86" s="1369"/>
      <c r="AK86" s="2790"/>
    </row>
    <row r="87" spans="1:37" ht="24">
      <c r="A87" s="2872" t="s">
        <v>2952</v>
      </c>
      <c r="B87" s="2878" t="s">
        <v>2966</v>
      </c>
      <c r="C87" s="2764"/>
      <c r="D87" s="1283">
        <f t="shared" si="25"/>
        <v>0</v>
      </c>
      <c r="E87" s="822"/>
      <c r="F87" s="2495"/>
      <c r="G87" s="1281"/>
      <c r="H87" s="1285" t="str">
        <f t="shared" si="26"/>
        <v>——</v>
      </c>
      <c r="I87" s="816">
        <v>0.05</v>
      </c>
      <c r="J87" s="1282">
        <f t="shared" si="27"/>
        <v>0</v>
      </c>
      <c r="K87" s="1282">
        <f t="shared" si="28"/>
        <v>0</v>
      </c>
      <c r="L87" s="1282">
        <v>0</v>
      </c>
      <c r="M87" s="1282">
        <f t="shared" si="29"/>
        <v>0</v>
      </c>
      <c r="N87" s="1282">
        <f t="shared" si="29"/>
        <v>0</v>
      </c>
      <c r="Z87" s="2714"/>
      <c r="AA87" s="2790"/>
      <c r="AG87" s="1369"/>
      <c r="AK87" s="2790"/>
    </row>
    <row r="88" spans="1:37" ht="39" thickBot="1">
      <c r="A88" s="2880" t="s">
        <v>2967</v>
      </c>
      <c r="B88" s="2885" t="str">
        <f>估价对象房地状况!G18</f>
        <v>该园区内是否有污染型企业，绿化情况，卫生条件，整体环境状况判断</v>
      </c>
      <c r="C88" s="2764"/>
      <c r="D88" s="1283">
        <f t="shared" si="25"/>
        <v>0</v>
      </c>
      <c r="E88" s="823"/>
      <c r="F88" s="2495"/>
      <c r="G88" s="1281"/>
      <c r="H88" s="1285" t="str">
        <f t="shared" si="26"/>
        <v>——</v>
      </c>
      <c r="I88" s="820">
        <v>0.06</v>
      </c>
      <c r="J88" s="1282">
        <f t="shared" si="27"/>
        <v>0</v>
      </c>
      <c r="K88" s="1282">
        <f t="shared" si="28"/>
        <v>0</v>
      </c>
      <c r="L88" s="1282">
        <v>0</v>
      </c>
      <c r="M88" s="1282">
        <f t="shared" si="29"/>
        <v>0</v>
      </c>
      <c r="N88" s="1282">
        <f t="shared" si="29"/>
        <v>0</v>
      </c>
      <c r="Z88" s="2714"/>
      <c r="AA88" s="2790"/>
      <c r="AG88" s="1369"/>
      <c r="AK88" s="2790"/>
    </row>
    <row r="90" spans="1:37">
      <c r="A90" s="3286" t="s">
        <v>2968</v>
      </c>
      <c r="B90" s="3286"/>
      <c r="C90" s="3286"/>
      <c r="D90" s="3286"/>
      <c r="E90" s="3286"/>
      <c r="F90" s="3286"/>
      <c r="G90" s="3286"/>
      <c r="H90" s="3286"/>
      <c r="I90" s="3286"/>
      <c r="J90" s="3286"/>
      <c r="K90" s="2886"/>
      <c r="L90" s="2886"/>
      <c r="M90" s="2886"/>
      <c r="N90" s="2886"/>
    </row>
    <row r="91" spans="1:37">
      <c r="A91" s="3288" t="s">
        <v>2969</v>
      </c>
      <c r="B91" s="3288" t="s">
        <v>2970</v>
      </c>
      <c r="C91" s="2840" t="s">
        <v>2971</v>
      </c>
      <c r="D91" s="2841"/>
      <c r="E91" s="2841"/>
      <c r="F91" s="2841"/>
      <c r="G91" s="2841"/>
      <c r="H91" s="2841"/>
      <c r="I91" s="2841"/>
      <c r="J91" s="2887"/>
      <c r="K91" s="2888"/>
      <c r="L91" s="2888"/>
      <c r="M91" s="2888"/>
      <c r="N91" s="2888"/>
    </row>
    <row r="92" spans="1:37">
      <c r="A92" s="3288"/>
      <c r="B92" s="3288"/>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89"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0"/>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9" t="s">
        <v>2973</v>
      </c>
      <c r="B101" s="2893" t="s">
        <v>2974</v>
      </c>
      <c r="C101" s="2894">
        <f>$G$3</f>
        <v>4</v>
      </c>
      <c r="D101" s="2894">
        <f t="shared" ref="D101:N101" si="31">$G$3</f>
        <v>4</v>
      </c>
      <c r="E101" s="2894">
        <f t="shared" si="31"/>
        <v>4</v>
      </c>
      <c r="F101" s="2894">
        <f t="shared" si="31"/>
        <v>4</v>
      </c>
      <c r="G101" s="2894">
        <f t="shared" si="31"/>
        <v>4</v>
      </c>
      <c r="H101" s="2894">
        <f t="shared" si="31"/>
        <v>4</v>
      </c>
      <c r="I101" s="2894">
        <f t="shared" si="31"/>
        <v>4</v>
      </c>
      <c r="J101" s="2894">
        <f t="shared" si="31"/>
        <v>4</v>
      </c>
      <c r="K101" s="2894">
        <f t="shared" si="31"/>
        <v>4</v>
      </c>
      <c r="L101" s="2894">
        <f t="shared" si="31"/>
        <v>4</v>
      </c>
      <c r="M101" s="2894">
        <f t="shared" si="31"/>
        <v>4</v>
      </c>
      <c r="N101" s="2894">
        <f t="shared" si="31"/>
        <v>4</v>
      </c>
    </row>
    <row r="102" spans="1:14">
      <c r="A102" s="3290"/>
      <c r="B102" s="2889">
        <v>1</v>
      </c>
      <c r="C102" s="2890">
        <f>1.9362/C101</f>
        <v>0.48404999999999998</v>
      </c>
      <c r="D102" s="2890">
        <f>1.9362/D101</f>
        <v>0.48404999999999998</v>
      </c>
      <c r="E102" s="2890">
        <f>1.8629/E101</f>
        <v>0.465725</v>
      </c>
      <c r="F102" s="2890">
        <f>1.8629/F101</f>
        <v>0.465725</v>
      </c>
      <c r="G102" s="2890">
        <f>1.8629/G101</f>
        <v>0.465725</v>
      </c>
      <c r="H102" s="2890">
        <f>1.8629/H101</f>
        <v>0.465725</v>
      </c>
      <c r="I102" s="2890">
        <f>1.8629/I101</f>
        <v>0.465725</v>
      </c>
      <c r="J102" s="2890">
        <f>1.942/J101</f>
        <v>0.48549999999999999</v>
      </c>
      <c r="K102" s="2890">
        <f>1.942/K101</f>
        <v>0.48549999999999999</v>
      </c>
      <c r="L102" s="2890">
        <f>1.942/L101</f>
        <v>0.48549999999999999</v>
      </c>
      <c r="M102" s="2890">
        <f>1.942/M101</f>
        <v>0.48549999999999999</v>
      </c>
      <c r="N102" s="2890">
        <f>1.942/N101</f>
        <v>0.48549999999999999</v>
      </c>
    </row>
    <row r="103" spans="1:14">
      <c r="A103" s="3290"/>
      <c r="B103" s="2889">
        <v>2</v>
      </c>
      <c r="C103" s="2890">
        <f>1.4198/C101</f>
        <v>0.35494999999999999</v>
      </c>
      <c r="D103" s="2890">
        <f>1.4198/D101</f>
        <v>0.35494999999999999</v>
      </c>
      <c r="E103" s="2890">
        <f>1.3372/E101</f>
        <v>0.33429999999999999</v>
      </c>
      <c r="F103" s="2890">
        <f>1.3372/F101</f>
        <v>0.33429999999999999</v>
      </c>
      <c r="G103" s="2890">
        <f>1.3372/G101</f>
        <v>0.33429999999999999</v>
      </c>
      <c r="H103" s="2890">
        <f>1.3372/H101</f>
        <v>0.33429999999999999</v>
      </c>
      <c r="I103" s="2890">
        <f>1.3372/I101</f>
        <v>0.33429999999999999</v>
      </c>
      <c r="J103" s="2890">
        <f>1.2799/J101</f>
        <v>0.31997500000000001</v>
      </c>
      <c r="K103" s="2890">
        <f>1.2799/K101</f>
        <v>0.31997500000000001</v>
      </c>
      <c r="L103" s="2890">
        <f>1.2799/L101</f>
        <v>0.31997500000000001</v>
      </c>
      <c r="M103" s="2890">
        <f>1.2799/M101</f>
        <v>0.31997500000000001</v>
      </c>
      <c r="N103" s="2890">
        <f>1.2799/N101</f>
        <v>0.31997500000000001</v>
      </c>
    </row>
    <row r="104" spans="1:14">
      <c r="A104" s="3290"/>
      <c r="B104" s="2889">
        <v>3</v>
      </c>
      <c r="C104" s="2890">
        <f>1.1594/C101</f>
        <v>0.28985</v>
      </c>
      <c r="D104" s="2890">
        <f>1.1594/D101</f>
        <v>0.28985</v>
      </c>
      <c r="E104" s="2890">
        <f>1.0788/E101</f>
        <v>0.2697</v>
      </c>
      <c r="F104" s="2890">
        <f>1.0788/F101</f>
        <v>0.2697</v>
      </c>
      <c r="G104" s="2890">
        <f>1.0788/G101</f>
        <v>0.2697</v>
      </c>
      <c r="H104" s="2890">
        <f>1.0788/H101</f>
        <v>0.2697</v>
      </c>
      <c r="I104" s="2890">
        <f>1.0788/I101</f>
        <v>0.2697</v>
      </c>
      <c r="J104" s="2890">
        <f>1.0072/J101</f>
        <v>0.25180000000000002</v>
      </c>
      <c r="K104" s="2890">
        <f>1.0072/K101</f>
        <v>0.25180000000000002</v>
      </c>
      <c r="L104" s="2890">
        <f>1.0072/L101</f>
        <v>0.25180000000000002</v>
      </c>
      <c r="M104" s="2890">
        <f>1.0072/M101</f>
        <v>0.25180000000000002</v>
      </c>
      <c r="N104" s="2890">
        <f>1.0072/N101</f>
        <v>0.25180000000000002</v>
      </c>
    </row>
    <row r="105" spans="1:14">
      <c r="A105" s="3290"/>
      <c r="B105" s="2889">
        <v>4</v>
      </c>
      <c r="C105" s="2890">
        <f>0.9622/C101</f>
        <v>0.24055000000000001</v>
      </c>
      <c r="D105" s="2890">
        <f>0.9622/D101</f>
        <v>0.24055000000000001</v>
      </c>
      <c r="E105" s="2890">
        <f>0.8656/E101</f>
        <v>0.21640000000000001</v>
      </c>
      <c r="F105" s="2890">
        <f>0.8656/F101</f>
        <v>0.21640000000000001</v>
      </c>
      <c r="G105" s="2890">
        <f>0.8656/G101</f>
        <v>0.21640000000000001</v>
      </c>
      <c r="H105" s="2890">
        <f>0.8656/H101</f>
        <v>0.21640000000000001</v>
      </c>
      <c r="I105" s="2890">
        <f>0.8656/I101</f>
        <v>0.21640000000000001</v>
      </c>
      <c r="J105" s="2890">
        <f>0.7525/J101</f>
        <v>0.18812499999999999</v>
      </c>
      <c r="K105" s="2890">
        <f>0.7525/K101</f>
        <v>0.18812499999999999</v>
      </c>
      <c r="L105" s="2890">
        <f>0.7525/L101</f>
        <v>0.18812499999999999</v>
      </c>
      <c r="M105" s="2890">
        <f>0.7525/M101</f>
        <v>0.18812499999999999</v>
      </c>
      <c r="N105" s="2890">
        <f>0.7525/N101</f>
        <v>0.18812499999999999</v>
      </c>
    </row>
    <row r="106" spans="1:14">
      <c r="A106" s="3290"/>
      <c r="B106" s="2889">
        <v>5</v>
      </c>
      <c r="C106" s="2890">
        <f>0.8417/C101</f>
        <v>0.210425</v>
      </c>
      <c r="D106" s="2890">
        <f>0.8417/D101</f>
        <v>0.210425</v>
      </c>
      <c r="E106" s="2890">
        <f>0.7371/E101</f>
        <v>0.18427499999999999</v>
      </c>
      <c r="F106" s="2890">
        <f>0.7371/F101</f>
        <v>0.18427499999999999</v>
      </c>
      <c r="G106" s="2890">
        <f>0.7371/G101</f>
        <v>0.18427499999999999</v>
      </c>
      <c r="H106" s="2890">
        <f>0.7371/H101</f>
        <v>0.18427499999999999</v>
      </c>
      <c r="I106" s="2890">
        <f>0.7371/I101</f>
        <v>0.18427499999999999</v>
      </c>
      <c r="J106" s="2890">
        <f>0.5659/J101</f>
        <v>0.14147499999999999</v>
      </c>
      <c r="K106" s="2890">
        <f>0.5659/K101</f>
        <v>0.14147499999999999</v>
      </c>
      <c r="L106" s="2890">
        <f>0.5659/L101</f>
        <v>0.14147499999999999</v>
      </c>
      <c r="M106" s="2890">
        <f>0.5659/M101</f>
        <v>0.14147499999999999</v>
      </c>
      <c r="N106" s="2890">
        <f>0.5659/N101</f>
        <v>0.14147499999999999</v>
      </c>
    </row>
    <row r="107" spans="1:14">
      <c r="A107" s="3290"/>
      <c r="B107" s="2889">
        <v>6</v>
      </c>
      <c r="C107" s="2890">
        <f>0.7608/C101</f>
        <v>0.19020000000000001</v>
      </c>
      <c r="D107" s="2890">
        <f>0.7608/D101</f>
        <v>0.19020000000000001</v>
      </c>
      <c r="E107" s="2890">
        <f>0.6482/E101</f>
        <v>0.16205</v>
      </c>
      <c r="F107" s="2890">
        <f>0.6482/F101</f>
        <v>0.16205</v>
      </c>
      <c r="G107" s="2890">
        <f>0.6482/G101</f>
        <v>0.16205</v>
      </c>
      <c r="H107" s="2890">
        <f>0.6482/H101</f>
        <v>0.16205</v>
      </c>
      <c r="I107" s="2890">
        <f>0.6482/I101</f>
        <v>0.16205</v>
      </c>
      <c r="J107" s="2890">
        <f>0.4525/J101</f>
        <v>0.113125</v>
      </c>
      <c r="K107" s="2890">
        <f>0.4525/K101</f>
        <v>0.113125</v>
      </c>
      <c r="L107" s="2890">
        <f>0.4525/L101</f>
        <v>0.113125</v>
      </c>
      <c r="M107" s="2890">
        <f>0.4525/M101</f>
        <v>0.113125</v>
      </c>
      <c r="N107" s="2890">
        <f>0.4525/N101</f>
        <v>0.113125</v>
      </c>
    </row>
    <row r="108" spans="1:14">
      <c r="A108" s="3290"/>
      <c r="B108" s="3146"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1"/>
      <c r="B109" s="3147"/>
      <c r="C109" s="2892">
        <f>(-0.163*(C108^2)-0.59*C108+7617)*(10^(-4))/C101</f>
        <v>0.19042500000000001</v>
      </c>
      <c r="D109" s="2892">
        <f>(-0.163*(D108^2)-0.59*D108+7617)*(10^(-4))/D101</f>
        <v>0.19042500000000001</v>
      </c>
      <c r="E109" s="2892">
        <f>(-0.161*(E108^2)-7.509*E108+6533)*(10^(-4))/E101</f>
        <v>0.163325</v>
      </c>
      <c r="F109" s="2892">
        <f>(-0.161*(F108^2)-7.509*F108+6533)*(10^(-4))/F101</f>
        <v>0.163325</v>
      </c>
      <c r="G109" s="2892">
        <f>(-0.161*(G108^2)-7.509*G108+6533)*(10^(-4))/G101</f>
        <v>0.163325</v>
      </c>
      <c r="H109" s="2892">
        <f>(-0.161*(H108^2)-7.509*H108+6533)*(10^(-4))/H101</f>
        <v>0.163325</v>
      </c>
      <c r="I109" s="2892">
        <f>(-0.161*(I108^2)-7.509*I108+6533)*(10^(-4))/I101</f>
        <v>0.163325</v>
      </c>
      <c r="J109" s="2892">
        <f>(-0.214*(J108^2)-21.991*J108+4665)*(10^(-4))/J101</f>
        <v>0.11662500000000001</v>
      </c>
      <c r="K109" s="2892">
        <f>(-0.214*(K108^2)-21.991*K108+4665)*(10^(-4))/K101</f>
        <v>0.11662500000000001</v>
      </c>
      <c r="L109" s="2892">
        <f>(-0.214*(L108^2)-21.991*L108+4665)*(10^(-4))/L101</f>
        <v>0.11662500000000001</v>
      </c>
      <c r="M109" s="2892">
        <f>(-0.214*(M108^2)-21.991*M108+4665)*(10^(-4))/M101</f>
        <v>0.11662500000000001</v>
      </c>
      <c r="N109" s="2892">
        <f>(-0.214*(N108^2)-21.991*N108+4665)*(10^(-4))/N101</f>
        <v>0.11662500000000001</v>
      </c>
    </row>
    <row r="110" spans="1:14">
      <c r="A110" s="3287" t="s">
        <v>2976</v>
      </c>
      <c r="B110" s="3287"/>
      <c r="C110" s="3287"/>
      <c r="D110" s="3287"/>
      <c r="E110" s="3287"/>
      <c r="F110" s="3287"/>
      <c r="G110" s="3287"/>
      <c r="H110" s="3287"/>
      <c r="I110" s="3287"/>
      <c r="J110" s="3287"/>
      <c r="K110" s="2895"/>
      <c r="L110" s="2895"/>
      <c r="M110" s="2895"/>
      <c r="N110" s="2895"/>
    </row>
    <row r="112" spans="1:14" ht="13.5" thickBot="1"/>
    <row r="113" spans="1:13" ht="25.5" thickBot="1">
      <c r="A113" s="899" t="s">
        <v>2977</v>
      </c>
      <c r="B113" s="1284">
        <f>G3</f>
        <v>4</v>
      </c>
      <c r="C113" s="900" t="s">
        <v>2978</v>
      </c>
      <c r="D113" s="901">
        <f>SUMPRODUCT((A115:A118=F113)*(B114:M114=H113)*B115:M118)</f>
        <v>0</v>
      </c>
      <c r="E113" s="2718" t="s">
        <v>2808</v>
      </c>
      <c r="F113" s="2897">
        <f>E2</f>
        <v>0</v>
      </c>
      <c r="G113" s="2718" t="s">
        <v>2809</v>
      </c>
      <c r="H113" s="2897">
        <f>G2</f>
        <v>0</v>
      </c>
      <c r="I113" s="2718"/>
      <c r="J113" s="2898"/>
      <c r="K113" s="2898"/>
      <c r="L113" s="2898"/>
      <c r="M113" s="2898"/>
    </row>
    <row r="114" spans="1:13">
      <c r="A114" s="904"/>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5" t="s">
        <v>2873</v>
      </c>
      <c r="B115" s="906">
        <f>ROUND(0.9335-0.0094*B113,4)</f>
        <v>0.89590000000000003</v>
      </c>
      <c r="C115" s="906">
        <f>B115</f>
        <v>0.89590000000000003</v>
      </c>
      <c r="D115" s="906">
        <f>ROUND(0.8331-0.0109*B113,4)</f>
        <v>0.78949999999999998</v>
      </c>
      <c r="E115" s="906">
        <f>D115</f>
        <v>0.78949999999999998</v>
      </c>
      <c r="F115" s="906">
        <f>E115</f>
        <v>0.78949999999999998</v>
      </c>
      <c r="G115" s="906">
        <f>F115</f>
        <v>0.78949999999999998</v>
      </c>
      <c r="H115" s="906">
        <f>G115</f>
        <v>0.78949999999999998</v>
      </c>
      <c r="I115" s="906">
        <f>ROUND(0.689-0.0155*B113,4)</f>
        <v>0.627</v>
      </c>
      <c r="J115" s="906">
        <f t="shared" ref="J115:M118" si="33">I115</f>
        <v>0.627</v>
      </c>
      <c r="K115" s="906">
        <f t="shared" si="33"/>
        <v>0.627</v>
      </c>
      <c r="L115" s="906">
        <f t="shared" si="33"/>
        <v>0.627</v>
      </c>
      <c r="M115" s="907">
        <f t="shared" si="33"/>
        <v>0.627</v>
      </c>
    </row>
    <row r="116" spans="1:13">
      <c r="A116" s="905" t="s">
        <v>2874</v>
      </c>
      <c r="B116" s="906">
        <f>ROUND(0.949-0.012*B113,4)</f>
        <v>0.90100000000000002</v>
      </c>
      <c r="C116" s="906">
        <f>B116</f>
        <v>0.90100000000000002</v>
      </c>
      <c r="D116" s="906">
        <f>ROUND(0.8567-0.013*B113,4)</f>
        <v>0.80469999999999997</v>
      </c>
      <c r="E116" s="906">
        <f t="shared" ref="E116:H117" si="34">D116</f>
        <v>0.80469999999999997</v>
      </c>
      <c r="F116" s="906">
        <f t="shared" si="34"/>
        <v>0.80469999999999997</v>
      </c>
      <c r="G116" s="906">
        <f t="shared" si="34"/>
        <v>0.80469999999999997</v>
      </c>
      <c r="H116" s="906">
        <f t="shared" si="34"/>
        <v>0.80469999999999997</v>
      </c>
      <c r="I116" s="906">
        <f>ROUND(0.7694-0.014*B113,4)</f>
        <v>0.71340000000000003</v>
      </c>
      <c r="J116" s="906">
        <f t="shared" si="33"/>
        <v>0.71340000000000003</v>
      </c>
      <c r="K116" s="906">
        <f t="shared" si="33"/>
        <v>0.71340000000000003</v>
      </c>
      <c r="L116" s="906">
        <f t="shared" si="33"/>
        <v>0.71340000000000003</v>
      </c>
      <c r="M116" s="907">
        <f t="shared" si="33"/>
        <v>0.71340000000000003</v>
      </c>
    </row>
    <row r="117" spans="1:13">
      <c r="A117" s="905" t="s">
        <v>2875</v>
      </c>
      <c r="B117" s="906">
        <f>ROUND(0.8808-0.006*B113,4)</f>
        <v>0.85680000000000001</v>
      </c>
      <c r="C117" s="906">
        <f>B117</f>
        <v>0.85680000000000001</v>
      </c>
      <c r="D117" s="906">
        <f>ROUND(0.8748-0.008*B113,4)</f>
        <v>0.84279999999999999</v>
      </c>
      <c r="E117" s="906">
        <f t="shared" si="34"/>
        <v>0.84279999999999999</v>
      </c>
      <c r="F117" s="906">
        <f t="shared" si="34"/>
        <v>0.84279999999999999</v>
      </c>
      <c r="G117" s="906">
        <f t="shared" si="34"/>
        <v>0.84279999999999999</v>
      </c>
      <c r="H117" s="906">
        <f t="shared" si="34"/>
        <v>0.84279999999999999</v>
      </c>
      <c r="I117" s="906">
        <f>ROUND(0.7412-0.0095*B113,4)</f>
        <v>0.70320000000000005</v>
      </c>
      <c r="J117" s="906">
        <f t="shared" si="33"/>
        <v>0.70320000000000005</v>
      </c>
      <c r="K117" s="906">
        <f t="shared" si="33"/>
        <v>0.70320000000000005</v>
      </c>
      <c r="L117" s="906">
        <f t="shared" si="33"/>
        <v>0.70320000000000005</v>
      </c>
      <c r="M117" s="907">
        <f t="shared" si="33"/>
        <v>0.70320000000000005</v>
      </c>
    </row>
    <row r="118" spans="1:13" ht="13.5" thickBot="1">
      <c r="A118" s="711" t="s">
        <v>2876</v>
      </c>
      <c r="B118" s="908">
        <f>ROUND(0.7275-0.01*B113,4)</f>
        <v>0.6875</v>
      </c>
      <c r="C118" s="908">
        <f>B118</f>
        <v>0.6875</v>
      </c>
      <c r="D118" s="908">
        <f>ROUND(0.7043-0.012*B113,4)</f>
        <v>0.65629999999999999</v>
      </c>
      <c r="E118" s="908">
        <f>D118</f>
        <v>0.65629999999999999</v>
      </c>
      <c r="F118" s="908">
        <f>E118</f>
        <v>0.65629999999999999</v>
      </c>
      <c r="G118" s="908">
        <f>ROUND(0.6299-0.0122*B113,4)</f>
        <v>0.58109999999999995</v>
      </c>
      <c r="H118" s="908">
        <f>G118</f>
        <v>0.58109999999999995</v>
      </c>
      <c r="I118" s="908">
        <f>ROUND(0.5667-0.0136*B113,4)</f>
        <v>0.51229999999999998</v>
      </c>
      <c r="J118" s="908">
        <f t="shared" si="33"/>
        <v>0.51229999999999998</v>
      </c>
      <c r="K118" s="908">
        <f t="shared" si="33"/>
        <v>0.51229999999999998</v>
      </c>
      <c r="L118" s="908">
        <f t="shared" si="33"/>
        <v>0.51229999999999998</v>
      </c>
      <c r="M118" s="909">
        <f t="shared" si="33"/>
        <v>0.51229999999999998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5" t="s">
        <v>183</v>
      </c>
      <c r="B18" s="878" t="s">
        <v>560</v>
      </c>
      <c r="C18" s="879" t="s">
        <v>561</v>
      </c>
      <c r="D18" s="880"/>
      <c r="E18" s="878">
        <v>1</v>
      </c>
      <c r="F18" s="881" t="s">
        <v>562</v>
      </c>
      <c r="G18" s="882"/>
      <c r="H18" s="874"/>
      <c r="I18" s="874"/>
    </row>
    <row r="19" spans="1:9" s="883" customFormat="1" ht="19.5" customHeight="1">
      <c r="A19" s="3295"/>
      <c r="B19" s="3295" t="s">
        <v>563</v>
      </c>
      <c r="C19" s="879" t="s">
        <v>564</v>
      </c>
      <c r="D19" s="880"/>
      <c r="E19" s="878">
        <v>0.9</v>
      </c>
      <c r="F19" s="881" t="s">
        <v>565</v>
      </c>
      <c r="G19" s="882"/>
      <c r="H19" s="874"/>
      <c r="I19" s="874"/>
    </row>
    <row r="20" spans="1:9" s="883" customFormat="1" ht="19.5" customHeight="1">
      <c r="A20" s="3295"/>
      <c r="B20" s="3295"/>
      <c r="C20" s="879" t="s">
        <v>566</v>
      </c>
      <c r="D20" s="880"/>
      <c r="E20" s="878">
        <v>1.1000000000000001</v>
      </c>
      <c r="F20" s="881" t="s">
        <v>567</v>
      </c>
      <c r="G20" s="882"/>
      <c r="H20" s="874"/>
      <c r="I20" s="874"/>
    </row>
    <row r="21" spans="1:9" s="883" customFormat="1" ht="19.5" customHeight="1">
      <c r="A21" s="3295"/>
      <c r="B21" s="3295"/>
      <c r="C21" s="879" t="s">
        <v>568</v>
      </c>
      <c r="D21" s="880"/>
      <c r="E21" s="878">
        <v>0.8</v>
      </c>
      <c r="F21" s="881" t="s">
        <v>569</v>
      </c>
      <c r="G21" s="882"/>
      <c r="H21" s="874"/>
      <c r="I21" s="874"/>
    </row>
    <row r="22" spans="1:9" s="883" customFormat="1" ht="19.5" customHeight="1">
      <c r="A22" s="3295"/>
      <c r="B22" s="3295"/>
      <c r="C22" s="879" t="s">
        <v>570</v>
      </c>
      <c r="D22" s="880"/>
      <c r="E22" s="878">
        <v>0.5</v>
      </c>
      <c r="F22" s="881"/>
      <c r="G22" s="882"/>
      <c r="H22" s="874"/>
      <c r="I22" s="874"/>
    </row>
    <row r="23" spans="1:9" s="883" customFormat="1" ht="19.5" customHeight="1">
      <c r="A23" s="3295" t="s">
        <v>184</v>
      </c>
      <c r="B23" s="878" t="s">
        <v>560</v>
      </c>
      <c r="C23" s="879" t="s">
        <v>571</v>
      </c>
      <c r="D23" s="880"/>
      <c r="E23" s="878">
        <v>1</v>
      </c>
      <c r="F23" s="881" t="s">
        <v>572</v>
      </c>
      <c r="G23" s="882"/>
      <c r="H23" s="874"/>
      <c r="I23" s="874"/>
    </row>
    <row r="24" spans="1:9" s="883" customFormat="1" ht="19.5" customHeight="1">
      <c r="A24" s="3295"/>
      <c r="B24" s="3295" t="s">
        <v>563</v>
      </c>
      <c r="C24" s="879" t="s">
        <v>573</v>
      </c>
      <c r="D24" s="880"/>
      <c r="E24" s="878">
        <v>0.5</v>
      </c>
      <c r="F24" s="881"/>
      <c r="G24" s="882"/>
      <c r="H24" s="874"/>
      <c r="I24" s="874"/>
    </row>
    <row r="25" spans="1:9" s="883" customFormat="1" ht="19.5" customHeight="1">
      <c r="A25" s="3295"/>
      <c r="B25" s="3295"/>
      <c r="C25" s="879" t="s">
        <v>574</v>
      </c>
      <c r="D25" s="880"/>
      <c r="E25" s="878">
        <v>1.1000000000000001</v>
      </c>
      <c r="F25" s="881"/>
      <c r="G25" s="882"/>
      <c r="H25" s="874"/>
      <c r="I25" s="874"/>
    </row>
    <row r="26" spans="1:9" s="883" customFormat="1" ht="19.5" customHeight="1">
      <c r="A26" s="3295"/>
      <c r="B26" s="3295"/>
      <c r="C26" s="879" t="s">
        <v>575</v>
      </c>
      <c r="D26" s="880"/>
      <c r="E26" s="878">
        <v>1.1000000000000001</v>
      </c>
      <c r="F26" s="881"/>
      <c r="G26" s="882"/>
      <c r="H26" s="874"/>
      <c r="I26" s="874"/>
    </row>
    <row r="27" spans="1:9" s="883" customFormat="1" ht="19.5" customHeight="1">
      <c r="A27" s="3295"/>
      <c r="B27" s="3295"/>
      <c r="C27" s="879" t="s">
        <v>576</v>
      </c>
      <c r="D27" s="880"/>
      <c r="E27" s="878">
        <v>0.9</v>
      </c>
      <c r="F27" s="881" t="s">
        <v>577</v>
      </c>
      <c r="G27" s="882"/>
      <c r="H27" s="874"/>
      <c r="I27" s="874"/>
    </row>
    <row r="28" spans="1:9" s="883" customFormat="1" ht="19.5" customHeight="1">
      <c r="A28" s="3295"/>
      <c r="B28" s="3295"/>
      <c r="C28" s="879" t="s">
        <v>578</v>
      </c>
      <c r="D28" s="880"/>
      <c r="E28" s="878">
        <v>0.9</v>
      </c>
      <c r="F28" s="881" t="s">
        <v>579</v>
      </c>
      <c r="G28" s="882"/>
      <c r="H28" s="874"/>
      <c r="I28" s="874"/>
    </row>
    <row r="29" spans="1:9" s="883" customFormat="1" ht="19.5" customHeight="1">
      <c r="A29" s="3295"/>
      <c r="B29" s="3295"/>
      <c r="C29" s="879" t="s">
        <v>580</v>
      </c>
      <c r="D29" s="880"/>
      <c r="E29" s="878">
        <v>0.9</v>
      </c>
      <c r="F29" s="881" t="s">
        <v>581</v>
      </c>
      <c r="G29" s="882"/>
      <c r="H29" s="874"/>
      <c r="I29" s="874"/>
    </row>
    <row r="30" spans="1:9" s="883" customFormat="1" ht="19.5" customHeight="1">
      <c r="A30" s="3295"/>
      <c r="B30" s="3295"/>
      <c r="C30" s="879" t="s">
        <v>582</v>
      </c>
      <c r="D30" s="880"/>
      <c r="E30" s="878">
        <v>0.9</v>
      </c>
      <c r="F30" s="881" t="s">
        <v>583</v>
      </c>
      <c r="G30" s="882"/>
      <c r="H30" s="874"/>
      <c r="I30" s="874"/>
    </row>
    <row r="31" spans="1:9" s="883" customFormat="1" ht="19.5" customHeight="1">
      <c r="A31" s="3295"/>
      <c r="B31" s="3295"/>
      <c r="C31" s="879" t="s">
        <v>584</v>
      </c>
      <c r="D31" s="880"/>
      <c r="E31" s="878">
        <v>0.8</v>
      </c>
      <c r="F31" s="881" t="s">
        <v>585</v>
      </c>
      <c r="G31" s="882"/>
      <c r="H31" s="874"/>
      <c r="I31" s="874"/>
    </row>
    <row r="32" spans="1:9" s="883" customFormat="1" ht="19.5" customHeight="1">
      <c r="A32" s="3295"/>
      <c r="B32" s="3295"/>
      <c r="C32" s="879" t="s">
        <v>586</v>
      </c>
      <c r="D32" s="880"/>
      <c r="E32" s="878">
        <v>0.8</v>
      </c>
      <c r="F32" s="881" t="s">
        <v>587</v>
      </c>
      <c r="G32" s="882"/>
      <c r="H32" s="874"/>
      <c r="I32" s="874"/>
    </row>
    <row r="33" spans="1:9" s="883" customFormat="1" ht="19.5" customHeight="1">
      <c r="A33" s="3295" t="s">
        <v>185</v>
      </c>
      <c r="B33" s="878" t="s">
        <v>560</v>
      </c>
      <c r="C33" s="879" t="s">
        <v>588</v>
      </c>
      <c r="D33" s="880"/>
      <c r="E33" s="878">
        <v>1</v>
      </c>
      <c r="F33" s="881" t="s">
        <v>589</v>
      </c>
      <c r="G33" s="882"/>
      <c r="H33" s="874"/>
      <c r="I33" s="874"/>
    </row>
    <row r="34" spans="1:9" s="883" customFormat="1" ht="19.5" customHeight="1">
      <c r="A34" s="3295"/>
      <c r="B34" s="878" t="s">
        <v>563</v>
      </c>
      <c r="C34" s="879" t="s">
        <v>590</v>
      </c>
      <c r="D34" s="880"/>
      <c r="E34" s="878">
        <v>1.5</v>
      </c>
      <c r="F34" s="881" t="s">
        <v>591</v>
      </c>
      <c r="G34" s="882"/>
      <c r="H34" s="874"/>
      <c r="I34" s="874"/>
    </row>
    <row r="35" spans="1:9" s="883" customFormat="1" ht="19.5" customHeight="1">
      <c r="A35" s="3295" t="s">
        <v>186</v>
      </c>
      <c r="B35" s="878" t="s">
        <v>560</v>
      </c>
      <c r="C35" s="879" t="s">
        <v>592</v>
      </c>
      <c r="D35" s="880"/>
      <c r="E35" s="878">
        <v>1</v>
      </c>
      <c r="F35" s="881" t="s">
        <v>593</v>
      </c>
      <c r="G35" s="882"/>
      <c r="H35" s="874"/>
      <c r="I35" s="874"/>
    </row>
    <row r="36" spans="1:9" s="883" customFormat="1" ht="19.5" customHeight="1">
      <c r="A36" s="3295"/>
      <c r="B36" s="3295" t="s">
        <v>563</v>
      </c>
      <c r="C36" s="879" t="s">
        <v>594</v>
      </c>
      <c r="D36" s="880"/>
      <c r="E36" s="878">
        <v>1</v>
      </c>
      <c r="F36" s="881" t="s">
        <v>595</v>
      </c>
      <c r="G36" s="882"/>
      <c r="H36" s="874"/>
      <c r="I36" s="874"/>
    </row>
    <row r="37" spans="1:9" s="883" customFormat="1" ht="19.5" customHeight="1">
      <c r="A37" s="3295"/>
      <c r="B37" s="3295"/>
      <c r="C37" s="879" t="s">
        <v>596</v>
      </c>
      <c r="D37" s="880"/>
      <c r="E37" s="878">
        <v>1.5</v>
      </c>
      <c r="F37" s="881" t="s">
        <v>597</v>
      </c>
      <c r="G37" s="882"/>
      <c r="H37" s="874"/>
      <c r="I37" s="874"/>
    </row>
    <row r="38" spans="1:9" s="883" customFormat="1" ht="19.5" customHeight="1">
      <c r="A38" s="3295"/>
      <c r="B38" s="3295"/>
      <c r="C38" s="879" t="s">
        <v>598</v>
      </c>
      <c r="D38" s="880"/>
      <c r="E38" s="878">
        <v>1</v>
      </c>
      <c r="F38" s="881" t="s">
        <v>599</v>
      </c>
      <c r="G38" s="882"/>
      <c r="H38" s="874"/>
      <c r="I38" s="874"/>
    </row>
    <row r="39" spans="1:9" s="883" customFormat="1" ht="19.5" customHeight="1">
      <c r="A39" s="3295"/>
      <c r="B39" s="329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5" t="s">
        <v>614</v>
      </c>
      <c r="C61" s="814" t="s">
        <v>615</v>
      </c>
      <c r="D61" s="814" t="s">
        <v>616</v>
      </c>
      <c r="E61" s="891">
        <v>0.5</v>
      </c>
      <c r="F61" s="878">
        <v>80</v>
      </c>
    </row>
    <row r="62" spans="1:8" s="874" customFormat="1" ht="24">
      <c r="A62" s="878">
        <v>2</v>
      </c>
      <c r="B62" s="3295"/>
      <c r="C62" s="814" t="s">
        <v>617</v>
      </c>
      <c r="D62" s="814" t="s">
        <v>618</v>
      </c>
      <c r="E62" s="891">
        <v>0.5</v>
      </c>
      <c r="F62" s="878">
        <v>80</v>
      </c>
    </row>
    <row r="63" spans="1:8" s="874" customFormat="1" ht="36">
      <c r="A63" s="878">
        <v>3</v>
      </c>
      <c r="B63" s="3295"/>
      <c r="C63" s="814" t="s">
        <v>619</v>
      </c>
      <c r="D63" s="814" t="s">
        <v>620</v>
      </c>
      <c r="E63" s="891">
        <v>0.5</v>
      </c>
      <c r="F63" s="878">
        <v>80</v>
      </c>
    </row>
    <row r="64" spans="1:8" s="874" customFormat="1" ht="36">
      <c r="A64" s="878">
        <v>4</v>
      </c>
      <c r="B64" s="3295"/>
      <c r="C64" s="814" t="s">
        <v>621</v>
      </c>
      <c r="D64" s="814" t="s">
        <v>622</v>
      </c>
      <c r="E64" s="891">
        <v>0.4</v>
      </c>
      <c r="F64" s="878">
        <v>60</v>
      </c>
    </row>
    <row r="65" spans="1:6" s="874" customFormat="1" ht="36">
      <c r="A65" s="878">
        <v>5</v>
      </c>
      <c r="B65" s="3295"/>
      <c r="C65" s="814" t="s">
        <v>623</v>
      </c>
      <c r="D65" s="814" t="s">
        <v>624</v>
      </c>
      <c r="E65" s="891">
        <v>0.2</v>
      </c>
      <c r="F65" s="878">
        <v>30</v>
      </c>
    </row>
    <row r="66" spans="1:6" s="874" customFormat="1" ht="36">
      <c r="A66" s="878">
        <v>6</v>
      </c>
      <c r="B66" s="3295"/>
      <c r="C66" s="814" t="s">
        <v>625</v>
      </c>
      <c r="D66" s="814" t="s">
        <v>626</v>
      </c>
      <c r="E66" s="891">
        <v>0.3</v>
      </c>
      <c r="F66" s="878">
        <v>50</v>
      </c>
    </row>
    <row r="67" spans="1:6" s="874" customFormat="1" ht="36">
      <c r="A67" s="878">
        <v>7</v>
      </c>
      <c r="B67" s="3295"/>
      <c r="C67" s="814" t="s">
        <v>627</v>
      </c>
      <c r="D67" s="814" t="s">
        <v>628</v>
      </c>
      <c r="E67" s="891">
        <v>0.2</v>
      </c>
      <c r="F67" s="878">
        <v>30</v>
      </c>
    </row>
    <row r="68" spans="1:6" s="874" customFormat="1" ht="36">
      <c r="A68" s="878">
        <v>8</v>
      </c>
      <c r="B68" s="3295"/>
      <c r="C68" s="814" t="s">
        <v>629</v>
      </c>
      <c r="D68" s="814" t="s">
        <v>630</v>
      </c>
      <c r="E68" s="891">
        <v>0.2</v>
      </c>
      <c r="F68" s="878">
        <v>30</v>
      </c>
    </row>
    <row r="69" spans="1:6" s="874" customFormat="1" ht="36">
      <c r="A69" s="878">
        <v>9</v>
      </c>
      <c r="B69" s="3295"/>
      <c r="C69" s="814" t="s">
        <v>631</v>
      </c>
      <c r="D69" s="814" t="s">
        <v>632</v>
      </c>
      <c r="E69" s="891">
        <v>0.2</v>
      </c>
      <c r="F69" s="878">
        <v>30</v>
      </c>
    </row>
    <row r="70" spans="1:6" s="874" customFormat="1" ht="48">
      <c r="A70" s="878">
        <v>10</v>
      </c>
      <c r="B70" s="3295"/>
      <c r="C70" s="814" t="s">
        <v>633</v>
      </c>
      <c r="D70" s="814" t="s">
        <v>634</v>
      </c>
      <c r="E70" s="891">
        <v>0.2</v>
      </c>
      <c r="F70" s="878">
        <v>30</v>
      </c>
    </row>
    <row r="71" spans="1:6" s="874" customFormat="1" ht="48">
      <c r="A71" s="878">
        <v>11</v>
      </c>
      <c r="B71" s="3295"/>
      <c r="C71" s="814" t="s">
        <v>635</v>
      </c>
      <c r="D71" s="814" t="s">
        <v>636</v>
      </c>
      <c r="E71" s="891">
        <v>0.2</v>
      </c>
      <c r="F71" s="878">
        <v>30</v>
      </c>
    </row>
    <row r="72" spans="1:6" s="874" customFormat="1" ht="36">
      <c r="A72" s="878">
        <v>12</v>
      </c>
      <c r="B72" s="3295"/>
      <c r="C72" s="814" t="s">
        <v>637</v>
      </c>
      <c r="D72" s="814" t="s">
        <v>638</v>
      </c>
      <c r="E72" s="891">
        <v>0.5</v>
      </c>
      <c r="F72" s="878">
        <v>80</v>
      </c>
    </row>
    <row r="73" spans="1:6" s="874" customFormat="1" ht="24">
      <c r="A73" s="878">
        <v>13</v>
      </c>
      <c r="B73" s="3295"/>
      <c r="C73" s="814" t="s">
        <v>639</v>
      </c>
      <c r="D73" s="814" t="s">
        <v>640</v>
      </c>
      <c r="E73" s="891">
        <v>0.4</v>
      </c>
      <c r="F73" s="878">
        <v>60</v>
      </c>
    </row>
    <row r="74" spans="1:6" s="874" customFormat="1" ht="24">
      <c r="A74" s="878">
        <v>14</v>
      </c>
      <c r="B74" s="3295"/>
      <c r="C74" s="814" t="s">
        <v>641</v>
      </c>
      <c r="D74" s="814" t="s">
        <v>642</v>
      </c>
      <c r="E74" s="891">
        <v>0.2</v>
      </c>
      <c r="F74" s="878">
        <v>30</v>
      </c>
    </row>
    <row r="75" spans="1:6" s="874" customFormat="1" ht="24">
      <c r="A75" s="878">
        <v>15</v>
      </c>
      <c r="B75" s="3295"/>
      <c r="C75" s="814" t="s">
        <v>643</v>
      </c>
      <c r="D75" s="814" t="s">
        <v>644</v>
      </c>
      <c r="E75" s="891">
        <v>0.2</v>
      </c>
      <c r="F75" s="878">
        <v>30</v>
      </c>
    </row>
    <row r="76" spans="1:6" s="874" customFormat="1" ht="24">
      <c r="A76" s="878">
        <v>16</v>
      </c>
      <c r="B76" s="3295" t="s">
        <v>645</v>
      </c>
      <c r="C76" s="814" t="s">
        <v>646</v>
      </c>
      <c r="D76" s="814" t="s">
        <v>647</v>
      </c>
      <c r="E76" s="891">
        <v>0.5</v>
      </c>
      <c r="F76" s="878">
        <v>80</v>
      </c>
    </row>
    <row r="77" spans="1:6" s="874" customFormat="1" ht="24">
      <c r="A77" s="878">
        <v>17</v>
      </c>
      <c r="B77" s="3295"/>
      <c r="C77" s="814" t="s">
        <v>648</v>
      </c>
      <c r="D77" s="814" t="s">
        <v>649</v>
      </c>
      <c r="E77" s="891">
        <v>0.5</v>
      </c>
      <c r="F77" s="878">
        <v>80</v>
      </c>
    </row>
    <row r="78" spans="1:6" s="874" customFormat="1" ht="24">
      <c r="A78" s="878">
        <v>18</v>
      </c>
      <c r="B78" s="3295"/>
      <c r="C78" s="814" t="s">
        <v>650</v>
      </c>
      <c r="D78" s="814" t="s">
        <v>651</v>
      </c>
      <c r="E78" s="891">
        <v>0.2</v>
      </c>
      <c r="F78" s="878">
        <v>30</v>
      </c>
    </row>
    <row r="79" spans="1:6" s="874" customFormat="1" ht="24">
      <c r="A79" s="878">
        <v>19</v>
      </c>
      <c r="B79" s="3295"/>
      <c r="C79" s="814" t="s">
        <v>652</v>
      </c>
      <c r="D79" s="814" t="s">
        <v>653</v>
      </c>
      <c r="E79" s="891">
        <v>0.5</v>
      </c>
      <c r="F79" s="878">
        <v>80</v>
      </c>
    </row>
    <row r="80" spans="1:6" s="874" customFormat="1" ht="36">
      <c r="A80" s="878">
        <v>20</v>
      </c>
      <c r="B80" s="3295"/>
      <c r="C80" s="814" t="s">
        <v>654</v>
      </c>
      <c r="D80" s="814" t="s">
        <v>655</v>
      </c>
      <c r="E80" s="891">
        <v>0.2</v>
      </c>
      <c r="F80" s="878">
        <v>30</v>
      </c>
    </row>
    <row r="81" spans="1:6" s="874" customFormat="1" ht="36">
      <c r="A81" s="878">
        <v>21</v>
      </c>
      <c r="B81" s="3295"/>
      <c r="C81" s="814" t="s">
        <v>656</v>
      </c>
      <c r="D81" s="814" t="s">
        <v>657</v>
      </c>
      <c r="E81" s="891">
        <v>0.2</v>
      </c>
      <c r="F81" s="878">
        <v>30</v>
      </c>
    </row>
    <row r="82" spans="1:6" s="874" customFormat="1" ht="48">
      <c r="A82" s="878">
        <v>22</v>
      </c>
      <c r="B82" s="3295"/>
      <c r="C82" s="814" t="s">
        <v>658</v>
      </c>
      <c r="D82" s="814" t="s">
        <v>659</v>
      </c>
      <c r="E82" s="891">
        <v>0.2</v>
      </c>
      <c r="F82" s="878">
        <v>30</v>
      </c>
    </row>
    <row r="83" spans="1:6" s="874" customFormat="1" ht="48">
      <c r="A83" s="878">
        <v>23</v>
      </c>
      <c r="B83" s="3295"/>
      <c r="C83" s="814" t="s">
        <v>660</v>
      </c>
      <c r="D83" s="814" t="s">
        <v>661</v>
      </c>
      <c r="E83" s="891">
        <v>0.2</v>
      </c>
      <c r="F83" s="878">
        <v>30</v>
      </c>
    </row>
    <row r="84" spans="1:6" s="874" customFormat="1" ht="36">
      <c r="A84" s="878">
        <v>24</v>
      </c>
      <c r="B84" s="3295"/>
      <c r="C84" s="814" t="s">
        <v>662</v>
      </c>
      <c r="D84" s="814" t="s">
        <v>663</v>
      </c>
      <c r="E84" s="891">
        <v>0.2</v>
      </c>
      <c r="F84" s="878">
        <v>30</v>
      </c>
    </row>
    <row r="85" spans="1:6" s="874" customFormat="1" ht="36">
      <c r="A85" s="878">
        <v>25</v>
      </c>
      <c r="B85" s="3295"/>
      <c r="C85" s="814" t="s">
        <v>664</v>
      </c>
      <c r="D85" s="814" t="s">
        <v>665</v>
      </c>
      <c r="E85" s="891">
        <v>0.5</v>
      </c>
      <c r="F85" s="878">
        <v>80</v>
      </c>
    </row>
    <row r="86" spans="1:6" s="874" customFormat="1" ht="36">
      <c r="A86" s="878">
        <v>26</v>
      </c>
      <c r="B86" s="3295"/>
      <c r="C86" s="814" t="s">
        <v>666</v>
      </c>
      <c r="D86" s="814" t="s">
        <v>667</v>
      </c>
      <c r="E86" s="891">
        <v>0.2</v>
      </c>
      <c r="F86" s="878">
        <v>30</v>
      </c>
    </row>
    <row r="87" spans="1:6" s="874" customFormat="1" ht="36">
      <c r="A87" s="878">
        <v>27</v>
      </c>
      <c r="B87" s="3295"/>
      <c r="C87" s="814" t="s">
        <v>668</v>
      </c>
      <c r="D87" s="814" t="s">
        <v>669</v>
      </c>
      <c r="E87" s="891">
        <v>0.2</v>
      </c>
      <c r="F87" s="878">
        <v>30</v>
      </c>
    </row>
    <row r="88" spans="1:6" s="874" customFormat="1" ht="36">
      <c r="A88" s="878">
        <v>28</v>
      </c>
      <c r="B88" s="3295"/>
      <c r="C88" s="814" t="s">
        <v>670</v>
      </c>
      <c r="D88" s="814" t="s">
        <v>671</v>
      </c>
      <c r="E88" s="891">
        <v>0.2</v>
      </c>
      <c r="F88" s="878">
        <v>30</v>
      </c>
    </row>
    <row r="89" spans="1:6" s="874" customFormat="1" ht="24">
      <c r="A89" s="878">
        <v>29</v>
      </c>
      <c r="B89" s="3295"/>
      <c r="C89" s="814" t="s">
        <v>672</v>
      </c>
      <c r="D89" s="814" t="s">
        <v>673</v>
      </c>
      <c r="E89" s="891">
        <v>0.2</v>
      </c>
      <c r="F89" s="878">
        <v>30</v>
      </c>
    </row>
    <row r="90" spans="1:6" s="874" customFormat="1" ht="24">
      <c r="A90" s="878">
        <v>30</v>
      </c>
      <c r="B90" s="3295"/>
      <c r="C90" s="814" t="s">
        <v>674</v>
      </c>
      <c r="D90" s="814" t="s">
        <v>675</v>
      </c>
      <c r="E90" s="891">
        <v>0.2</v>
      </c>
      <c r="F90" s="878">
        <v>30</v>
      </c>
    </row>
    <row r="91" spans="1:6" s="874" customFormat="1" ht="36">
      <c r="A91" s="878">
        <v>31</v>
      </c>
      <c r="B91" s="3295"/>
      <c r="C91" s="814" t="s">
        <v>676</v>
      </c>
      <c r="D91" s="814" t="s">
        <v>677</v>
      </c>
      <c r="E91" s="891">
        <v>0.2</v>
      </c>
      <c r="F91" s="878">
        <v>30</v>
      </c>
    </row>
    <row r="92" spans="1:6" s="874" customFormat="1" ht="24">
      <c r="A92" s="878">
        <v>32</v>
      </c>
      <c r="B92" s="3295" t="s">
        <v>678</v>
      </c>
      <c r="C92" s="878" t="s">
        <v>679</v>
      </c>
      <c r="D92" s="814" t="s">
        <v>680</v>
      </c>
      <c r="E92" s="891">
        <v>0.2</v>
      </c>
      <c r="F92" s="878">
        <v>30</v>
      </c>
    </row>
    <row r="93" spans="1:6" s="874" customFormat="1" ht="36">
      <c r="A93" s="878">
        <v>33</v>
      </c>
      <c r="B93" s="3295"/>
      <c r="C93" s="878" t="s">
        <v>681</v>
      </c>
      <c r="D93" s="814" t="s">
        <v>682</v>
      </c>
      <c r="E93" s="891">
        <v>0.2</v>
      </c>
      <c r="F93" s="878">
        <v>30</v>
      </c>
    </row>
    <row r="94" spans="1:6" s="874" customFormat="1" ht="48">
      <c r="A94" s="878">
        <v>34</v>
      </c>
      <c r="B94" s="3295"/>
      <c r="C94" s="878" t="s">
        <v>683</v>
      </c>
      <c r="D94" s="814" t="s">
        <v>684</v>
      </c>
      <c r="E94" s="891">
        <v>0.2</v>
      </c>
      <c r="F94" s="878">
        <v>30</v>
      </c>
    </row>
    <row r="95" spans="1:6" s="874" customFormat="1" ht="36">
      <c r="A95" s="878">
        <v>35</v>
      </c>
      <c r="B95" s="3295"/>
      <c r="C95" s="878" t="s">
        <v>685</v>
      </c>
      <c r="D95" s="814" t="s">
        <v>686</v>
      </c>
      <c r="E95" s="891">
        <v>0.2</v>
      </c>
      <c r="F95" s="878">
        <v>30</v>
      </c>
    </row>
    <row r="96" spans="1:6" s="874" customFormat="1" ht="48">
      <c r="A96" s="878">
        <v>36</v>
      </c>
      <c r="B96" s="3295"/>
      <c r="C96" s="814" t="s">
        <v>687</v>
      </c>
      <c r="D96" s="814" t="s">
        <v>688</v>
      </c>
      <c r="E96" s="891">
        <v>0.2</v>
      </c>
      <c r="F96" s="878">
        <v>30</v>
      </c>
    </row>
    <row r="97" spans="1:6" s="874" customFormat="1" ht="36">
      <c r="A97" s="878">
        <v>37</v>
      </c>
      <c r="B97" s="3295"/>
      <c r="C97" s="878" t="s">
        <v>689</v>
      </c>
      <c r="D97" s="814" t="s">
        <v>690</v>
      </c>
      <c r="E97" s="891">
        <v>0.2</v>
      </c>
      <c r="F97" s="878">
        <v>30</v>
      </c>
    </row>
    <row r="98" spans="1:6" s="874" customFormat="1" ht="36">
      <c r="A98" s="878">
        <v>38</v>
      </c>
      <c r="B98" s="3295"/>
      <c r="C98" s="878" t="s">
        <v>691</v>
      </c>
      <c r="D98" s="814" t="s">
        <v>692</v>
      </c>
      <c r="E98" s="891">
        <v>0.2</v>
      </c>
      <c r="F98" s="878">
        <v>30</v>
      </c>
    </row>
    <row r="99" spans="1:6" s="874" customFormat="1" ht="36">
      <c r="A99" s="878">
        <v>39</v>
      </c>
      <c r="B99" s="3295" t="s">
        <v>693</v>
      </c>
      <c r="C99" s="878" t="s">
        <v>694</v>
      </c>
      <c r="D99" s="814" t="s">
        <v>695</v>
      </c>
      <c r="E99" s="891">
        <v>0.3</v>
      </c>
      <c r="F99" s="878">
        <v>50</v>
      </c>
    </row>
    <row r="100" spans="1:6" s="874" customFormat="1" ht="24">
      <c r="A100" s="878">
        <v>40</v>
      </c>
      <c r="B100" s="3295"/>
      <c r="C100" s="878" t="s">
        <v>696</v>
      </c>
      <c r="D100" s="814" t="s">
        <v>697</v>
      </c>
      <c r="E100" s="891">
        <v>0.2</v>
      </c>
      <c r="F100" s="878">
        <v>30</v>
      </c>
    </row>
    <row r="101" spans="1:6" s="874" customFormat="1" ht="36">
      <c r="A101" s="878">
        <v>41</v>
      </c>
      <c r="B101" s="3295"/>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5" t="s">
        <v>708</v>
      </c>
      <c r="C105" s="878" t="s">
        <v>709</v>
      </c>
      <c r="D105" s="814" t="s">
        <v>710</v>
      </c>
      <c r="E105" s="891">
        <v>0.2</v>
      </c>
      <c r="F105" s="878">
        <v>30</v>
      </c>
    </row>
    <row r="106" spans="1:6" s="874" customFormat="1" ht="36">
      <c r="A106" s="878">
        <v>46</v>
      </c>
      <c r="B106" s="3295"/>
      <c r="C106" s="878" t="s">
        <v>711</v>
      </c>
      <c r="D106" s="814" t="s">
        <v>712</v>
      </c>
      <c r="E106" s="891">
        <v>0.2</v>
      </c>
      <c r="F106" s="878">
        <v>30</v>
      </c>
    </row>
    <row r="107" spans="1:6" s="874" customFormat="1" ht="36">
      <c r="A107" s="878">
        <v>47</v>
      </c>
      <c r="B107" s="3295" t="s">
        <v>713</v>
      </c>
      <c r="C107" s="878" t="s">
        <v>714</v>
      </c>
      <c r="D107" s="814" t="s">
        <v>715</v>
      </c>
      <c r="E107" s="891">
        <v>0.3</v>
      </c>
      <c r="F107" s="878">
        <v>50</v>
      </c>
    </row>
    <row r="108" spans="1:6" s="874" customFormat="1" ht="36">
      <c r="A108" s="878">
        <v>48</v>
      </c>
      <c r="B108" s="329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5" t="s">
        <v>724</v>
      </c>
      <c r="C111" s="878" t="s">
        <v>725</v>
      </c>
      <c r="D111" s="814" t="s">
        <v>726</v>
      </c>
      <c r="E111" s="891">
        <v>0.2</v>
      </c>
      <c r="F111" s="878">
        <v>30</v>
      </c>
    </row>
    <row r="112" spans="1:6" s="874" customFormat="1" ht="24">
      <c r="A112" s="878">
        <v>52</v>
      </c>
      <c r="B112" s="3295"/>
      <c r="C112" s="878" t="s">
        <v>727</v>
      </c>
      <c r="D112" s="814" t="s">
        <v>728</v>
      </c>
      <c r="E112" s="891">
        <v>0.2</v>
      </c>
      <c r="F112" s="878">
        <v>30</v>
      </c>
    </row>
    <row r="113" spans="1:6" s="874" customFormat="1" ht="24">
      <c r="A113" s="878">
        <v>53</v>
      </c>
      <c r="B113" s="3295"/>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5" t="s">
        <v>737</v>
      </c>
      <c r="C116" s="878" t="s">
        <v>738</v>
      </c>
      <c r="D116" s="814" t="s">
        <v>739</v>
      </c>
      <c r="E116" s="891">
        <v>0.2</v>
      </c>
      <c r="F116" s="878">
        <v>30</v>
      </c>
    </row>
    <row r="117" spans="1:6" ht="36">
      <c r="A117" s="878">
        <v>57</v>
      </c>
      <c r="B117" s="3295"/>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69">
        <f ca="1">SUMIF(INDIRECT("'"&amp;A6&amp;"'"&amp;"!C:C"),"建筑面积",INDIRECT("'"&amp;A6&amp;"'"&amp;"!D:D"))</f>
        <v>0</v>
      </c>
    </row>
    <row r="7" spans="1:5" ht="15.75">
      <c r="A7" s="2909"/>
      <c r="B7" s="2905" t="e">
        <f ca="1">SUMIF(INDIRECT("'"&amp;A7&amp;"'"&amp;"!A:A"),"总价",INDIRECT("'"&amp;A7&amp;"'"&amp;"!B:B"))</f>
        <v>#REF!</v>
      </c>
      <c r="C7" s="2904" t="s">
        <v>2992</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69" t="e">
        <f t="shared" ca="1" si="0"/>
        <v>#REF!</v>
      </c>
    </row>
    <row r="9" spans="1:5" ht="15.75">
      <c r="A9" s="2909"/>
      <c r="B9" s="2905" t="e">
        <f t="shared" ca="1" si="1"/>
        <v>#REF!</v>
      </c>
      <c r="C9" s="2904" t="s">
        <v>2992</v>
      </c>
      <c r="D9" s="2906"/>
      <c r="E9" s="2569" t="e">
        <f t="shared" ca="1" si="0"/>
        <v>#REF!</v>
      </c>
    </row>
    <row r="10" spans="1:5" ht="15.75">
      <c r="A10" s="2909"/>
      <c r="B10" s="2905" t="e">
        <f t="shared" ca="1" si="1"/>
        <v>#REF!</v>
      </c>
      <c r="C10" s="2904" t="s">
        <v>2992</v>
      </c>
      <c r="D10" s="2906"/>
      <c r="E10" s="2569" t="e">
        <f t="shared" ca="1" si="0"/>
        <v>#REF!</v>
      </c>
    </row>
    <row r="11" spans="1:5" ht="15.75">
      <c r="A11" s="2909"/>
      <c r="B11" s="2905" t="e">
        <f t="shared" ca="1" si="1"/>
        <v>#REF!</v>
      </c>
      <c r="C11" s="2904" t="s">
        <v>2992</v>
      </c>
      <c r="D11" s="2906"/>
      <c r="E11" s="2569" t="e">
        <f t="shared" ca="1" si="0"/>
        <v>#REF!</v>
      </c>
    </row>
    <row r="12" spans="1:5" ht="15.75">
      <c r="A12" s="2909"/>
      <c r="B12" s="2905" t="e">
        <f t="shared" ca="1" si="1"/>
        <v>#REF!</v>
      </c>
      <c r="C12" s="2904" t="s">
        <v>2992</v>
      </c>
      <c r="D12" s="2906"/>
      <c r="E12" s="2569" t="e">
        <f t="shared" ca="1" si="0"/>
        <v>#REF!</v>
      </c>
    </row>
    <row r="13" spans="1:5" ht="15.75">
      <c r="A13" s="2909"/>
      <c r="B13" s="2905" t="e">
        <f t="shared" ca="1" si="1"/>
        <v>#REF!</v>
      </c>
      <c r="C13" s="2904" t="s">
        <v>2992</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1150</v>
      </c>
      <c r="C1" s="3301"/>
      <c r="D1" s="3301"/>
      <c r="E1" s="3301"/>
      <c r="F1" s="3301"/>
      <c r="G1" s="3300" t="s">
        <v>1151</v>
      </c>
      <c r="H1" s="3300"/>
      <c r="I1" s="3300"/>
      <c r="J1" s="3300"/>
      <c r="K1" s="3300"/>
      <c r="L1" s="3300"/>
      <c r="N1" s="3300" t="s">
        <v>1152</v>
      </c>
      <c r="O1" s="3300"/>
      <c r="P1" s="3300"/>
      <c r="Q1" s="3300"/>
      <c r="R1" s="1443"/>
      <c r="S1" s="3300" t="s">
        <v>1153</v>
      </c>
      <c r="T1" s="3300"/>
      <c r="U1" s="3300"/>
      <c r="V1" s="3300"/>
      <c r="X1" s="3299" t="s">
        <v>1154</v>
      </c>
      <c r="Y1" s="3300"/>
      <c r="Z1" s="3300"/>
      <c r="AA1" s="3300"/>
      <c r="AB1" s="3300"/>
      <c r="AD1" s="3299" t="s">
        <v>1155</v>
      </c>
      <c r="AE1" s="3300"/>
      <c r="AF1" s="3300"/>
      <c r="AG1" s="3300"/>
      <c r="AH1" s="3300"/>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3039</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4">
        <f t="shared" ref="N5" si="7">I5/100</f>
        <v>0</v>
      </c>
      <c r="O5" s="1464">
        <f t="shared" ref="O5" si="8">J5/100</f>
        <v>0</v>
      </c>
      <c r="P5" s="1464">
        <f t="shared" ref="P5" si="9">K5/100</f>
        <v>0</v>
      </c>
      <c r="Q5" s="1464">
        <f t="shared" ref="Q5" si="10">L5/100</f>
        <v>0</v>
      </c>
      <c r="R5" s="1729"/>
      <c r="S5" s="1730"/>
      <c r="T5" s="1729"/>
      <c r="U5" s="1729"/>
      <c r="V5" s="1729"/>
      <c r="W5" s="2922" t="s">
        <v>3034</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3032</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4">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3029</v>
      </c>
      <c r="B7" s="1466">
        <v>439</v>
      </c>
      <c r="C7" s="1466">
        <v>327</v>
      </c>
      <c r="D7" s="1466">
        <f>C7</f>
        <v>327</v>
      </c>
      <c r="E7" s="1466">
        <v>627</v>
      </c>
      <c r="F7" s="1467">
        <v>283</v>
      </c>
      <c r="G7" s="2920">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3030</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6"/>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5"/>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6"/>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02">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97"/>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97"/>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98"/>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96">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97"/>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97"/>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98"/>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96">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97"/>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97"/>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98"/>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03">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04"/>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04"/>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05"/>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96">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97"/>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97"/>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98"/>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96">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97">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97">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98">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96">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97">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97">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98">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96">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97">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97">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98">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96">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97">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97">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98">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96">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97">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97">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98">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96">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97">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97">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98">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96">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97">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97">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98">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96">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97">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97">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98">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96">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97">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97">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98">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96">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97">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97">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98">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58"/>
      <c r="B4" s="2991" t="s">
        <v>1629</v>
      </c>
      <c r="C4" s="2991"/>
      <c r="D4" s="2991"/>
      <c r="E4" s="1958"/>
    </row>
    <row r="5" spans="1:5" ht="16.5" thickTop="1">
      <c r="A5" s="1956"/>
      <c r="B5" s="2989" t="s">
        <v>1621</v>
      </c>
      <c r="C5" s="1959" t="s">
        <v>1622</v>
      </c>
      <c r="D5" s="1039">
        <f ca="1">结果表!H101</f>
        <v>36266</v>
      </c>
      <c r="E5" s="1956"/>
    </row>
    <row r="6" spans="1:5" ht="15.75">
      <c r="A6" s="1956"/>
      <c r="B6" s="2989"/>
      <c r="C6" s="1959" t="s">
        <v>1623</v>
      </c>
      <c r="D6" s="1039" t="str">
        <f ca="1">NUMBERSTRING(INT(D5*10000),2)&amp;"元整"</f>
        <v>叁亿陆仟贰佰陆拾陆万元整</v>
      </c>
      <c r="E6" s="1956"/>
    </row>
    <row r="7" spans="1:5" ht="15.75">
      <c r="A7" s="1956"/>
      <c r="B7" s="2994"/>
      <c r="C7" s="1960" t="s">
        <v>1624</v>
      </c>
      <c r="D7" s="1040">
        <f ca="1">结果表!H102</f>
        <v>51453</v>
      </c>
      <c r="E7" s="1956"/>
    </row>
    <row r="8" spans="1:5" ht="15.75">
      <c r="A8" s="1956"/>
      <c r="B8" s="2995" t="str">
        <f>结果表!E103</f>
        <v>2.估价师知悉的法定优先受偿款</v>
      </c>
      <c r="C8" s="1961" t="s">
        <v>1625</v>
      </c>
      <c r="D8" s="1040">
        <f>结果表!H103</f>
        <v>0</v>
      </c>
      <c r="E8" s="1956"/>
    </row>
    <row r="9" spans="1:5" ht="15.75">
      <c r="A9" s="1956"/>
      <c r="B9" s="2997"/>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2988" t="str">
        <f>结果表!E107</f>
        <v>3.房地产抵押价值</v>
      </c>
      <c r="C13" s="1964" t="s">
        <v>1622</v>
      </c>
      <c r="D13" s="1042">
        <f ca="1">结果表!H107</f>
        <v>36266</v>
      </c>
      <c r="E13" s="1956"/>
    </row>
    <row r="14" spans="1:5" ht="15.75">
      <c r="A14" s="1956"/>
      <c r="B14" s="2989"/>
      <c r="C14" s="1959" t="s">
        <v>1623</v>
      </c>
      <c r="D14" s="1039" t="str">
        <f ca="1">NUMBERSTRING(INT(D13*10000),2)&amp;"元整"</f>
        <v>叁亿陆仟贰佰陆拾陆万元整</v>
      </c>
      <c r="E14" s="1956"/>
    </row>
    <row r="15" spans="1:5" ht="15">
      <c r="A15" s="1956"/>
      <c r="B15" s="2994"/>
      <c r="C15" s="1960" t="s">
        <v>1633</v>
      </c>
      <c r="D15" s="1051">
        <f ca="1">结果表!H108</f>
        <v>51453</v>
      </c>
      <c r="E15" s="1956"/>
    </row>
    <row r="16" spans="1:5" ht="15">
      <c r="A16" s="1956"/>
      <c r="B16" s="2995" t="str">
        <f>结果表!E109</f>
        <v>——</v>
      </c>
      <c r="C16" s="1964" t="s">
        <v>1634</v>
      </c>
      <c r="D16" s="1965" t="str">
        <f>结果表!H109</f>
        <v>——</v>
      </c>
      <c r="E16" s="1956"/>
    </row>
    <row r="17" spans="1:5" ht="15.75">
      <c r="A17" s="1956"/>
      <c r="B17" s="2996"/>
      <c r="C17" s="1959" t="s">
        <v>1635</v>
      </c>
      <c r="D17" s="1039" t="e">
        <f>NUMBERSTRING(INT(D16*10000),2)&amp;"元整"</f>
        <v>#VALUE!</v>
      </c>
      <c r="E17" s="1956"/>
    </row>
    <row r="18" spans="1:5" ht="15">
      <c r="A18" s="1956"/>
      <c r="B18" s="2997"/>
      <c r="C18" s="1960" t="s">
        <v>1624</v>
      </c>
      <c r="D18" s="1051" t="str">
        <f>结果表!H110</f>
        <v>——</v>
      </c>
      <c r="E18" s="1956"/>
    </row>
    <row r="19" spans="1:5" ht="15.75">
      <c r="A19" s="1956"/>
      <c r="B19" s="2988" t="str">
        <f>结果表!E111</f>
        <v>——</v>
      </c>
      <c r="C19" s="1964" t="s">
        <v>1622</v>
      </c>
      <c r="D19" s="1040" t="str">
        <f>结果表!H111</f>
        <v>——</v>
      </c>
      <c r="E19" s="1956"/>
    </row>
    <row r="20" spans="1:5" ht="15.75">
      <c r="A20" s="1956"/>
      <c r="B20" s="2989"/>
      <c r="C20" s="1959" t="s">
        <v>1635</v>
      </c>
      <c r="D20" s="1039" t="e">
        <f>NUMBERSTRING(INT(D19*10000),2)&amp;"元整"</f>
        <v>#VALUE!</v>
      </c>
      <c r="E20" s="1956"/>
    </row>
    <row r="21" spans="1:5" ht="15.75" thickBot="1">
      <c r="A21" s="1956"/>
      <c r="B21" s="2990"/>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C50" sqref="C50"/>
      <selection pane="bottomLeft" activeCell="B22" sqref="B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3" t="s">
        <v>3001</v>
      </c>
      <c r="C1" s="3307" t="s">
        <v>3002</v>
      </c>
      <c r="D1" s="3308"/>
      <c r="E1" s="3308"/>
      <c r="F1" s="3308"/>
      <c r="G1" s="3308"/>
      <c r="H1" s="3308"/>
      <c r="I1" s="3308"/>
      <c r="J1" s="3308"/>
      <c r="K1" s="3308"/>
      <c r="L1" s="3308"/>
      <c r="M1" s="3308"/>
      <c r="N1" s="3308"/>
      <c r="O1" s="3308"/>
      <c r="P1" s="3308"/>
      <c r="Q1" s="3308"/>
      <c r="R1" s="3308"/>
      <c r="S1" s="3309"/>
      <c r="T1" s="1203" t="s">
        <v>3003</v>
      </c>
    </row>
    <row r="2" spans="1:45" s="706" customFormat="1" ht="38.25">
      <c r="A2" s="1204"/>
      <c r="B2" s="702" t="s">
        <v>3004</v>
      </c>
      <c r="C2" s="703" t="str">
        <f t="shared" ref="C2:L2" si="0">C3&amp;"(含)"&amp;"-"&amp;D3</f>
        <v>0(含)-50</v>
      </c>
      <c r="D2" s="704" t="str">
        <f t="shared" si="0"/>
        <v>50(含)-100</v>
      </c>
      <c r="E2" s="704" t="str">
        <f t="shared" si="0"/>
        <v>100(含)-300</v>
      </c>
      <c r="F2" s="704" t="str">
        <f t="shared" si="0"/>
        <v>300(含)-500</v>
      </c>
      <c r="G2" s="704" t="str">
        <f t="shared" si="0"/>
        <v>500(含)-1000</v>
      </c>
      <c r="H2" s="704" t="str">
        <f t="shared" si="0"/>
        <v>1000(含)-2000</v>
      </c>
      <c r="I2" s="704" t="str">
        <f t="shared" si="0"/>
        <v>2000(含)-3000</v>
      </c>
      <c r="J2" s="704" t="str">
        <f t="shared" si="0"/>
        <v>3000(含)-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4">
        <v>0</v>
      </c>
      <c r="D3" s="594">
        <v>50</v>
      </c>
      <c r="E3" s="594">
        <v>100</v>
      </c>
      <c r="F3" s="594">
        <v>300</v>
      </c>
      <c r="G3" s="594">
        <v>500</v>
      </c>
      <c r="H3" s="594">
        <v>1000</v>
      </c>
      <c r="I3" s="594">
        <v>2000</v>
      </c>
      <c r="J3" s="595">
        <v>3000</v>
      </c>
      <c r="K3" s="1701"/>
      <c r="L3" s="1702"/>
      <c r="M3" s="1703"/>
      <c r="N3" s="1703"/>
      <c r="O3" s="1701"/>
      <c r="P3" s="1701"/>
      <c r="Q3" s="1701"/>
      <c r="R3" s="1701"/>
      <c r="S3" s="1704"/>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59">
        <v>100</v>
      </c>
      <c r="D4" s="535">
        <v>98</v>
      </c>
      <c r="E4" s="559">
        <v>96</v>
      </c>
      <c r="F4" s="535">
        <v>94</v>
      </c>
      <c r="G4" s="559">
        <v>92</v>
      </c>
      <c r="H4" s="535">
        <v>90</v>
      </c>
      <c r="I4" s="559">
        <v>88</v>
      </c>
      <c r="J4" s="535">
        <v>86</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4"/>
      <c r="B5" s="1766" t="s">
        <v>3005</v>
      </c>
      <c r="C5" s="1215"/>
      <c r="D5" s="1216"/>
      <c r="E5" s="1216"/>
      <c r="F5" s="1708"/>
      <c r="G5" s="1708"/>
      <c r="H5" s="1708"/>
      <c r="I5" s="1708"/>
      <c r="J5" s="1708"/>
      <c r="K5" s="1708"/>
      <c r="L5" s="1709"/>
      <c r="M5" s="1710"/>
      <c r="N5" s="1710"/>
      <c r="O5" s="1708"/>
      <c r="P5" s="1708"/>
      <c r="Q5" s="1708"/>
      <c r="R5" s="1708"/>
      <c r="S5" s="1711"/>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3006</v>
      </c>
      <c r="C7" s="1120"/>
      <c r="D7" s="1114"/>
      <c r="E7" s="1114"/>
      <c r="F7" s="1713"/>
      <c r="G7" s="1713"/>
      <c r="H7" s="1713"/>
      <c r="I7" s="1713"/>
      <c r="J7" s="1713"/>
      <c r="K7" s="1713"/>
      <c r="L7" s="1713"/>
      <c r="M7" s="1714"/>
      <c r="N7" s="1715"/>
      <c r="O7" s="1716"/>
      <c r="P7" s="1717"/>
      <c r="Q7" s="1718"/>
      <c r="R7" s="1719"/>
      <c r="S7" s="1720"/>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3007</v>
      </c>
      <c r="C9" s="1120"/>
      <c r="D9" s="1114"/>
      <c r="E9" s="1114"/>
      <c r="F9" s="1713"/>
      <c r="G9" s="1713"/>
      <c r="H9" s="1713"/>
      <c r="I9" s="1713"/>
      <c r="J9" s="1713"/>
      <c r="K9" s="1713"/>
      <c r="L9" s="1721"/>
      <c r="M9" s="1714"/>
      <c r="N9" s="1715"/>
      <c r="O9" s="1716"/>
      <c r="P9" s="1717"/>
      <c r="Q9" s="1718"/>
      <c r="R9" s="1719"/>
      <c r="S9" s="1720"/>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15" thickTop="1">
      <c r="A17" s="2910" t="s">
        <v>3011</v>
      </c>
      <c r="B17" s="2911" t="s">
        <v>3012</v>
      </c>
      <c r="C17" s="553" t="s">
        <v>3096</v>
      </c>
      <c r="D17" s="553" t="s">
        <v>3097</v>
      </c>
      <c r="E17" s="553" t="s">
        <v>3098</v>
      </c>
      <c r="F17" s="553" t="s">
        <v>3099</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6" customFormat="1" ht="15" thickBot="1">
      <c r="A18" s="1239"/>
      <c r="B18" s="1240"/>
      <c r="C18" s="535">
        <v>100</v>
      </c>
      <c r="D18" s="535">
        <v>70</v>
      </c>
      <c r="E18" s="535">
        <v>60</v>
      </c>
      <c r="F18" s="535">
        <v>50</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2" t="s">
        <v>3013</v>
      </c>
      <c r="E19" s="1789"/>
      <c r="F19" s="1789"/>
      <c r="G19" s="1789"/>
      <c r="H19" s="1277"/>
      <c r="I19" s="167"/>
      <c r="J19" s="167"/>
      <c r="K19" s="167"/>
      <c r="L19" s="167"/>
      <c r="M19" s="167"/>
      <c r="N19" s="167"/>
      <c r="O19" s="167"/>
      <c r="P19" s="167"/>
      <c r="Q19" s="167"/>
      <c r="R19" s="784"/>
      <c r="S19" s="137"/>
    </row>
    <row r="20" spans="1:45" ht="16.5" thickBot="1">
      <c r="A20" s="712" t="s">
        <v>3014</v>
      </c>
      <c r="B20" s="337">
        <f ca="1">IF(D20="——",S22,S22-F20)</f>
        <v>40525</v>
      </c>
      <c r="C20" s="167"/>
      <c r="D20" s="2913" t="s">
        <v>3015</v>
      </c>
      <c r="E20" s="1790"/>
      <c r="F20" s="1203">
        <f ca="1">SUMIF(INDIRECT("'"&amp;H20&amp;"'"&amp;"!A:A"),"承租人权益价值",INDIRECT("'"&amp;H20&amp;"'"&amp;"!c:c"))</f>
        <v>8792</v>
      </c>
      <c r="G20" s="1203" t="s">
        <v>3016</v>
      </c>
      <c r="H20" s="2914" t="s">
        <v>3177</v>
      </c>
      <c r="I20" s="167"/>
      <c r="J20" s="167"/>
      <c r="K20" s="167"/>
      <c r="L20" s="167"/>
      <c r="M20" s="167"/>
      <c r="N20" s="167"/>
      <c r="O20" s="167"/>
      <c r="P20" s="167"/>
      <c r="Q20" s="167"/>
      <c r="R20" s="784"/>
      <c r="S20" s="137"/>
    </row>
    <row r="21" spans="1:45" ht="15.75">
      <c r="A21" s="712" t="s">
        <v>3017</v>
      </c>
      <c r="B21" s="337">
        <f>R22</f>
        <v>69970</v>
      </c>
      <c r="C21" s="167"/>
      <c r="D21" s="167"/>
      <c r="E21" s="167"/>
      <c r="F21" s="167"/>
      <c r="G21" s="167"/>
      <c r="H21" s="167"/>
      <c r="I21" s="167"/>
      <c r="J21" s="167"/>
      <c r="K21" s="167"/>
      <c r="L21" s="167"/>
      <c r="M21" s="167"/>
      <c r="N21" s="167"/>
      <c r="O21" s="167"/>
      <c r="P21" s="167"/>
      <c r="Q21" s="167"/>
      <c r="R21" s="784"/>
      <c r="S21" s="137"/>
    </row>
    <row r="22" spans="1:45">
      <c r="A22" s="360" t="s">
        <v>3018</v>
      </c>
      <c r="B22" s="23">
        <f>SUM(B24:B10000)</f>
        <v>7048.35</v>
      </c>
      <c r="C22" s="3168" t="s">
        <v>33</v>
      </c>
      <c r="D22" s="3169"/>
      <c r="E22" s="3169"/>
      <c r="F22" s="3169"/>
      <c r="G22" s="3169"/>
      <c r="H22" s="3169"/>
      <c r="I22" s="3169"/>
      <c r="J22" s="3169"/>
      <c r="K22" s="3169"/>
      <c r="L22" s="3169"/>
      <c r="M22" s="3169"/>
      <c r="N22" s="3169"/>
      <c r="O22" s="3169"/>
      <c r="P22" s="3169"/>
      <c r="Q22" s="3306"/>
      <c r="R22" s="713">
        <f>ROUND(S22*10000/B22,0)</f>
        <v>69970</v>
      </c>
      <c r="S22" s="23">
        <f>SUM(S24:S10000)</f>
        <v>49317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7">
        <v>107</v>
      </c>
      <c r="B24" s="2968">
        <v>164.79</v>
      </c>
      <c r="C24" s="715">
        <v>1</v>
      </c>
      <c r="D24" s="716"/>
      <c r="E24" s="715">
        <v>1</v>
      </c>
      <c r="F24" s="716"/>
      <c r="G24" s="715">
        <v>1</v>
      </c>
      <c r="H24" s="716"/>
      <c r="I24" s="715">
        <v>1</v>
      </c>
      <c r="J24" s="716"/>
      <c r="K24" s="715">
        <v>1</v>
      </c>
      <c r="L24" s="716"/>
      <c r="M24" s="715">
        <v>1</v>
      </c>
      <c r="N24" s="716"/>
      <c r="O24" s="715">
        <v>1</v>
      </c>
      <c r="P24" s="716" t="s">
        <v>3138</v>
      </c>
      <c r="Q24" s="715">
        <v>1</v>
      </c>
      <c r="R24" s="717">
        <f>'比较法-商业'!C49</f>
        <v>112484</v>
      </c>
      <c r="S24" s="715">
        <f t="shared" ref="S24:S54" si="11">ROUND(R24*B24/10000,0)</f>
        <v>1854</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269">
        <v>108</v>
      </c>
      <c r="B25" s="2207">
        <v>210.42</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3138</v>
      </c>
      <c r="Q25" s="23">
        <f>(SUMIF($17:$17,P25,$18:$18)-SUMIF($17:$17,$P$24,$18:$18)+100)/100</f>
        <v>1</v>
      </c>
      <c r="R25" s="713">
        <f>IF(B25="",0,ROUND($R$24*C25*E25*G25*I25*K25*M25*O25*Q25,0))</f>
        <v>112484</v>
      </c>
      <c r="S25" s="360">
        <f t="shared" si="11"/>
        <v>2367</v>
      </c>
    </row>
    <row r="26" spans="1:45">
      <c r="A26" s="1269">
        <v>119</v>
      </c>
      <c r="B26" s="2207">
        <v>210.42</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3138</v>
      </c>
      <c r="Q26" s="23">
        <f t="shared" ref="Q26:Q89" si="19">(SUMIF($17:$17,P26,$18:$18)-SUMIF($17:$17,$P$24,$18:$18)+100)/100</f>
        <v>1</v>
      </c>
      <c r="R26" s="713">
        <f t="shared" ref="R26:R89" si="20">IF(B26="",0,ROUND($R$24*C26*E26*G26*I26*K26*M26*O26*Q26,0))</f>
        <v>112484</v>
      </c>
      <c r="S26" s="360">
        <f t="shared" si="11"/>
        <v>2367</v>
      </c>
    </row>
    <row r="27" spans="1:45">
      <c r="A27" s="1269">
        <v>110</v>
      </c>
      <c r="B27" s="2207">
        <v>204.02</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t="s">
        <v>3138</v>
      </c>
      <c r="Q27" s="23">
        <f t="shared" si="19"/>
        <v>1</v>
      </c>
      <c r="R27" s="713">
        <f t="shared" si="20"/>
        <v>112484</v>
      </c>
      <c r="S27" s="360">
        <f t="shared" si="11"/>
        <v>2295</v>
      </c>
    </row>
    <row r="28" spans="1:45">
      <c r="A28" s="1269">
        <v>111</v>
      </c>
      <c r="B28" s="2207">
        <v>267.31</v>
      </c>
      <c r="C28" s="23">
        <f t="shared" si="12"/>
        <v>1</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t="s">
        <v>3138</v>
      </c>
      <c r="Q28" s="23">
        <f t="shared" si="19"/>
        <v>1</v>
      </c>
      <c r="R28" s="713">
        <f t="shared" si="20"/>
        <v>112484</v>
      </c>
      <c r="S28" s="360">
        <f t="shared" si="11"/>
        <v>3007</v>
      </c>
    </row>
    <row r="29" spans="1:45" ht="14.25">
      <c r="A29" s="33">
        <v>205</v>
      </c>
      <c r="B29" s="38">
        <v>177.89</v>
      </c>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t="s">
        <v>3154</v>
      </c>
      <c r="Q29" s="23">
        <f t="shared" si="19"/>
        <v>0.7</v>
      </c>
      <c r="R29" s="713">
        <f t="shared" si="20"/>
        <v>78739</v>
      </c>
      <c r="S29" s="360">
        <f t="shared" si="11"/>
        <v>1401</v>
      </c>
    </row>
    <row r="30" spans="1:45" ht="14.25">
      <c r="A30" s="33">
        <v>211</v>
      </c>
      <c r="B30" s="38">
        <v>85.59</v>
      </c>
      <c r="C30" s="23">
        <f t="shared" si="12"/>
        <v>1.02</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t="s">
        <v>3154</v>
      </c>
      <c r="Q30" s="23">
        <f t="shared" si="19"/>
        <v>0.7</v>
      </c>
      <c r="R30" s="713">
        <f t="shared" si="20"/>
        <v>80314</v>
      </c>
      <c r="S30" s="360">
        <f t="shared" si="11"/>
        <v>687</v>
      </c>
    </row>
    <row r="31" spans="1:45" ht="14.25">
      <c r="A31" s="33">
        <v>212</v>
      </c>
      <c r="B31" s="38">
        <v>240.03</v>
      </c>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t="s">
        <v>3154</v>
      </c>
      <c r="Q31" s="23">
        <f t="shared" si="19"/>
        <v>0.7</v>
      </c>
      <c r="R31" s="713">
        <f t="shared" si="20"/>
        <v>78739</v>
      </c>
      <c r="S31" s="360">
        <f t="shared" si="11"/>
        <v>1890</v>
      </c>
    </row>
    <row r="32" spans="1:45" ht="14.25">
      <c r="A32" s="33">
        <v>213</v>
      </c>
      <c r="B32" s="38">
        <v>192.56</v>
      </c>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t="s">
        <v>3154</v>
      </c>
      <c r="Q32" s="23">
        <f t="shared" si="19"/>
        <v>0.7</v>
      </c>
      <c r="R32" s="713">
        <f t="shared" si="20"/>
        <v>78739</v>
      </c>
      <c r="S32" s="360">
        <f t="shared" si="11"/>
        <v>1516</v>
      </c>
    </row>
    <row r="33" spans="1:19" ht="14.25">
      <c r="A33" s="33">
        <v>215</v>
      </c>
      <c r="B33" s="38">
        <v>139.16</v>
      </c>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t="s">
        <v>3154</v>
      </c>
      <c r="Q33" s="23">
        <f t="shared" si="19"/>
        <v>0.7</v>
      </c>
      <c r="R33" s="713">
        <f t="shared" si="20"/>
        <v>78739</v>
      </c>
      <c r="S33" s="360">
        <f t="shared" si="11"/>
        <v>1096</v>
      </c>
    </row>
    <row r="34" spans="1:19" ht="14.25">
      <c r="A34" s="33">
        <v>216</v>
      </c>
      <c r="B34" s="38">
        <v>166.2</v>
      </c>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t="s">
        <v>3154</v>
      </c>
      <c r="Q34" s="23">
        <f t="shared" si="19"/>
        <v>0.7</v>
      </c>
      <c r="R34" s="713">
        <f t="shared" si="20"/>
        <v>78739</v>
      </c>
      <c r="S34" s="360">
        <f t="shared" si="11"/>
        <v>1309</v>
      </c>
    </row>
    <row r="35" spans="1:19" ht="14.25">
      <c r="A35" s="33">
        <v>217</v>
      </c>
      <c r="B35" s="38">
        <v>212.22</v>
      </c>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t="s">
        <v>3154</v>
      </c>
      <c r="Q35" s="23">
        <f t="shared" si="19"/>
        <v>0.7</v>
      </c>
      <c r="R35" s="713">
        <f t="shared" si="20"/>
        <v>78739</v>
      </c>
      <c r="S35" s="360">
        <f t="shared" si="11"/>
        <v>1671</v>
      </c>
    </row>
    <row r="36" spans="1:19" ht="14.25">
      <c r="A36" s="33">
        <v>218</v>
      </c>
      <c r="B36" s="38">
        <v>212.22</v>
      </c>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t="s">
        <v>3154</v>
      </c>
      <c r="Q36" s="23">
        <f t="shared" si="19"/>
        <v>0.7</v>
      </c>
      <c r="R36" s="713">
        <f t="shared" si="20"/>
        <v>78739</v>
      </c>
      <c r="S36" s="360">
        <f t="shared" si="11"/>
        <v>1671</v>
      </c>
    </row>
    <row r="37" spans="1:19" ht="14.25">
      <c r="A37" s="33">
        <v>219</v>
      </c>
      <c r="B37" s="38">
        <v>202.01</v>
      </c>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t="s">
        <v>3154</v>
      </c>
      <c r="Q37" s="23">
        <f t="shared" si="19"/>
        <v>0.7</v>
      </c>
      <c r="R37" s="713">
        <f t="shared" si="20"/>
        <v>78739</v>
      </c>
      <c r="S37" s="360">
        <f t="shared" si="11"/>
        <v>1591</v>
      </c>
    </row>
    <row r="38" spans="1:19" ht="14.25">
      <c r="A38" s="33">
        <v>220</v>
      </c>
      <c r="B38" s="38">
        <v>93.81</v>
      </c>
      <c r="C38" s="23">
        <f t="shared" si="12"/>
        <v>1.02</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t="s">
        <v>3154</v>
      </c>
      <c r="Q38" s="23">
        <f t="shared" si="19"/>
        <v>0.7</v>
      </c>
      <c r="R38" s="713">
        <f t="shared" si="20"/>
        <v>80314</v>
      </c>
      <c r="S38" s="360">
        <f t="shared" si="11"/>
        <v>753</v>
      </c>
    </row>
    <row r="39" spans="1:19" ht="14.25">
      <c r="A39" s="33">
        <v>221</v>
      </c>
      <c r="B39" s="38">
        <v>27.86</v>
      </c>
      <c r="C39" s="23">
        <f t="shared" si="12"/>
        <v>1.04</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t="s">
        <v>3154</v>
      </c>
      <c r="Q39" s="23">
        <f t="shared" si="19"/>
        <v>0.7</v>
      </c>
      <c r="R39" s="713">
        <f t="shared" si="20"/>
        <v>81888</v>
      </c>
      <c r="S39" s="360">
        <f t="shared" si="11"/>
        <v>228</v>
      </c>
    </row>
    <row r="40" spans="1:19" ht="14.25">
      <c r="A40" s="33">
        <v>222</v>
      </c>
      <c r="B40" s="38">
        <v>102.57</v>
      </c>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t="s">
        <v>3154</v>
      </c>
      <c r="Q40" s="23">
        <f t="shared" si="19"/>
        <v>0.7</v>
      </c>
      <c r="R40" s="713">
        <f t="shared" si="20"/>
        <v>78739</v>
      </c>
      <c r="S40" s="360">
        <f t="shared" si="11"/>
        <v>808</v>
      </c>
    </row>
    <row r="41" spans="1:19" ht="14.25">
      <c r="A41" s="33">
        <v>301</v>
      </c>
      <c r="B41" s="38">
        <v>213.37</v>
      </c>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t="s">
        <v>3155</v>
      </c>
      <c r="Q41" s="23">
        <f t="shared" si="19"/>
        <v>0.6</v>
      </c>
      <c r="R41" s="713">
        <f t="shared" si="20"/>
        <v>67490</v>
      </c>
      <c r="S41" s="360">
        <f t="shared" si="11"/>
        <v>1440</v>
      </c>
    </row>
    <row r="42" spans="1:19" ht="14.25">
      <c r="A42" s="33">
        <v>311</v>
      </c>
      <c r="B42" s="38">
        <v>74.400000000000006</v>
      </c>
      <c r="C42" s="23">
        <f t="shared" si="12"/>
        <v>1.02</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t="s">
        <v>3155</v>
      </c>
      <c r="Q42" s="23">
        <f t="shared" si="19"/>
        <v>0.6</v>
      </c>
      <c r="R42" s="713">
        <f t="shared" si="20"/>
        <v>68840</v>
      </c>
      <c r="S42" s="360">
        <f t="shared" si="11"/>
        <v>512</v>
      </c>
    </row>
    <row r="43" spans="1:19" ht="14.25">
      <c r="A43" s="33">
        <v>313</v>
      </c>
      <c r="B43" s="38">
        <v>175.44</v>
      </c>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t="s">
        <v>3155</v>
      </c>
      <c r="Q43" s="23">
        <f t="shared" si="19"/>
        <v>0.6</v>
      </c>
      <c r="R43" s="713">
        <f t="shared" si="20"/>
        <v>67490</v>
      </c>
      <c r="S43" s="360">
        <f t="shared" si="11"/>
        <v>1184</v>
      </c>
    </row>
    <row r="44" spans="1:19" ht="14.25">
      <c r="A44" s="33">
        <v>315</v>
      </c>
      <c r="B44" s="38">
        <v>120.98</v>
      </c>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t="s">
        <v>3155</v>
      </c>
      <c r="Q44" s="23">
        <f t="shared" si="19"/>
        <v>0.6</v>
      </c>
      <c r="R44" s="713">
        <f t="shared" si="20"/>
        <v>67490</v>
      </c>
      <c r="S44" s="360">
        <f t="shared" si="11"/>
        <v>816</v>
      </c>
    </row>
    <row r="45" spans="1:19" ht="14.25">
      <c r="A45" s="33">
        <v>316</v>
      </c>
      <c r="B45" s="38">
        <v>144.47999999999999</v>
      </c>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t="s">
        <v>3155</v>
      </c>
      <c r="Q45" s="23">
        <f t="shared" si="19"/>
        <v>0.6</v>
      </c>
      <c r="R45" s="713">
        <f t="shared" si="20"/>
        <v>67490</v>
      </c>
      <c r="S45" s="360">
        <f t="shared" si="11"/>
        <v>975</v>
      </c>
    </row>
    <row r="46" spans="1:19" ht="14.25">
      <c r="A46" s="33">
        <v>317</v>
      </c>
      <c r="B46" s="38">
        <v>184.49</v>
      </c>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t="s">
        <v>3155</v>
      </c>
      <c r="Q46" s="23">
        <f t="shared" si="19"/>
        <v>0.6</v>
      </c>
      <c r="R46" s="713">
        <f t="shared" si="20"/>
        <v>67490</v>
      </c>
      <c r="S46" s="360">
        <f t="shared" si="11"/>
        <v>1245</v>
      </c>
    </row>
    <row r="47" spans="1:19" ht="14.25">
      <c r="A47" s="33">
        <v>319</v>
      </c>
      <c r="B47" s="38">
        <v>179.86</v>
      </c>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t="s">
        <v>3155</v>
      </c>
      <c r="Q47" s="23">
        <f t="shared" si="19"/>
        <v>0.6</v>
      </c>
      <c r="R47" s="713">
        <f t="shared" si="20"/>
        <v>67490</v>
      </c>
      <c r="S47" s="360">
        <f t="shared" si="11"/>
        <v>1214</v>
      </c>
    </row>
    <row r="48" spans="1:19" ht="27.75">
      <c r="A48" s="33" t="s">
        <v>3072</v>
      </c>
      <c r="B48" s="38">
        <v>3046.25</v>
      </c>
      <c r="C48" s="23">
        <f t="shared" si="12"/>
        <v>0.9</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t="s">
        <v>3156</v>
      </c>
      <c r="Q48" s="23">
        <f t="shared" si="19"/>
        <v>0.5</v>
      </c>
      <c r="R48" s="713">
        <f t="shared" si="20"/>
        <v>50618</v>
      </c>
      <c r="S48" s="360">
        <f t="shared" si="11"/>
        <v>15420</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0</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0</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0</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0</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0</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0</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0</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0</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0</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0</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0</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0</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0</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0</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0</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0</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0</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0</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0</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0</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0</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0</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0</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0</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0</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0</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0</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0</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0</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0</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0</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0</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0</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0</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0</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0</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0</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0</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0</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0</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0</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0</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0</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0</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0</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0</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0</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0</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0</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0</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0</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0</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0</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0</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0</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0</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0</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0</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0</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0</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0</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0</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0</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0</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0</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0</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0</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0</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0</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0</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0</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0</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0</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0</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0</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0</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0</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0</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0</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0</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0</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0</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0</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0</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0</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0</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0</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0</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0</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0</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0</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0</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0</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0</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0</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0</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0</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0</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0</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0</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0</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0</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0</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0</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0</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0</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0</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0</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0</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0</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0</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0</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0</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0</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0</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0</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0</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0</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0</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0</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0</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0</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0</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0</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0</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0</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0</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0</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0</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0</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0</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0</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0</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0</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0</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0</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0</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0</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0</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0</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0</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0</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0</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0</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0</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0</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0</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0</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0</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0</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0</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0</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0</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0</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0</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0</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0</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0</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0</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0</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0</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0</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0</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0</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0</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0</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0</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0</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0</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0</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0</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0</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0</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0</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0</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0</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0</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0</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0</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0</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0</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0</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0</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0</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0</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0</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0</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0</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0</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0</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0</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0</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0</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0</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0</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0</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0</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0</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0</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0</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0</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0</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0</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0</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0</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0</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0</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0</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0</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0</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0</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0</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0</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0</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0</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0</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0</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0</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0</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0</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0</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0</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0</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0</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0</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0</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0</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0</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0</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0</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0</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0</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0</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0</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0</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0</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0</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0</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0</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0</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0</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0</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0</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0</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0</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0</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0</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0</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0</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0</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0</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0</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0</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0</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0</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0</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0</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0</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0</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0</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0</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0</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0</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0</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0</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0</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0</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0</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0</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0</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0</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0</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0</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0</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0</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0</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0</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0</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0</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0</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0</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0</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0</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0</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0</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0</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0</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0</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0</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0</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0</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0</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0</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0</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0</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0</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0</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0</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0</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0</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0</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0</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0</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0</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0</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0</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0</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0</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0</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0</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0</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0</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0</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0</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0</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0</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0</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0</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0</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0</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0</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0</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0</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0</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0</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0</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0</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0</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0</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0</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0</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0</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0</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0</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0</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0</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0</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0</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0</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0</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0</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0</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0</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0</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0</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0</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0</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0</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0</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0</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0</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0</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0</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0</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0</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0</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0</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0</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0</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0</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0</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0</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0</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0</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0</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0</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0</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0</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0</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0</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0</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0</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0</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0</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0</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0</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0</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0</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0</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0</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0</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0</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0</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0</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0</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0</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0</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0</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0</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0</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0</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0</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0</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0</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0</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0</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0</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0</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0</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0</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0</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0</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0</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0</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0</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0</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0</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0</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0</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0</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0</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0</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0</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0</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0</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0</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0</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0</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0</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0</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0</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0</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0</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0</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0</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0</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0</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0</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0</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0</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0</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0</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0</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0</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0</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0</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0</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0</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0</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0</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0</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0</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0</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0</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0</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0</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0</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0</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0</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0</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0</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0</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0</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0</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0</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0</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0</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0</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0</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0</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0</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0</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0</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0</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0</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0</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0</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0</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33285</v>
      </c>
      <c r="C2" s="2" t="s">
        <v>133</v>
      </c>
      <c r="D2" s="242"/>
      <c r="E2" s="242"/>
      <c r="F2" s="242"/>
      <c r="G2" s="242"/>
    </row>
    <row r="3" spans="1:7" s="243" customFormat="1" ht="18" customHeight="1" thickBot="1">
      <c r="A3" s="246" t="s">
        <v>85</v>
      </c>
      <c r="B3" s="247">
        <f ca="1">ROUND(B2*10000/'数据-汇总表'!E3,0)</f>
        <v>47224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7048.35</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141</v>
      </c>
      <c r="D19" s="1035">
        <f>'数据-汇总表'!E3</f>
        <v>7048.35</v>
      </c>
      <c r="E19" s="254">
        <f>'数据-取费表'!B31</f>
        <v>200</v>
      </c>
      <c r="F19" s="274"/>
      <c r="G19" s="1" t="s">
        <v>1074</v>
      </c>
    </row>
    <row r="20" spans="1:7" s="257" customFormat="1" ht="13.5" customHeight="1">
      <c r="A20" s="947" t="s">
        <v>1057</v>
      </c>
      <c r="B20" s="253" t="s">
        <v>104</v>
      </c>
      <c r="C20" s="275">
        <f>ROUND((C5+C19)*F20,0)</f>
        <v>311</v>
      </c>
      <c r="D20" s="275"/>
      <c r="E20" s="275"/>
      <c r="F20" s="276">
        <f>'数据-取费表'!B37</f>
        <v>1.4999999999999999E-2</v>
      </c>
      <c r="G20" s="1286" t="s">
        <v>1068</v>
      </c>
    </row>
    <row r="21" spans="1:7" s="257" customFormat="1" ht="13.5" customHeight="1">
      <c r="A21" s="947" t="s">
        <v>1059</v>
      </c>
      <c r="B21" s="253" t="s">
        <v>105</v>
      </c>
      <c r="C21" s="278">
        <f>F21</f>
        <v>1.4999999999999999E-2</v>
      </c>
      <c r="D21" s="279" t="s">
        <v>126</v>
      </c>
      <c r="E21" s="275"/>
      <c r="F21" s="276">
        <f>'数据-取费表'!B38</f>
        <v>1.4999999999999999E-2</v>
      </c>
      <c r="G21" s="277" t="s">
        <v>106</v>
      </c>
    </row>
    <row r="22" spans="1:7" s="257" customFormat="1" ht="13.5" customHeight="1">
      <c r="A22" s="947" t="s">
        <v>786</v>
      </c>
      <c r="B22" s="253" t="s">
        <v>107</v>
      </c>
      <c r="C22" s="1351">
        <f ca="1">ROUND(SUM(C23:C25),0)</f>
        <v>2033</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2004</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14</v>
      </c>
      <c r="D24" s="281"/>
      <c r="E24" s="281"/>
      <c r="F24" s="282"/>
      <c r="G24" s="283" t="s">
        <v>109</v>
      </c>
    </row>
    <row r="25" spans="1:7" s="257" customFormat="1" ht="24">
      <c r="A25" s="950" t="s">
        <v>793</v>
      </c>
      <c r="B25" s="258" t="s">
        <v>1058</v>
      </c>
      <c r="C25" s="1352">
        <f ca="1">ROUND(IF('数据-取费表'!B22&lt;=1,C20*F22*'数据-取费表'!B23/2,C20*(POWER((1+F22),'数据-取费表'!B23/2)-1)),0)</f>
        <v>15</v>
      </c>
      <c r="D25" s="281"/>
      <c r="E25" s="284"/>
      <c r="F25" s="282"/>
      <c r="G25" s="285" t="s">
        <v>110</v>
      </c>
    </row>
    <row r="26" spans="1:7" s="257" customFormat="1">
      <c r="A26" s="950" t="s">
        <v>795</v>
      </c>
      <c r="B26" s="258" t="s">
        <v>1060</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5266</v>
      </c>
      <c r="D27" s="278">
        <f>C29</f>
        <v>3.8E-3</v>
      </c>
      <c r="E27" s="279" t="s">
        <v>126</v>
      </c>
      <c r="F27" s="289">
        <f>'数据-取费表'!Q16</f>
        <v>0.25</v>
      </c>
      <c r="G27" s="290" t="s">
        <v>1069</v>
      </c>
    </row>
    <row r="28" spans="1:7" s="257" customFormat="1" ht="13.5" customHeight="1">
      <c r="A28" s="950" t="s">
        <v>794</v>
      </c>
      <c r="B28" s="291" t="s">
        <v>1062</v>
      </c>
      <c r="C28" s="292">
        <f>ROUND((C5+C19+C20)*F27*'数据-取费表'!B21/'数据-取费表'!B20,0)</f>
        <v>5266</v>
      </c>
      <c r="D28" s="278"/>
      <c r="E28" s="279"/>
      <c r="F28" s="289"/>
      <c r="G28" s="290"/>
    </row>
    <row r="29" spans="1:7" s="257" customFormat="1" ht="13.5" customHeight="1">
      <c r="A29" s="950" t="s">
        <v>792</v>
      </c>
      <c r="B29" s="291" t="s">
        <v>1063</v>
      </c>
      <c r="C29" s="281">
        <f>ROUND(C21*F27*'数据-取费表'!B21/'数据-取费表'!B20,4)</f>
        <v>3.8E-3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30589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2498</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2255</v>
      </c>
      <c r="D34" s="260"/>
      <c r="E34" s="263"/>
      <c r="F34" s="300">
        <f>IF('数据-取费表'!B24=0,1,'数据-取费表'!N16)</f>
        <v>1</v>
      </c>
      <c r="G34" s="262" t="s">
        <v>116</v>
      </c>
    </row>
    <row r="35" spans="1:7" ht="13.5" customHeight="1">
      <c r="A35" s="950" t="s">
        <v>796</v>
      </c>
      <c r="B35" s="258" t="s">
        <v>60</v>
      </c>
      <c r="C35" s="263">
        <f>ROUND(C34*F35,0)</f>
        <v>68</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141</v>
      </c>
      <c r="D37" s="260">
        <f>'数据-汇总表'!E3</f>
        <v>7048.35</v>
      </c>
      <c r="E37" s="292">
        <f>'数据-取费表'!B35</f>
        <v>200</v>
      </c>
      <c r="F37" s="302"/>
      <c r="G37" s="304" t="s">
        <v>119</v>
      </c>
    </row>
    <row r="38" spans="1:7" ht="13.5" customHeight="1">
      <c r="A38" s="950" t="s">
        <v>799</v>
      </c>
      <c r="B38" s="258" t="s">
        <v>63</v>
      </c>
      <c r="C38" s="263">
        <f>ROUND(C34*F38,0)</f>
        <v>34</v>
      </c>
      <c r="D38" s="263"/>
      <c r="E38" s="263"/>
      <c r="F38" s="302">
        <f>'数据-取费表'!B36</f>
        <v>1.4999999999999999E-2</v>
      </c>
      <c r="G38" s="262" t="s">
        <v>117</v>
      </c>
    </row>
    <row r="39" spans="1:7" s="257" customFormat="1" ht="13.5" customHeight="1">
      <c r="A39" s="947" t="s">
        <v>783</v>
      </c>
      <c r="B39" s="253" t="s">
        <v>104</v>
      </c>
      <c r="C39" s="275">
        <f>ROUND(C33*F20,0)</f>
        <v>37</v>
      </c>
      <c r="D39" s="275"/>
      <c r="E39" s="275"/>
      <c r="F39" s="276"/>
      <c r="G39" s="1286" t="s">
        <v>1071</v>
      </c>
    </row>
    <row r="40" spans="1:7" s="257" customFormat="1" ht="13.5" customHeight="1">
      <c r="A40" s="947" t="s">
        <v>784</v>
      </c>
      <c r="B40" s="253" t="s">
        <v>105</v>
      </c>
      <c r="C40" s="305">
        <f>F21</f>
        <v>1.4999999999999999E-2</v>
      </c>
      <c r="D40" s="279" t="s">
        <v>129</v>
      </c>
      <c r="E40" s="275"/>
      <c r="F40" s="276"/>
      <c r="G40" s="277" t="s">
        <v>120</v>
      </c>
    </row>
    <row r="41" spans="1:7" s="257" customFormat="1" ht="13.5" customHeight="1">
      <c r="A41" s="947" t="s">
        <v>785</v>
      </c>
      <c r="B41" s="253" t="s">
        <v>107</v>
      </c>
      <c r="C41" s="275">
        <f ca="1">ROUND(SUM(C42:C43),0)</f>
        <v>121</v>
      </c>
      <c r="D41" s="278">
        <f ca="1">C44</f>
        <v>6.9999999999999999E-4</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119</v>
      </c>
      <c r="D42" s="281"/>
      <c r="E42" s="281"/>
      <c r="F42" s="282"/>
      <c r="G42" s="3173" t="s">
        <v>121</v>
      </c>
    </row>
    <row r="43" spans="1:7" ht="13.5" customHeight="1">
      <c r="A43" s="950" t="s">
        <v>792</v>
      </c>
      <c r="B43" s="258" t="s">
        <v>1064</v>
      </c>
      <c r="C43" s="281">
        <f ca="1">ROUND(IF('数据-取费表'!B22&lt;=1,C39*F22*'数据-取费表'!B21/2,C39*(POWER((1+F22),'数据-取费表'!B21/2)-1)),0)</f>
        <v>2</v>
      </c>
      <c r="D43" s="281"/>
      <c r="E43" s="281"/>
      <c r="F43" s="282"/>
      <c r="G43" s="3174"/>
    </row>
    <row r="44" spans="1:7" ht="13.5" customHeight="1">
      <c r="A44" s="950" t="s">
        <v>793</v>
      </c>
      <c r="B44" s="258" t="s">
        <v>1066</v>
      </c>
      <c r="C44" s="281">
        <f ca="1">ROUND(IF('数据-取费表'!B22&lt;=1,C40*F22*'数据-取费表'!B21/2,C40*(POWER((1+F22),'数据-取费表'!B21/2)-1)),4)</f>
        <v>6.9999999999999999E-4</v>
      </c>
      <c r="D44" s="281"/>
      <c r="E44" s="281"/>
      <c r="F44" s="282"/>
      <c r="G44" s="3175"/>
    </row>
    <row r="45" spans="1:7" s="257" customFormat="1" ht="13.5" customHeight="1">
      <c r="A45" s="947" t="s">
        <v>786</v>
      </c>
      <c r="B45" s="287" t="s">
        <v>112</v>
      </c>
      <c r="C45" s="288">
        <f>C46</f>
        <v>634</v>
      </c>
      <c r="D45" s="278">
        <f>C47</f>
        <v>3.8E-3</v>
      </c>
      <c r="E45" s="279" t="s">
        <v>129</v>
      </c>
      <c r="F45" s="289"/>
      <c r="G45" s="290" t="s">
        <v>1072</v>
      </c>
    </row>
    <row r="46" spans="1:7" s="257" customFormat="1" ht="13.5" customHeight="1">
      <c r="A46" s="950" t="s">
        <v>794</v>
      </c>
      <c r="B46" s="291" t="s">
        <v>1065</v>
      </c>
      <c r="C46" s="292">
        <f>ROUND((C33+C39)*F27,0)</f>
        <v>634</v>
      </c>
      <c r="D46" s="306"/>
      <c r="E46" s="279"/>
      <c r="F46" s="289"/>
      <c r="G46" s="290"/>
    </row>
    <row r="47" spans="1:7" s="257" customFormat="1" ht="13.5" customHeight="1">
      <c r="A47" s="950" t="s">
        <v>792</v>
      </c>
      <c r="B47" s="291" t="s">
        <v>1067</v>
      </c>
      <c r="C47" s="281">
        <f>ROUND(C40*F27,4)</f>
        <v>3.8E-3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3548</v>
      </c>
      <c r="D49" s="275"/>
      <c r="E49" s="275"/>
      <c r="F49" s="307"/>
      <c r="G49" s="277" t="s">
        <v>1073</v>
      </c>
    </row>
    <row r="50" spans="1:7" s="301" customFormat="1" ht="24">
      <c r="A50" s="947" t="s">
        <v>789</v>
      </c>
      <c r="B50" s="253" t="s">
        <v>124</v>
      </c>
      <c r="C50" s="275"/>
      <c r="D50" s="275"/>
      <c r="E50" s="275"/>
      <c r="F50" s="307">
        <f>IF('数据-取费表'!B24=0,'数据-取费表'!N16,1)</f>
        <v>0.76</v>
      </c>
      <c r="G50" s="290" t="s">
        <v>125</v>
      </c>
    </row>
    <row r="51" spans="1:7" ht="16.5" customHeight="1">
      <c r="A51" s="947" t="s">
        <v>790</v>
      </c>
      <c r="B51" s="253" t="s">
        <v>132</v>
      </c>
      <c r="C51" s="275">
        <f ca="1">ROUND(C49*F50,0)</f>
        <v>2696</v>
      </c>
      <c r="D51" s="275"/>
      <c r="E51" s="275"/>
      <c r="F51" s="307"/>
      <c r="G51" s="277" t="s">
        <v>64</v>
      </c>
    </row>
    <row r="52" spans="1:7" s="251" customFormat="1" ht="16.5" thickBot="1">
      <c r="A52" s="308" t="s">
        <v>65</v>
      </c>
      <c r="B52" s="309"/>
      <c r="C52" s="310">
        <f ca="1">C31+C51</f>
        <v>33285</v>
      </c>
      <c r="D52" s="309"/>
      <c r="E52" s="309"/>
      <c r="F52" s="309"/>
      <c r="G52" s="311"/>
    </row>
    <row r="55" spans="1:7" ht="15">
      <c r="B55" s="313" t="s">
        <v>66</v>
      </c>
      <c r="C55" s="314"/>
    </row>
    <row r="56" spans="1:7">
      <c r="B56" s="316" t="s">
        <v>67</v>
      </c>
      <c r="C56" s="317">
        <f ca="1">ROUND(C51/C52,3)</f>
        <v>8.1000000000000003E-2</v>
      </c>
    </row>
    <row r="57" spans="1:7">
      <c r="B57" s="316" t="s">
        <v>68</v>
      </c>
      <c r="C57" s="318">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0" t="s">
        <v>156</v>
      </c>
      <c r="B1" s="3310"/>
      <c r="C1" s="3310"/>
      <c r="D1" s="3310"/>
      <c r="E1" s="3310"/>
      <c r="F1" s="331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1" t="s">
        <v>169</v>
      </c>
      <c r="B2" s="3311"/>
      <c r="C2" s="3311"/>
      <c r="D2" s="3311"/>
      <c r="E2" s="3311"/>
      <c r="F2" s="331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0" t="s">
        <v>871</v>
      </c>
      <c r="B1" s="3310"/>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43276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F2" sqref="F2:F26"/>
    </sheetView>
  </sheetViews>
  <sheetFormatPr defaultRowHeight="13.5"/>
  <cols>
    <col min="1" max="1" width="10.25" customWidth="1"/>
    <col min="3" max="3" width="19.25" bestFit="1" customWidth="1"/>
    <col min="4" max="4" width="9.5" customWidth="1"/>
    <col min="5" max="5" width="8.5" customWidth="1"/>
  </cols>
  <sheetData>
    <row r="1" spans="1:6">
      <c r="A1" s="2969" t="s">
        <v>3179</v>
      </c>
      <c r="B1" s="2969" t="s">
        <v>3180</v>
      </c>
      <c r="C1" s="2969" t="s">
        <v>3185</v>
      </c>
      <c r="D1" s="2983" t="s">
        <v>3186</v>
      </c>
      <c r="E1" s="2969" t="s">
        <v>3187</v>
      </c>
      <c r="F1" s="2969" t="s">
        <v>3188</v>
      </c>
    </row>
    <row r="2" spans="1:6">
      <c r="A2" s="2967">
        <v>107</v>
      </c>
      <c r="B2" s="2968">
        <v>164.79</v>
      </c>
      <c r="C2">
        <f>典型户型修正!S24</f>
        <v>1854</v>
      </c>
      <c r="D2" s="2982">
        <f>C2/$B$29</f>
        <v>3.7593527586836185E-2</v>
      </c>
      <c r="E2" s="3315">
        <f ca="1">$B$28*D2</f>
        <v>1363.366871464201</v>
      </c>
      <c r="F2">
        <f ca="1">ROUND(E2*10000/B2,0)</f>
        <v>82734</v>
      </c>
    </row>
    <row r="3" spans="1:6">
      <c r="A3" s="1269">
        <v>108</v>
      </c>
      <c r="B3" s="2207">
        <v>210.42</v>
      </c>
      <c r="C3">
        <f>典型户型修正!S25</f>
        <v>2367</v>
      </c>
      <c r="D3" s="2982">
        <f t="shared" ref="D3:D26" si="0">C3/$B$29</f>
        <v>4.7995620171543282E-2</v>
      </c>
      <c r="E3" s="3315">
        <f t="shared" ref="E3:E26" ca="1" si="1">$B$28*D3</f>
        <v>1740.6091611411887</v>
      </c>
      <c r="F3">
        <f t="shared" ref="F3:F26" ca="1" si="2">ROUND(E3*10000/B3,0)</f>
        <v>82721</v>
      </c>
    </row>
    <row r="4" spans="1:6">
      <c r="A4" s="1269">
        <v>119</v>
      </c>
      <c r="B4" s="2207">
        <v>210.42</v>
      </c>
      <c r="C4">
        <f>典型户型修正!S26</f>
        <v>2367</v>
      </c>
      <c r="D4" s="2982">
        <f t="shared" si="0"/>
        <v>4.7995620171543282E-2</v>
      </c>
      <c r="E4" s="3315">
        <f t="shared" ca="1" si="1"/>
        <v>1740.6091611411887</v>
      </c>
      <c r="F4">
        <f t="shared" ca="1" si="2"/>
        <v>82721</v>
      </c>
    </row>
    <row r="5" spans="1:6">
      <c r="A5" s="1269">
        <v>110</v>
      </c>
      <c r="B5" s="2207">
        <v>204.02</v>
      </c>
      <c r="C5">
        <f>典型户型修正!S27</f>
        <v>2295</v>
      </c>
      <c r="D5" s="2982">
        <f t="shared" si="0"/>
        <v>4.6535677352637021E-2</v>
      </c>
      <c r="E5" s="3315">
        <f t="shared" ca="1" si="1"/>
        <v>1687.6628748707342</v>
      </c>
      <c r="F5">
        <f t="shared" ca="1" si="2"/>
        <v>82720</v>
      </c>
    </row>
    <row r="6" spans="1:6">
      <c r="A6" s="1269">
        <v>111</v>
      </c>
      <c r="B6" s="2207">
        <v>267.31</v>
      </c>
      <c r="C6">
        <f>典型户型修正!S28</f>
        <v>3007</v>
      </c>
      <c r="D6" s="2982">
        <f t="shared" si="0"/>
        <v>6.0972889672932254E-2</v>
      </c>
      <c r="E6" s="3315">
        <f t="shared" ca="1" si="1"/>
        <v>2211.2428168785609</v>
      </c>
      <c r="F6">
        <f t="shared" ca="1" si="2"/>
        <v>82722</v>
      </c>
    </row>
    <row r="7" spans="1:6" ht="14.25">
      <c r="A7" s="33">
        <v>205</v>
      </c>
      <c r="B7" s="38">
        <v>177.89</v>
      </c>
      <c r="C7">
        <f>典型户型修正!S29</f>
        <v>1401</v>
      </c>
      <c r="D7" s="2982">
        <f t="shared" si="0"/>
        <v>2.84080540178843E-2</v>
      </c>
      <c r="E7" s="3315">
        <f t="shared" ca="1" si="1"/>
        <v>1030.2464870125921</v>
      </c>
      <c r="F7">
        <f t="shared" ca="1" si="2"/>
        <v>57915</v>
      </c>
    </row>
    <row r="8" spans="1:6" ht="14.25">
      <c r="A8" s="33">
        <v>211</v>
      </c>
      <c r="B8" s="38">
        <v>85.59</v>
      </c>
      <c r="C8">
        <f>典型户型修正!S30</f>
        <v>687</v>
      </c>
      <c r="D8" s="2982">
        <f t="shared" si="0"/>
        <v>1.3930287730397227E-2</v>
      </c>
      <c r="E8" s="3315">
        <f t="shared" ca="1" si="1"/>
        <v>505.19581483058585</v>
      </c>
      <c r="F8">
        <f t="shared" ca="1" si="2"/>
        <v>59025</v>
      </c>
    </row>
    <row r="9" spans="1:6" ht="14.25">
      <c r="A9" s="33">
        <v>212</v>
      </c>
      <c r="B9" s="38">
        <v>240.03</v>
      </c>
      <c r="C9">
        <f>典型户型修正!S31</f>
        <v>1890</v>
      </c>
      <c r="D9" s="2982">
        <f t="shared" si="0"/>
        <v>3.8323498996289312E-2</v>
      </c>
      <c r="E9" s="3315">
        <f t="shared" ca="1" si="1"/>
        <v>1389.8400145994283</v>
      </c>
      <c r="F9">
        <f t="shared" ca="1" si="2"/>
        <v>57903</v>
      </c>
    </row>
    <row r="10" spans="1:6" ht="14.25">
      <c r="A10" s="33">
        <v>213</v>
      </c>
      <c r="B10" s="38">
        <v>192.56</v>
      </c>
      <c r="C10">
        <f>典型户型修正!S32</f>
        <v>1516</v>
      </c>
      <c r="D10" s="2982">
        <f t="shared" si="0"/>
        <v>3.0739907131415129E-2</v>
      </c>
      <c r="E10" s="3315">
        <f t="shared" ca="1" si="1"/>
        <v>1114.8134720279011</v>
      </c>
      <c r="F10">
        <f t="shared" ca="1" si="2"/>
        <v>57894</v>
      </c>
    </row>
    <row r="11" spans="1:6" ht="14.25">
      <c r="A11" s="33">
        <v>215</v>
      </c>
      <c r="B11" s="38">
        <v>139.16</v>
      </c>
      <c r="C11">
        <f>典型户型修正!S33</f>
        <v>1096</v>
      </c>
      <c r="D11" s="2982">
        <f t="shared" si="0"/>
        <v>2.2223574021128616E-2</v>
      </c>
      <c r="E11" s="3315">
        <f t="shared" ca="1" si="1"/>
        <v>805.96013545025039</v>
      </c>
      <c r="F11">
        <f t="shared" ca="1" si="2"/>
        <v>57916</v>
      </c>
    </row>
    <row r="12" spans="1:6" ht="14.25">
      <c r="A12" s="33">
        <v>216</v>
      </c>
      <c r="B12" s="38">
        <v>166.2</v>
      </c>
      <c r="C12">
        <f>典型户型修正!S34</f>
        <v>1309</v>
      </c>
      <c r="D12" s="2982">
        <f t="shared" si="0"/>
        <v>2.6542571527059633E-2</v>
      </c>
      <c r="E12" s="3315">
        <f t="shared" ca="1" si="1"/>
        <v>962.59289900034469</v>
      </c>
      <c r="F12">
        <f t="shared" ca="1" si="2"/>
        <v>57918</v>
      </c>
    </row>
    <row r="13" spans="1:6" ht="14.25">
      <c r="A13" s="33">
        <v>217</v>
      </c>
      <c r="B13" s="38">
        <v>212.22</v>
      </c>
      <c r="C13">
        <f>典型户型修正!S35</f>
        <v>1671</v>
      </c>
      <c r="D13" s="2982">
        <f t="shared" si="0"/>
        <v>3.388283958878277E-2</v>
      </c>
      <c r="E13" s="3315">
        <f t="shared" ca="1" si="1"/>
        <v>1228.7950605267959</v>
      </c>
      <c r="F13">
        <f t="shared" ca="1" si="2"/>
        <v>57902</v>
      </c>
    </row>
    <row r="14" spans="1:6" ht="14.25">
      <c r="A14" s="33">
        <v>218</v>
      </c>
      <c r="B14" s="38">
        <v>212.22</v>
      </c>
      <c r="C14">
        <f>典型户型修正!S36</f>
        <v>1671</v>
      </c>
      <c r="D14" s="2982">
        <f t="shared" si="0"/>
        <v>3.388283958878277E-2</v>
      </c>
      <c r="E14" s="3315">
        <f t="shared" ca="1" si="1"/>
        <v>1228.7950605267959</v>
      </c>
      <c r="F14">
        <f t="shared" ca="1" si="2"/>
        <v>57902</v>
      </c>
    </row>
    <row r="15" spans="1:6" ht="14.25">
      <c r="A15" s="33">
        <v>219</v>
      </c>
      <c r="B15" s="38">
        <v>202.01</v>
      </c>
      <c r="C15">
        <f>典型户型修正!S37</f>
        <v>1591</v>
      </c>
      <c r="D15" s="2982">
        <f t="shared" si="0"/>
        <v>3.2260680901109152E-2</v>
      </c>
      <c r="E15" s="3315">
        <f t="shared" ca="1" si="1"/>
        <v>1169.9658535596245</v>
      </c>
      <c r="F15">
        <f t="shared" ca="1" si="2"/>
        <v>57916</v>
      </c>
    </row>
    <row r="16" spans="1:6" ht="14.25">
      <c r="A16" s="33">
        <v>220</v>
      </c>
      <c r="B16" s="38">
        <v>93.81</v>
      </c>
      <c r="C16">
        <f>典型户型修正!S38</f>
        <v>753</v>
      </c>
      <c r="D16" s="2982">
        <f t="shared" si="0"/>
        <v>1.5268568647727965E-2</v>
      </c>
      <c r="E16" s="3315">
        <f t="shared" ca="1" si="1"/>
        <v>553.72991057850231</v>
      </c>
      <c r="F16">
        <f t="shared" ca="1" si="2"/>
        <v>59027</v>
      </c>
    </row>
    <row r="17" spans="1:6" ht="14.25">
      <c r="A17" s="33">
        <v>221</v>
      </c>
      <c r="B17" s="38">
        <v>27.86</v>
      </c>
      <c r="C17">
        <f>典型户型修正!S39</f>
        <v>228</v>
      </c>
      <c r="D17" s="2982">
        <f t="shared" si="0"/>
        <v>4.623152259869822E-3</v>
      </c>
      <c r="E17" s="3315">
        <f t="shared" ca="1" si="1"/>
        <v>167.66323985643896</v>
      </c>
      <c r="F17">
        <f t="shared" ca="1" si="2"/>
        <v>60181</v>
      </c>
    </row>
    <row r="18" spans="1:6" ht="14.25">
      <c r="A18" s="33">
        <v>222</v>
      </c>
      <c r="B18" s="38">
        <v>102.57</v>
      </c>
      <c r="C18">
        <f>典型户型修正!S40</f>
        <v>808</v>
      </c>
      <c r="D18" s="2982">
        <f t="shared" si="0"/>
        <v>1.6383802745503578E-2</v>
      </c>
      <c r="E18" s="3315">
        <f t="shared" ca="1" si="1"/>
        <v>594.17499036843276</v>
      </c>
      <c r="F18">
        <f t="shared" ca="1" si="2"/>
        <v>57929</v>
      </c>
    </row>
    <row r="19" spans="1:6" ht="14.25">
      <c r="A19" s="33">
        <v>301</v>
      </c>
      <c r="B19" s="38">
        <v>213.37</v>
      </c>
      <c r="C19">
        <f>典型户型修正!S41</f>
        <v>1440</v>
      </c>
      <c r="D19" s="2982">
        <f t="shared" si="0"/>
        <v>2.919885637812519E-2</v>
      </c>
      <c r="E19" s="3315">
        <f t="shared" ca="1" si="1"/>
        <v>1058.925725409088</v>
      </c>
      <c r="F19">
        <f t="shared" ca="1" si="2"/>
        <v>49629</v>
      </c>
    </row>
    <row r="20" spans="1:6" ht="14.25">
      <c r="A20" s="33">
        <v>311</v>
      </c>
      <c r="B20" s="38">
        <v>74.400000000000006</v>
      </c>
      <c r="C20">
        <f>典型户型修正!S42</f>
        <v>512</v>
      </c>
      <c r="D20" s="2982">
        <f t="shared" si="0"/>
        <v>1.0381815601111179E-2</v>
      </c>
      <c r="E20" s="3315">
        <f t="shared" ca="1" si="1"/>
        <v>376.50692458989801</v>
      </c>
      <c r="F20">
        <f t="shared" ca="1" si="2"/>
        <v>50606</v>
      </c>
    </row>
    <row r="21" spans="1:6" ht="14.25">
      <c r="A21" s="33">
        <v>313</v>
      </c>
      <c r="B21" s="38">
        <v>175.44</v>
      </c>
      <c r="C21">
        <f>典型户型修正!S43</f>
        <v>1184</v>
      </c>
      <c r="D21" s="2982">
        <f t="shared" si="0"/>
        <v>2.4007948577569601E-2</v>
      </c>
      <c r="E21" s="3315">
        <f t="shared" ca="1" si="1"/>
        <v>870.67226311413913</v>
      </c>
      <c r="F21">
        <f t="shared" ca="1" si="2"/>
        <v>49628</v>
      </c>
    </row>
    <row r="22" spans="1:6" ht="14.25">
      <c r="A22" s="33">
        <v>315</v>
      </c>
      <c r="B22" s="38">
        <v>120.98</v>
      </c>
      <c r="C22">
        <f>典型户型修正!S44</f>
        <v>816</v>
      </c>
      <c r="D22" s="2982">
        <f t="shared" si="0"/>
        <v>1.6546018614270942E-2</v>
      </c>
      <c r="E22" s="3315">
        <f t="shared" ca="1" si="1"/>
        <v>600.05791106514994</v>
      </c>
      <c r="F22">
        <f t="shared" ca="1" si="2"/>
        <v>49600</v>
      </c>
    </row>
    <row r="23" spans="1:6" ht="14.25">
      <c r="A23" s="33">
        <v>316</v>
      </c>
      <c r="B23" s="38">
        <v>144.47999999999999</v>
      </c>
      <c r="C23">
        <f>典型户型修正!S45</f>
        <v>975</v>
      </c>
      <c r="D23" s="2982">
        <f t="shared" si="0"/>
        <v>1.9770059006022266E-2</v>
      </c>
      <c r="E23" s="3315">
        <f t="shared" ca="1" si="1"/>
        <v>716.98095991240348</v>
      </c>
      <c r="F23">
        <f t="shared" ca="1" si="2"/>
        <v>49625</v>
      </c>
    </row>
    <row r="24" spans="1:6" ht="14.25">
      <c r="A24" s="33">
        <v>317</v>
      </c>
      <c r="B24" s="38">
        <v>184.49</v>
      </c>
      <c r="C24">
        <f>典型户型修正!S46</f>
        <v>1245</v>
      </c>
      <c r="D24" s="2982">
        <f t="shared" si="0"/>
        <v>2.5244844576920736E-2</v>
      </c>
      <c r="E24" s="3315">
        <f t="shared" ca="1" si="1"/>
        <v>915.52953342660737</v>
      </c>
      <c r="F24">
        <f t="shared" ca="1" si="2"/>
        <v>49625</v>
      </c>
    </row>
    <row r="25" spans="1:6" ht="14.25">
      <c r="A25" s="33">
        <v>319</v>
      </c>
      <c r="B25" s="38">
        <v>179.86</v>
      </c>
      <c r="C25">
        <f>典型户型修正!S47</f>
        <v>1214</v>
      </c>
      <c r="D25" s="2982">
        <f t="shared" si="0"/>
        <v>2.461625808544721E-2</v>
      </c>
      <c r="E25" s="3315">
        <f t="shared" ca="1" si="1"/>
        <v>892.73321572682858</v>
      </c>
      <c r="F25">
        <f t="shared" ca="1" si="2"/>
        <v>49635</v>
      </c>
    </row>
    <row r="26" spans="1:6" ht="27.75">
      <c r="A26" s="33" t="s">
        <v>3072</v>
      </c>
      <c r="B26" s="38">
        <v>3046.25</v>
      </c>
      <c r="C26">
        <f>典型户型修正!S48</f>
        <v>15420</v>
      </c>
      <c r="D26" s="2982">
        <f t="shared" si="0"/>
        <v>0.31267108704909058</v>
      </c>
      <c r="E26" s="3315">
        <f t="shared" ca="1" si="1"/>
        <v>11339.329642922319</v>
      </c>
      <c r="F26">
        <f t="shared" ca="1" si="2"/>
        <v>37224</v>
      </c>
    </row>
    <row r="27" spans="1:6">
      <c r="C27">
        <f>SUM(C2:C26)</f>
        <v>49317</v>
      </c>
      <c r="D27" s="2982">
        <f>SUM(D2:D26)</f>
        <v>1</v>
      </c>
      <c r="E27">
        <f ca="1">SUM(E2:E26)</f>
        <v>36266</v>
      </c>
    </row>
    <row r="28" spans="1:6">
      <c r="A28" s="2969" t="s">
        <v>3181</v>
      </c>
      <c r="B28">
        <f ca="1">结果表!G19</f>
        <v>36266</v>
      </c>
    </row>
    <row r="29" spans="1:6">
      <c r="A29" s="2969" t="s">
        <v>3182</v>
      </c>
      <c r="B29">
        <f>典型户型修正!S22</f>
        <v>49317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19" sqref="C19"/>
    </sheetView>
  </sheetViews>
  <sheetFormatPr defaultRowHeight="13.5"/>
  <cols>
    <col min="1" max="1" width="10.5" bestFit="1" customWidth="1"/>
    <col min="2" max="2" width="14.5" customWidth="1"/>
    <col min="3" max="3" width="9.5" bestFit="1" customWidth="1"/>
    <col min="4" max="4" width="10.5" bestFit="1" customWidth="1"/>
    <col min="5" max="5" width="9.5" bestFit="1" customWidth="1"/>
    <col min="6" max="6" width="10.5" bestFit="1" customWidth="1"/>
    <col min="7" max="7" width="9.5" bestFit="1" customWidth="1"/>
    <col min="8" max="8" width="10.5" bestFit="1" customWidth="1"/>
    <col min="10" max="10" width="10.625" customWidth="1"/>
    <col min="12" max="12" width="10.5" bestFit="1" customWidth="1"/>
    <col min="14" max="14" width="10.5" customWidth="1"/>
  </cols>
  <sheetData>
    <row r="1" spans="1:14">
      <c r="A1" s="2970">
        <v>43276</v>
      </c>
      <c r="B1" s="2970">
        <v>43281</v>
      </c>
      <c r="C1" s="2970">
        <v>43282</v>
      </c>
      <c r="D1" s="2970">
        <v>43646</v>
      </c>
      <c r="E1" s="2970">
        <v>43647</v>
      </c>
      <c r="F1" s="2970">
        <v>44012</v>
      </c>
      <c r="G1" s="2970">
        <v>44013</v>
      </c>
      <c r="H1" s="2970">
        <v>44377</v>
      </c>
      <c r="I1" s="2970">
        <v>44378</v>
      </c>
      <c r="J1" s="2970">
        <v>44742</v>
      </c>
      <c r="K1" s="2970">
        <v>44743</v>
      </c>
      <c r="L1" s="2970">
        <v>45107</v>
      </c>
      <c r="M1" s="2970">
        <v>45108</v>
      </c>
      <c r="N1" s="2970">
        <v>45473</v>
      </c>
    </row>
    <row r="2" spans="1:14">
      <c r="A2" s="3314">
        <f>ROUND(B3*(1+$B$4),2)</f>
        <v>2</v>
      </c>
      <c r="B2" s="3314"/>
      <c r="C2" s="3314">
        <f>ROUND(A2*(1+$B$4),2)</f>
        <v>2.1</v>
      </c>
      <c r="D2" s="3314"/>
      <c r="E2" s="3314">
        <f>ROUND(C2*(1+$B$4),2)</f>
        <v>2.21</v>
      </c>
      <c r="F2" s="3314"/>
      <c r="G2" s="3314">
        <f t="shared" ref="G2" si="0">ROUND(E2*(1+$B$4),2)</f>
        <v>2.3199999999999998</v>
      </c>
      <c r="H2" s="3314"/>
      <c r="I2" s="3314">
        <f t="shared" ref="I2" si="1">ROUND(G2*(1+$B$4),2)</f>
        <v>2.44</v>
      </c>
      <c r="J2" s="3314"/>
      <c r="K2" s="3314">
        <f t="shared" ref="K2" si="2">ROUND(I2*(1+$B$4),2)</f>
        <v>2.56</v>
      </c>
      <c r="L2" s="3314"/>
      <c r="M2" s="3314">
        <f t="shared" ref="M2" si="3">ROUND(K2*(1+$B$4),2)</f>
        <v>2.69</v>
      </c>
      <c r="N2" s="3314"/>
    </row>
    <row r="3" spans="1:14">
      <c r="A3" s="2969" t="s">
        <v>3166</v>
      </c>
      <c r="B3">
        <f>ROUND(57/30,2)</f>
        <v>1.9</v>
      </c>
    </row>
    <row r="4" spans="1:14">
      <c r="A4" s="2969" t="s">
        <v>3167</v>
      </c>
      <c r="B4" s="2971">
        <v>0.05</v>
      </c>
    </row>
    <row r="5" spans="1:14">
      <c r="A5" s="2969" t="s">
        <v>3164</v>
      </c>
      <c r="B5">
        <f>'数据-基础表'!B3</f>
        <v>7048.35</v>
      </c>
    </row>
    <row r="7" spans="1:14">
      <c r="A7" s="2970">
        <v>43276</v>
      </c>
      <c r="B7" s="2970">
        <v>43281</v>
      </c>
      <c r="C7" s="2970">
        <v>43282</v>
      </c>
      <c r="D7" s="2970">
        <v>43646</v>
      </c>
      <c r="E7" s="2970">
        <v>43647</v>
      </c>
      <c r="F7" s="2970">
        <v>44012</v>
      </c>
      <c r="G7" s="2970">
        <v>44013</v>
      </c>
      <c r="H7" s="2970">
        <v>44377</v>
      </c>
      <c r="I7" s="2970">
        <v>44378</v>
      </c>
      <c r="J7" s="2970">
        <v>44742</v>
      </c>
      <c r="K7" s="2970">
        <v>44743</v>
      </c>
      <c r="L7" s="2970">
        <v>45107</v>
      </c>
      <c r="M7" s="2970">
        <v>45108</v>
      </c>
      <c r="N7" s="2970">
        <v>45473</v>
      </c>
    </row>
    <row r="8" spans="1:14">
      <c r="A8" s="3314">
        <f>ROUND(A2*$B$5*6,2)</f>
        <v>84580.2</v>
      </c>
      <c r="B8" s="3314"/>
      <c r="C8" s="3314">
        <f>ROUND(C2*$B$5*365,2)</f>
        <v>5402560.2800000003</v>
      </c>
      <c r="D8" s="3314"/>
      <c r="E8" s="3314">
        <f t="shared" ref="E8" si="4">ROUND(E2*$B$5*365,2)</f>
        <v>5685551.5300000003</v>
      </c>
      <c r="F8" s="3314"/>
      <c r="G8" s="3314">
        <f t="shared" ref="G8" si="5">ROUND(G2*$B$5*365,2)</f>
        <v>5968542.7800000003</v>
      </c>
      <c r="H8" s="3314"/>
      <c r="I8" s="3314">
        <f t="shared" ref="I8" si="6">ROUND(I2*$B$5*365,2)</f>
        <v>6277260.5099999998</v>
      </c>
      <c r="J8" s="3314"/>
      <c r="K8" s="3314">
        <f t="shared" ref="K8" si="7">ROUND(K2*$B$5*365,2)</f>
        <v>6585978.2400000002</v>
      </c>
      <c r="L8" s="3314"/>
      <c r="M8" s="3314">
        <f t="shared" ref="M8" si="8">ROUND(M2*$B$5*365,2)</f>
        <v>6920422.4500000002</v>
      </c>
      <c r="N8" s="3314"/>
    </row>
    <row r="9" spans="1:14">
      <c r="A9" s="2969" t="s">
        <v>3174</v>
      </c>
      <c r="B9">
        <f>A8+C8+E8+G8+I8+K8+M8</f>
        <v>36924895.99000001</v>
      </c>
    </row>
    <row r="10" spans="1:14">
      <c r="A10" s="2969" t="s">
        <v>3175</v>
      </c>
      <c r="B10">
        <f>ROUND((B9/B5)/(B11*365),2)</f>
        <v>2.39</v>
      </c>
    </row>
    <row r="11" spans="1:14">
      <c r="A11" s="2969" t="s">
        <v>3176</v>
      </c>
      <c r="B11">
        <v>6.01</v>
      </c>
    </row>
    <row r="16" spans="1:14" ht="14.25" thickBot="1"/>
    <row r="17" spans="1:5" ht="14.25" thickBot="1">
      <c r="A17" s="2972" t="s">
        <v>3168</v>
      </c>
      <c r="B17" s="2970">
        <v>43276</v>
      </c>
      <c r="C17" s="2973"/>
      <c r="D17" s="2973"/>
      <c r="E17" s="2973"/>
    </row>
    <row r="18" spans="1:5" ht="27">
      <c r="A18" s="2974" t="s">
        <v>3169</v>
      </c>
      <c r="B18" s="2975" t="s">
        <v>3170</v>
      </c>
      <c r="C18" s="2976" t="s">
        <v>3171</v>
      </c>
      <c r="D18" s="2975" t="s">
        <v>3172</v>
      </c>
      <c r="E18" s="2977" t="s">
        <v>3173</v>
      </c>
    </row>
    <row r="19" spans="1:5" ht="14.25" thickBot="1">
      <c r="A19" s="2978">
        <v>50</v>
      </c>
      <c r="B19" s="2970">
        <v>45473</v>
      </c>
      <c r="C19" s="2979">
        <f>ROUNDDOWN(MIN((B19-B17)/365,A19),2)</f>
        <v>6.01</v>
      </c>
      <c r="D19" s="2980">
        <f>IF(ISERROR(ROUND(POWER(1+E19,A19-C19)*(POWER(1+E19,C19)-1)/(POWER(1+E19,A19)-1),3)),0,ROUND(POWER(1+E19,A19-C19)*(POWER(1+E19,C19)-1)/(POWER(1+E19,A19)-1),3))</f>
        <v>0.24399999999999999</v>
      </c>
      <c r="E19" s="2981">
        <v>0.04</v>
      </c>
    </row>
  </sheetData>
  <mergeCells count="14">
    <mergeCell ref="M2:N2"/>
    <mergeCell ref="A8:B8"/>
    <mergeCell ref="C8:D8"/>
    <mergeCell ref="E8:F8"/>
    <mergeCell ref="G8:H8"/>
    <mergeCell ref="I8:J8"/>
    <mergeCell ref="K8:L8"/>
    <mergeCell ref="M8:N8"/>
    <mergeCell ref="A2:B2"/>
    <mergeCell ref="C2:D2"/>
    <mergeCell ref="E2:F2"/>
    <mergeCell ref="G2:H2"/>
    <mergeCell ref="I2:J2"/>
    <mergeCell ref="K2:L2"/>
  </mergeCells>
  <phoneticPr fontId="143"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G27" sqref="G27"/>
    </sheetView>
  </sheetViews>
  <sheetFormatPr defaultRowHeight="13.5"/>
  <cols>
    <col min="1" max="14" width="10.5" bestFit="1" customWidth="1"/>
  </cols>
  <sheetData>
    <row r="1" spans="1:14">
      <c r="A1" s="2969" t="s">
        <v>3163</v>
      </c>
      <c r="B1" s="2969" t="s">
        <v>3161</v>
      </c>
      <c r="C1" s="2969" t="s">
        <v>3162</v>
      </c>
      <c r="D1" s="2969" t="s">
        <v>3164</v>
      </c>
      <c r="E1" s="2969" t="s">
        <v>3165</v>
      </c>
      <c r="F1" s="2969" t="s">
        <v>3167</v>
      </c>
    </row>
    <row r="2" spans="1:14">
      <c r="A2">
        <v>1</v>
      </c>
      <c r="B2">
        <f>'比较法-租金'!C49</f>
        <v>18</v>
      </c>
      <c r="C2">
        <v>1</v>
      </c>
      <c r="D2">
        <f>典型户型修正!B24+典型户型修正!B25+典型户型修正!B26+典型户型修正!B27+典型户型修正!B28</f>
        <v>1056.96</v>
      </c>
      <c r="E2">
        <f>ROUND((B2*D2+B3*D3+B4*D4+B5*D5)/(D2+D3+D4+D5),2)</f>
        <v>10.039999999999999</v>
      </c>
      <c r="F2" s="2982">
        <v>0.03</v>
      </c>
    </row>
    <row r="3" spans="1:14">
      <c r="A3">
        <v>2</v>
      </c>
      <c r="B3">
        <f>ROUND($B$2*C3,2)</f>
        <v>10.8</v>
      </c>
      <c r="C3">
        <v>0.6</v>
      </c>
      <c r="D3">
        <f>典型户型修正!B29+典型户型修正!B30+典型户型修正!B31+典型户型修正!B32+典型户型修正!B33+典型户型修正!B34+典型户型修正!B35+典型户型修正!B36+典型户型修正!B37+典型户型修正!B38+典型户型修正!B39+典型户型修正!B40</f>
        <v>1852.1199999999997</v>
      </c>
    </row>
    <row r="4" spans="1:14">
      <c r="A4">
        <v>3</v>
      </c>
      <c r="B4">
        <f t="shared" ref="B4:B5" si="0">ROUND($B$2*C4,2)</f>
        <v>9</v>
      </c>
      <c r="C4">
        <v>0.5</v>
      </c>
      <c r="D4">
        <f>典型户型修正!B41+典型户型修正!B42+典型户型修正!B43+典型户型修正!B44+典型户型修正!B45+典型户型修正!B46+典型户型修正!B47</f>
        <v>1093.02</v>
      </c>
    </row>
    <row r="5" spans="1:14">
      <c r="A5">
        <v>-1</v>
      </c>
      <c r="B5">
        <f t="shared" si="0"/>
        <v>7.2</v>
      </c>
      <c r="C5">
        <v>0.4</v>
      </c>
      <c r="D5">
        <f>典型户型修正!B48</f>
        <v>3046.25</v>
      </c>
    </row>
    <row r="6" spans="1:14">
      <c r="A6" s="2970">
        <v>43276</v>
      </c>
      <c r="B6" s="2970">
        <v>43640</v>
      </c>
      <c r="C6" s="2970">
        <v>43641</v>
      </c>
      <c r="D6" s="2970">
        <v>44006</v>
      </c>
      <c r="E6" s="2970">
        <v>44007</v>
      </c>
      <c r="F6" s="2970">
        <v>44371</v>
      </c>
      <c r="G6" s="2970">
        <v>44372</v>
      </c>
      <c r="H6" s="2970">
        <v>44736</v>
      </c>
      <c r="I6" s="2970">
        <v>44737</v>
      </c>
      <c r="J6" s="2970">
        <v>45101</v>
      </c>
      <c r="K6" s="2970">
        <v>45102</v>
      </c>
      <c r="L6" s="2970">
        <v>45467</v>
      </c>
      <c r="M6" s="2970">
        <v>45468</v>
      </c>
      <c r="N6" s="2970">
        <v>45473</v>
      </c>
    </row>
    <row r="7" spans="1:14">
      <c r="A7" s="3314">
        <f>E2</f>
        <v>10.039999999999999</v>
      </c>
      <c r="B7" s="3314"/>
      <c r="C7" s="3314">
        <f>ROUND(A7*(1+$F$2),2)</f>
        <v>10.34</v>
      </c>
      <c r="D7" s="3314"/>
      <c r="E7" s="3314">
        <f t="shared" ref="E7" si="1">ROUND(C7*(1+$F$2),2)</f>
        <v>10.65</v>
      </c>
      <c r="F7" s="3314"/>
      <c r="G7" s="3314">
        <f t="shared" ref="G7" si="2">ROUND(E7*(1+$F$2),2)</f>
        <v>10.97</v>
      </c>
      <c r="H7" s="3314"/>
      <c r="I7" s="3314">
        <f t="shared" ref="I7" si="3">ROUND(G7*(1+$F$2),2)</f>
        <v>11.3</v>
      </c>
      <c r="J7" s="3314"/>
      <c r="K7" s="3314">
        <f t="shared" ref="K7" si="4">ROUND(I7*(1+$F$2),2)</f>
        <v>11.64</v>
      </c>
      <c r="L7" s="3314"/>
      <c r="M7" s="3314">
        <f>ROUND(K7*(1+$F$2),2)</f>
        <v>11.99</v>
      </c>
      <c r="N7" s="3314"/>
    </row>
    <row r="9" spans="1:14" ht="14.25" thickBot="1"/>
    <row r="10" spans="1:14" ht="14.25" thickBot="1">
      <c r="A10" s="2972" t="s">
        <v>3168</v>
      </c>
      <c r="B10" s="2970">
        <v>45468</v>
      </c>
      <c r="C10" s="2973"/>
      <c r="D10" s="2973"/>
      <c r="E10" s="2973"/>
    </row>
    <row r="11" spans="1:14" ht="27">
      <c r="A11" s="2974" t="s">
        <v>3169</v>
      </c>
      <c r="B11" s="2975" t="s">
        <v>3170</v>
      </c>
      <c r="C11" s="2976" t="s">
        <v>3171</v>
      </c>
      <c r="D11" s="2975" t="s">
        <v>3172</v>
      </c>
      <c r="E11" s="2977" t="s">
        <v>3173</v>
      </c>
    </row>
    <row r="12" spans="1:14" ht="14.25" thickBot="1">
      <c r="A12" s="2978">
        <v>40</v>
      </c>
      <c r="B12" s="2970">
        <v>45473</v>
      </c>
      <c r="C12" s="2979">
        <f>ROUNDDOWN(MIN((B12-B10)/365,A12),2)</f>
        <v>0.01</v>
      </c>
      <c r="D12" s="2980">
        <f>IF(ISERROR(ROUND(POWER(1+E12,A12-C12)*(POWER(1+E12,C12)-1)/(POWER(1+E12,A12)-1),3)),0,ROUND(POWER(1+E12,A12-C12)*(POWER(1+E12,C12)-1)/(POWER(1+E12,A12)-1),3))</f>
        <v>0</v>
      </c>
      <c r="E12" s="2981">
        <v>0.04</v>
      </c>
    </row>
  </sheetData>
  <mergeCells count="7">
    <mergeCell ref="M7:N7"/>
    <mergeCell ref="A7:B7"/>
    <mergeCell ref="C7:D7"/>
    <mergeCell ref="E7:F7"/>
    <mergeCell ref="G7:H7"/>
    <mergeCell ref="I7:J7"/>
    <mergeCell ref="K7:L7"/>
  </mergeCells>
  <phoneticPr fontId="143" type="noConversion"/>
  <dataValidations count="1">
    <dataValidation type="list" allowBlank="1" showInputMessage="1" showErrorMessage="1" sqref="A12">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05" sqref="L10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1640</v>
      </c>
      <c r="B2" s="3008" t="s">
        <v>1641</v>
      </c>
      <c r="C2" s="3008" t="s">
        <v>1642</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3" t="s">
        <v>1637</v>
      </c>
      <c r="E3" s="1043" t="s">
        <v>1643</v>
      </c>
      <c r="F3" s="1043" t="s">
        <v>1637</v>
      </c>
      <c r="G3" s="1043" t="s">
        <v>1638</v>
      </c>
      <c r="H3" s="1043" t="s">
        <v>1637</v>
      </c>
      <c r="I3" s="1043" t="s">
        <v>1638</v>
      </c>
    </row>
    <row r="4" spans="1:9" ht="45">
      <c r="A4" s="1970" t="str">
        <f>项目基本情况!S2</f>
        <v>广东省深圳市罗湖区嘉宾路太平洋商贸大厦107号等25套商业用房房地产房地产</v>
      </c>
      <c r="B4" s="1043">
        <f>项目基本情况!C17</f>
        <v>7048.35</v>
      </c>
      <c r="C4" s="1043">
        <f>项目基本情况!C18</f>
        <v>1000</v>
      </c>
      <c r="D4" s="1043" t="e">
        <f ca="1">结果表!D118</f>
        <v>#REF!</v>
      </c>
      <c r="E4" s="1043" t="e">
        <f ca="1">结果表!E118</f>
        <v>#REF!</v>
      </c>
      <c r="F4" s="1043" t="e">
        <f ca="1">结果表!F118</f>
        <v>#REF!</v>
      </c>
      <c r="G4" s="1043" t="e">
        <f ca="1">结果表!G118</f>
        <v>#REF!</v>
      </c>
      <c r="H4" s="1043">
        <f ca="1">结果表!H118</f>
        <v>36266</v>
      </c>
      <c r="I4" s="1043">
        <f ca="1">结果表!I118</f>
        <v>51453</v>
      </c>
    </row>
    <row r="5" spans="1:9" ht="30" customHeight="1">
      <c r="A5" s="3002" t="s">
        <v>1639</v>
      </c>
      <c r="B5" s="3002"/>
      <c r="C5" s="3002"/>
      <c r="D5" s="3003" t="e">
        <f ca="1">结果表!D119</f>
        <v>#REF!</v>
      </c>
      <c r="E5" s="3003"/>
      <c r="F5" s="3003" t="e">
        <f ca="1">结果表!F119</f>
        <v>#REF!</v>
      </c>
      <c r="G5" s="3003"/>
      <c r="H5" s="3003" t="str">
        <f ca="1">结果表!H119</f>
        <v>叁亿陆仟贰佰陆拾陆万元整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1639</v>
      </c>
      <c r="B7" s="3002"/>
      <c r="C7" s="3002"/>
      <c r="D7" s="3004" t="str">
        <f>结果表!D121</f>
        <v>零元整</v>
      </c>
      <c r="E7" s="3005"/>
      <c r="F7" s="3005"/>
      <c r="G7" s="3005"/>
      <c r="H7" s="3005"/>
      <c r="I7" s="3006"/>
    </row>
    <row r="8" spans="1:9" ht="15.75">
      <c r="A8" s="3001" t="str">
        <f>结果表!A122</f>
        <v>房地产抵押价值</v>
      </c>
      <c r="B8" s="3001"/>
      <c r="C8" s="3001"/>
      <c r="D8" s="3001">
        <f ca="1">结果表!D122</f>
        <v>36266</v>
      </c>
      <c r="E8" s="3001"/>
      <c r="F8" s="3001"/>
      <c r="G8" s="3001"/>
      <c r="H8" s="3001"/>
      <c r="I8" s="3001"/>
    </row>
    <row r="9" spans="1:9" ht="15">
      <c r="A9" s="3002" t="s">
        <v>1639</v>
      </c>
      <c r="B9" s="3002"/>
      <c r="C9" s="3002"/>
      <c r="D9" s="3003" t="str">
        <f ca="1">结果表!D123</f>
        <v>叁亿陆仟贰佰陆拾陆万元整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1639</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1639</v>
      </c>
      <c r="B13" s="2998"/>
      <c r="C13" s="2998"/>
      <c r="D13" s="2999" t="e">
        <f>结果表!D127</f>
        <v>#VALUE!</v>
      </c>
      <c r="E13" s="2999"/>
      <c r="F13" s="2999"/>
      <c r="G13" s="2999"/>
      <c r="H13" s="2999"/>
      <c r="I13" s="2999"/>
    </row>
    <row r="14" spans="1:9" ht="15" thickTop="1">
      <c r="A14" s="3000" t="s">
        <v>1644</v>
      </c>
      <c r="B14" s="3000"/>
      <c r="C14" s="3000"/>
      <c r="D14" s="3000"/>
      <c r="E14" s="3000"/>
      <c r="F14" s="3000"/>
      <c r="G14" s="3000"/>
      <c r="H14" s="3000"/>
      <c r="I14" s="3000"/>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5" t="s">
        <v>1661</v>
      </c>
      <c r="B1" s="3015"/>
      <c r="C1" s="3015"/>
      <c r="D1" s="3015"/>
    </row>
    <row r="2" spans="1:4" ht="18">
      <c r="A2" s="3016" t="s">
        <v>1645</v>
      </c>
      <c r="B2" s="3016"/>
      <c r="C2" s="3016"/>
      <c r="D2" s="3016"/>
    </row>
    <row r="3" spans="1:4" ht="18.75">
      <c r="A3" s="1974" t="s">
        <v>1646</v>
      </c>
      <c r="B3" s="1974" t="s">
        <v>1647</v>
      </c>
      <c r="C3" s="1974" t="s">
        <v>1648</v>
      </c>
      <c r="D3" s="1974" t="s">
        <v>1649</v>
      </c>
    </row>
    <row r="4" spans="1:4" ht="56.25" customHeight="1">
      <c r="A4" s="1975" t="str">
        <f>项目基本情况!B4</f>
        <v>吴薇</v>
      </c>
      <c r="B4" s="1976">
        <f ca="1">项目基本情况!C4</f>
        <v>1419970001</v>
      </c>
      <c r="C4" s="1977"/>
      <c r="D4" s="1978" t="s">
        <v>1650</v>
      </c>
    </row>
    <row r="5" spans="1:4" ht="56.25" customHeight="1">
      <c r="A5" s="1975" t="str">
        <f>项目基本情况!D4</f>
        <v>刘梅</v>
      </c>
      <c r="B5" s="1976">
        <f ca="1">项目基本情况!E4</f>
        <v>1120140022</v>
      </c>
      <c r="C5" s="1979"/>
      <c r="D5" s="1978" t="s">
        <v>1650</v>
      </c>
    </row>
    <row r="6" spans="1:4" ht="18">
      <c r="A6" s="3016" t="s">
        <v>1651</v>
      </c>
      <c r="B6" s="3016"/>
      <c r="C6" s="3016"/>
      <c r="D6" s="3016"/>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17" t="s">
        <v>1654</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（1）根据估价对象《房屋所有权证》复印件、《国有土地使用权》——，截至价值时点，估价对象已设定抵押。上述抵押权设定日期为，权利人为，权利范围为，权利价值为。</v>
      </c>
      <c r="B15" s="3009"/>
      <c r="C15" s="3009"/>
      <c r="D15" s="3009"/>
    </row>
    <row r="16" spans="1:4" ht="30" customHeight="1">
      <c r="A16" s="3011" t="s">
        <v>1655</v>
      </c>
      <c r="B16" s="3011"/>
      <c r="C16" s="3011"/>
      <c r="D16" s="3011"/>
    </row>
    <row r="17" spans="1:4" ht="144" customHeight="1">
      <c r="A17" s="3011" t="s">
        <v>1656</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1657</v>
      </c>
      <c r="B22" s="3013"/>
      <c r="C22" s="3013"/>
      <c r="D22" s="3013"/>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3" t="s">
        <v>1668</v>
      </c>
      <c r="B15" s="3018" t="s">
        <v>136</v>
      </c>
      <c r="C15" s="3019"/>
    </row>
    <row r="16" spans="1:7" ht="13.5">
      <c r="A16" s="3024"/>
      <c r="B16" s="3018" t="s">
        <v>69</v>
      </c>
      <c r="C16" s="3019"/>
    </row>
    <row r="17" spans="1:3" ht="13.5">
      <c r="A17" s="3024"/>
      <c r="B17" s="3021" t="s">
        <v>1669</v>
      </c>
      <c r="C17" s="1997" t="s">
        <v>1668</v>
      </c>
    </row>
    <row r="18" spans="1:3" ht="13.5">
      <c r="A18" s="3024"/>
      <c r="B18" s="3021"/>
      <c r="C18" s="1997" t="s">
        <v>1670</v>
      </c>
    </row>
    <row r="19" spans="1:3" ht="13.5">
      <c r="A19" s="3024"/>
      <c r="B19" s="3021"/>
      <c r="C19" s="1997" t="s">
        <v>1671</v>
      </c>
    </row>
    <row r="20" spans="1:3" ht="13.5">
      <c r="A20" s="3025"/>
      <c r="B20" s="3020" t="s">
        <v>1672</v>
      </c>
      <c r="C20" s="3019"/>
    </row>
    <row r="21" spans="1:3" ht="13.5">
      <c r="A21" s="1998" t="s">
        <v>1673</v>
      </c>
      <c r="B21" s="1999"/>
      <c r="C21" s="2000"/>
    </row>
    <row r="22" spans="1:3" ht="13.5">
      <c r="A22" s="3022" t="s">
        <v>1674</v>
      </c>
      <c r="B22" s="3020" t="s">
        <v>1675</v>
      </c>
      <c r="C22" s="3019"/>
    </row>
    <row r="23" spans="1:3" ht="13.5">
      <c r="A23" s="3022"/>
      <c r="B23" s="3020" t="s">
        <v>1676</v>
      </c>
      <c r="C23" s="3019"/>
    </row>
    <row r="24" spans="1:3" ht="13.5">
      <c r="A24" s="3022"/>
      <c r="B24" s="3020" t="s">
        <v>1677</v>
      </c>
      <c r="C24" s="3019"/>
    </row>
    <row r="25" spans="1:3" ht="13.5">
      <c r="A25" s="3022"/>
      <c r="B25" s="3021" t="s">
        <v>1678</v>
      </c>
      <c r="C25" s="1997" t="s">
        <v>1679</v>
      </c>
    </row>
    <row r="26" spans="1:3" ht="13.5">
      <c r="A26" s="3022"/>
      <c r="B26" s="3021"/>
      <c r="C26" s="1997" t="s">
        <v>1680</v>
      </c>
    </row>
    <row r="27" spans="1:3" ht="13.5">
      <c r="A27" s="3022"/>
      <c r="B27" s="3021"/>
      <c r="C27" s="1997" t="s">
        <v>1681</v>
      </c>
    </row>
    <row r="28" spans="1:3" ht="13.5">
      <c r="A28" s="3022"/>
      <c r="B28" s="3021"/>
      <c r="C28" s="1997" t="s">
        <v>1682</v>
      </c>
    </row>
    <row r="29" spans="1:3" ht="13.5">
      <c r="A29" s="3022"/>
      <c r="B29" s="3021"/>
      <c r="C29" s="1997" t="s">
        <v>1683</v>
      </c>
    </row>
    <row r="30" spans="1:3" ht="13.5">
      <c r="A30" s="3022"/>
      <c r="B30" s="3021"/>
      <c r="C30" s="1997" t="s">
        <v>1684</v>
      </c>
    </row>
    <row r="31" spans="1:3" ht="13.5">
      <c r="A31" s="3022"/>
      <c r="B31" s="3021"/>
      <c r="C31" s="1997" t="s">
        <v>1685</v>
      </c>
    </row>
    <row r="32" spans="1:3" ht="13.5">
      <c r="A32" s="3022"/>
      <c r="B32" s="3021"/>
      <c r="C32" s="1997" t="s">
        <v>1686</v>
      </c>
    </row>
    <row r="33" spans="1:3" ht="13.5">
      <c r="A33" s="3022"/>
      <c r="B33" s="3021"/>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43290</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43359</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f ca="1">IF(C10&lt;B2,"已过期",1120060040)</f>
        <v>1120060040</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t="s">
        <v>3040</v>
      </c>
      <c r="B12" s="1021">
        <v>1120110054</v>
      </c>
      <c r="C12" s="2935">
        <v>43937</v>
      </c>
      <c r="D12" s="1699" t="s">
        <v>3040</v>
      </c>
      <c r="E12" s="1021">
        <v>2008110060</v>
      </c>
      <c r="F12" s="1029">
        <v>47177</v>
      </c>
    </row>
    <row r="13" spans="1:6" ht="24" customHeight="1">
      <c r="A13" s="1699" t="s">
        <v>840</v>
      </c>
      <c r="B13" s="1021">
        <f ca="1">IF(C13&lt;B2,"已过期",1120070131)</f>
        <v>1120070131</v>
      </c>
      <c r="C13" s="2341">
        <v>43814</v>
      </c>
      <c r="D13" s="2344" t="s">
        <v>840</v>
      </c>
      <c r="E13" s="1021">
        <v>2014110011</v>
      </c>
      <c r="F13" s="1029">
        <v>49302</v>
      </c>
    </row>
    <row r="14" spans="1:6" ht="24" customHeight="1">
      <c r="A14" s="1699" t="s">
        <v>841</v>
      </c>
      <c r="B14" s="1021">
        <f ca="1">IF(C14&lt;B2,"已过期",1120130020)</f>
        <v>1120130020</v>
      </c>
      <c r="C14" s="2341">
        <v>43622</v>
      </c>
      <c r="D14" s="2344"/>
      <c r="E14" s="1021"/>
      <c r="F14" s="1021"/>
    </row>
    <row r="15" spans="1:6" ht="24" customHeight="1">
      <c r="A15" s="1700" t="s">
        <v>1149</v>
      </c>
      <c r="B15" s="1021">
        <v>1120070085</v>
      </c>
      <c r="C15" s="2341">
        <v>43814</v>
      </c>
      <c r="D15" s="2345" t="s">
        <v>1149</v>
      </c>
      <c r="E15" s="1021">
        <v>2004110128</v>
      </c>
      <c r="F15" s="1022">
        <v>47118</v>
      </c>
    </row>
    <row r="16" spans="1:6" ht="24" customHeight="1">
      <c r="A16" s="1699" t="s">
        <v>842</v>
      </c>
      <c r="B16" s="1021">
        <f ca="1">IF(C16&lt;B2,"已过期",1120140022)</f>
        <v>1120140022</v>
      </c>
      <c r="C16" s="2341">
        <v>44029</v>
      </c>
      <c r="D16" s="2344" t="s">
        <v>842</v>
      </c>
      <c r="E16" s="1021">
        <f ca="1">IF(F16&lt;B2,"已过期",2008110059)</f>
        <v>2008110059</v>
      </c>
      <c r="F16" s="1029">
        <v>47177</v>
      </c>
    </row>
    <row r="17" spans="1:7" ht="24" customHeight="1">
      <c r="A17" s="1699"/>
      <c r="B17" s="1021"/>
      <c r="C17" s="2341"/>
      <c r="D17" s="2344"/>
      <c r="E17" s="1021"/>
      <c r="F17" s="1029"/>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843</v>
      </c>
      <c r="E21" s="1021">
        <f ca="1">IF(F21&lt;B2,"已过期",2011110090)</f>
        <v>2011110090</v>
      </c>
      <c r="F21" s="1029">
        <v>48302</v>
      </c>
    </row>
    <row r="22" spans="1:7" ht="24" customHeight="1">
      <c r="A22" s="1699" t="s">
        <v>844</v>
      </c>
      <c r="B22" s="1021">
        <f ca="1">IF(C22&lt;B2,"已过期",1120020033)</f>
        <v>1120020033</v>
      </c>
      <c r="C22" s="2935">
        <v>44339</v>
      </c>
      <c r="D22" s="2344" t="s">
        <v>844</v>
      </c>
      <c r="E22" s="1021">
        <f ca="1">IF(F22&lt;B2,"已过期",2000110137)</f>
        <v>2000110137</v>
      </c>
      <c r="F22" s="1029">
        <v>46387</v>
      </c>
    </row>
    <row r="23" spans="1:7" ht="24" customHeight="1">
      <c r="A23" s="1699" t="s">
        <v>845</v>
      </c>
      <c r="B23" s="1021">
        <f ca="1">IF(C23&lt;B2,"已过期",1120130048)</f>
        <v>1120130048</v>
      </c>
      <c r="C23" s="2341">
        <v>43686</v>
      </c>
      <c r="D23" s="2344"/>
      <c r="E23" s="1021"/>
      <c r="F23" s="1021"/>
    </row>
    <row r="24" spans="1:7" s="1023" customFormat="1" ht="24" customHeight="1">
      <c r="A24" s="1700" t="s">
        <v>1333</v>
      </c>
      <c r="B24" s="1700" t="s">
        <v>1333</v>
      </c>
      <c r="C24" s="2342" t="s">
        <v>1333</v>
      </c>
      <c r="D24" s="2345" t="s">
        <v>1333</v>
      </c>
      <c r="E24" s="1700" t="s">
        <v>1333</v>
      </c>
      <c r="F24" s="1700" t="s">
        <v>1333</v>
      </c>
    </row>
    <row r="25" spans="1:7" ht="24" customHeight="1">
      <c r="A25" s="3026" t="s">
        <v>846</v>
      </c>
      <c r="B25" s="3026"/>
      <c r="C25" s="3026"/>
      <c r="D25" s="3026"/>
      <c r="E25" s="3026"/>
      <c r="F25" s="3026"/>
      <c r="G25" s="3026"/>
    </row>
    <row r="26" spans="1:7" s="1024" customFormat="1" ht="24" customHeight="1">
      <c r="A26" s="3027" t="s">
        <v>847</v>
      </c>
      <c r="B26" s="3027"/>
      <c r="C26" s="3028"/>
      <c r="D26" s="3029" t="s">
        <v>848</v>
      </c>
      <c r="E26" s="3027"/>
      <c r="F26" s="3027"/>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vt:lpstr>
      <vt:lpstr>租约</vt:lpstr>
      <vt:lpstr>市场租约</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2018-07-09T09:27:11Z</dcterms:modified>
</cp:coreProperties>
</file>